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7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x/CIS-Project/"/>
    </mc:Choice>
  </mc:AlternateContent>
  <xr:revisionPtr revIDLastSave="0" documentId="13_ncr:1_{251FC57D-6803-F341-AC6F-965B2555E827}" xr6:coauthVersionLast="47" xr6:coauthVersionMax="47" xr10:uidLastSave="{00000000-0000-0000-0000-000000000000}"/>
  <bookViews>
    <workbookView xWindow="0" yWindow="500" windowWidth="14400" windowHeight="17500" xr2:uid="{00000000-000D-0000-FFFF-FFFF00000000}"/>
    <workbookView xWindow="13380" yWindow="500" windowWidth="15420" windowHeight="17500" activeTab="4" xr2:uid="{D7C459D3-5B1C-CF41-8796-CA85751649D4}"/>
  </bookViews>
  <sheets>
    <sheet name="Personal Data" sheetId="1" r:id="rId1"/>
    <sheet name="Categorization" sheetId="3" r:id="rId2"/>
    <sheet name="Ecomonic Values" sheetId="7" r:id="rId3"/>
    <sheet name="Statistics" sheetId="8" r:id="rId4"/>
    <sheet name="Search Functions" sheetId="9" r:id="rId5"/>
    <sheet name="Optimal Allocation" sheetId="10" r:id="rId6"/>
  </sheets>
  <definedNames>
    <definedName name="_xlchart.v1.0" hidden="1">'Personal Data'!$AA$1</definedName>
    <definedName name="_xlchart.v1.1" hidden="1">'Personal Data'!$AA$2:$AA$1001</definedName>
    <definedName name="_xlchart.v1.10" hidden="1">'Personal Data'!$G$1</definedName>
    <definedName name="_xlchart.v1.11" hidden="1">'Personal Data'!$G$3:$G$1001</definedName>
    <definedName name="_xlchart.v1.12" hidden="1">'Personal Data'!$I$1</definedName>
    <definedName name="_xlchart.v1.13" hidden="1">'Personal Data'!$I$2:$I$1001</definedName>
    <definedName name="_xlchart.v1.14" hidden="1">'Personal Data'!$G$1</definedName>
    <definedName name="_xlchart.v1.15" hidden="1">'Personal Data'!$G$3:$G$1001</definedName>
    <definedName name="_xlchart.v1.16" hidden="1">'Personal Data'!$I$1</definedName>
    <definedName name="_xlchart.v1.17" hidden="1">'Personal Data'!$I$2:$I$1001</definedName>
    <definedName name="_xlchart.v1.18" hidden="1">Statistics!$A$7</definedName>
    <definedName name="_xlchart.v1.19" hidden="1">Statistics!$A$8:$A$1007</definedName>
    <definedName name="_xlchart.v1.2" hidden="1">'Personal Data'!$AB$1</definedName>
    <definedName name="_xlchart.v1.20" hidden="1">Statistics!$B$7</definedName>
    <definedName name="_xlchart.v1.21" hidden="1">Statistics!$B$8:$B$1007</definedName>
    <definedName name="_xlchart.v1.22" hidden="1">Statistics!$C$7</definedName>
    <definedName name="_xlchart.v1.23" hidden="1">Statistics!$C$8:$C$1007</definedName>
    <definedName name="_xlchart.v1.24" hidden="1">Statistics!$A$7</definedName>
    <definedName name="_xlchart.v1.25" hidden="1">Statistics!$A$8:$A$1007</definedName>
    <definedName name="_xlchart.v1.26" hidden="1">Statistics!$B$7</definedName>
    <definedName name="_xlchart.v1.27" hidden="1">Statistics!$B$8:$B$1007</definedName>
    <definedName name="_xlchart.v1.28" hidden="1">Statistics!$C$7</definedName>
    <definedName name="_xlchart.v1.29" hidden="1">Statistics!$C$8:$C$1007</definedName>
    <definedName name="_xlchart.v1.3" hidden="1">'Personal Data'!$AB$2:$AB$1001</definedName>
    <definedName name="_xlchart.v1.30" hidden="1">Statistics!$A$7</definedName>
    <definedName name="_xlchart.v1.31" hidden="1">Statistics!$A$8:$A$1007</definedName>
    <definedName name="_xlchart.v1.32" hidden="1">Statistics!$B$7</definedName>
    <definedName name="_xlchart.v1.33" hidden="1">Statistics!$B$8:$B$1007</definedName>
    <definedName name="_xlchart.v1.34" hidden="1">Statistics!$C$7</definedName>
    <definedName name="_xlchart.v1.35" hidden="1">Statistics!$C$8:$C$1007</definedName>
    <definedName name="_xlchart.v1.36" hidden="1">Statistics!$A$7</definedName>
    <definedName name="_xlchart.v1.37" hidden="1">Statistics!$A$8:$A$1007</definedName>
    <definedName name="_xlchart.v1.38" hidden="1">Statistics!$B$7</definedName>
    <definedName name="_xlchart.v1.39" hidden="1">Statistics!$B$8:$B$1007</definedName>
    <definedName name="_xlchart.v1.4" hidden="1">'Personal Data'!$AC$1</definedName>
    <definedName name="_xlchart.v1.40" hidden="1">Statistics!$C$7</definedName>
    <definedName name="_xlchart.v1.41" hidden="1">Statistics!$C$8:$C$1007</definedName>
    <definedName name="_xlchart.v1.42" hidden="1">'Personal Data'!$G$1</definedName>
    <definedName name="_xlchart.v1.43" hidden="1">'Personal Data'!$G$3:$G$1001</definedName>
    <definedName name="_xlchart.v1.44" hidden="1">'Personal Data'!$I$1</definedName>
    <definedName name="_xlchart.v1.45" hidden="1">'Personal Data'!$I$2:$I$1001</definedName>
    <definedName name="_xlchart.v1.46" hidden="1">'Personal Data'!$G$1</definedName>
    <definedName name="_xlchart.v1.47" hidden="1">'Personal Data'!$G$3:$G$1001</definedName>
    <definedName name="_xlchart.v1.48" hidden="1">'Personal Data'!$I$1</definedName>
    <definedName name="_xlchart.v1.49" hidden="1">'Personal Data'!$I$2:$I$1001</definedName>
    <definedName name="_xlchart.v1.5" hidden="1">'Personal Data'!$AC$2:$AC$1001</definedName>
    <definedName name="_xlchart.v1.50" hidden="1">'Personal Data'!$AA$1</definedName>
    <definedName name="_xlchart.v1.51" hidden="1">'Personal Data'!$AA$2:$AA$1001</definedName>
    <definedName name="_xlchart.v1.52" hidden="1">'Personal Data'!$AB$1</definedName>
    <definedName name="_xlchart.v1.53" hidden="1">'Personal Data'!$AB$2:$AB$1001</definedName>
    <definedName name="_xlchart.v1.54" hidden="1">'Personal Data'!$AC$1</definedName>
    <definedName name="_xlchart.v1.55" hidden="1">'Personal Data'!$AC$2:$AC$1001</definedName>
    <definedName name="_xlchart.v1.56" hidden="1">'Personal Data'!$G$1</definedName>
    <definedName name="_xlchart.v1.57" hidden="1">'Personal Data'!$G$3:$G$1001</definedName>
    <definedName name="_xlchart.v1.58" hidden="1">'Personal Data'!$I$1</definedName>
    <definedName name="_xlchart.v1.59" hidden="1">'Personal Data'!$I$2:$I$1001</definedName>
    <definedName name="_xlchart.v1.6" hidden="1">'Personal Data'!$G$1</definedName>
    <definedName name="_xlchart.v1.60" hidden="1">'Personal Data'!$G$1</definedName>
    <definedName name="_xlchart.v1.61" hidden="1">'Personal Data'!$G$3:$G$1001</definedName>
    <definedName name="_xlchart.v1.62" hidden="1">'Personal Data'!$I$1</definedName>
    <definedName name="_xlchart.v1.63" hidden="1">'Personal Data'!$I$2:$I$1001</definedName>
    <definedName name="_xlchart.v1.64" hidden="1">Statistics!$A$7</definedName>
    <definedName name="_xlchart.v1.65" hidden="1">Statistics!$A$8:$A$1007</definedName>
    <definedName name="_xlchart.v1.66" hidden="1">Statistics!$B$7</definedName>
    <definedName name="_xlchart.v1.67" hidden="1">Statistics!$B$8:$B$1007</definedName>
    <definedName name="_xlchart.v1.68" hidden="1">Statistics!$C$7</definedName>
    <definedName name="_xlchart.v1.69" hidden="1">Statistics!$C$8:$C$1007</definedName>
    <definedName name="_xlchart.v1.7" hidden="1">'Personal Data'!$G$3:$G$1001</definedName>
    <definedName name="_xlchart.v1.70" hidden="1">Statistics!$A$7</definedName>
    <definedName name="_xlchart.v1.71" hidden="1">Statistics!$A$8:$A$1007</definedName>
    <definedName name="_xlchart.v1.72" hidden="1">Statistics!$B$7</definedName>
    <definedName name="_xlchart.v1.73" hidden="1">Statistics!$B$8:$B$1007</definedName>
    <definedName name="_xlchart.v1.74" hidden="1">Statistics!$C$7</definedName>
    <definedName name="_xlchart.v1.75" hidden="1">Statistics!$C$8:$C$1007</definedName>
    <definedName name="_xlchart.v1.76" hidden="1">'Personal Data'!$G$1</definedName>
    <definedName name="_xlchart.v1.77" hidden="1">'Personal Data'!$G$3:$G$1001</definedName>
    <definedName name="_xlchart.v1.78" hidden="1">'Personal Data'!$I$1</definedName>
    <definedName name="_xlchart.v1.79" hidden="1">'Personal Data'!$I$2:$I$1001</definedName>
    <definedName name="_xlchart.v1.8" hidden="1">'Personal Data'!$I$1</definedName>
    <definedName name="_xlchart.v1.9" hidden="1">'Personal Data'!$I$2:$I$1001</definedName>
  </definedNames>
  <calcPr calcId="191029"/>
  <pivotCaches>
    <pivotCache cacheId="105" r:id="rId7"/>
    <pivotCache cacheId="108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5" i="10" l="1" a="1"/>
  <c r="D15" i="10" s="1"/>
  <c r="E15" i="10" a="1"/>
  <c r="E15" i="10" s="1"/>
  <c r="F15" i="10" a="1"/>
  <c r="F15" i="10" s="1"/>
  <c r="G15" i="10" a="1"/>
  <c r="G15" i="10" s="1"/>
  <c r="H15" i="10" a="1"/>
  <c r="H15" i="10" s="1"/>
  <c r="I15" i="10" a="1"/>
  <c r="I15" i="10" s="1"/>
  <c r="J15" i="10" a="1"/>
  <c r="J15" i="10" s="1"/>
  <c r="K15" i="10" a="1"/>
  <c r="K15" i="10" s="1"/>
  <c r="C15" i="10" a="1"/>
  <c r="C15" i="10" s="1"/>
  <c r="B15" i="10" a="1"/>
  <c r="B15" i="10" s="1"/>
  <c r="L10" i="10"/>
  <c r="D19" i="10"/>
  <c r="D20" i="10"/>
  <c r="D21" i="10"/>
  <c r="D22" i="10"/>
  <c r="D18" i="10"/>
  <c r="C19" i="10"/>
  <c r="C20" i="10"/>
  <c r="C21" i="10"/>
  <c r="C22" i="10"/>
  <c r="C18" i="10"/>
  <c r="B19" i="10"/>
  <c r="B20" i="10"/>
  <c r="B21" i="10"/>
  <c r="B22" i="10"/>
  <c r="B18" i="10"/>
  <c r="L11" i="10"/>
  <c r="L12" i="10"/>
  <c r="L13" i="10"/>
  <c r="L14" i="10"/>
  <c r="B2" i="9"/>
  <c r="Q2" i="9"/>
  <c r="P2" i="9"/>
  <c r="O2" i="9"/>
  <c r="N2" i="9"/>
  <c r="M2" i="9"/>
  <c r="L2" i="9"/>
  <c r="K2" i="9"/>
  <c r="D2" i="9"/>
  <c r="E2" i="9"/>
  <c r="F2" i="9"/>
  <c r="G2" i="9"/>
  <c r="H2" i="9"/>
  <c r="I2" i="9"/>
  <c r="J2" i="9"/>
  <c r="C2" i="9"/>
  <c r="AF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F745" i="1"/>
  <c r="AF746" i="1"/>
  <c r="AF747" i="1"/>
  <c r="AF748" i="1"/>
  <c r="AF749" i="1"/>
  <c r="AF750" i="1"/>
  <c r="AF751" i="1"/>
  <c r="AF752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F789" i="1"/>
  <c r="AF790" i="1"/>
  <c r="AF791" i="1"/>
  <c r="AF792" i="1"/>
  <c r="AF793" i="1"/>
  <c r="AF794" i="1"/>
  <c r="AF795" i="1"/>
  <c r="AF796" i="1"/>
  <c r="AF797" i="1"/>
  <c r="AF798" i="1"/>
  <c r="AF799" i="1"/>
  <c r="AF800" i="1"/>
  <c r="AF801" i="1"/>
  <c r="AF802" i="1"/>
  <c r="AF803" i="1"/>
  <c r="AF804" i="1"/>
  <c r="AF805" i="1"/>
  <c r="AF806" i="1"/>
  <c r="AF807" i="1"/>
  <c r="AF808" i="1"/>
  <c r="AF809" i="1"/>
  <c r="AF810" i="1"/>
  <c r="AF811" i="1"/>
  <c r="AF812" i="1"/>
  <c r="AF813" i="1"/>
  <c r="AF814" i="1"/>
  <c r="AF815" i="1"/>
  <c r="AF816" i="1"/>
  <c r="AF817" i="1"/>
  <c r="AF818" i="1"/>
  <c r="AF819" i="1"/>
  <c r="AF820" i="1"/>
  <c r="AF821" i="1"/>
  <c r="AF822" i="1"/>
  <c r="AF823" i="1"/>
  <c r="AF824" i="1"/>
  <c r="AF825" i="1"/>
  <c r="AF826" i="1"/>
  <c r="AF827" i="1"/>
  <c r="AF828" i="1"/>
  <c r="AF829" i="1"/>
  <c r="AF830" i="1"/>
  <c r="AF831" i="1"/>
  <c r="AF832" i="1"/>
  <c r="AF833" i="1"/>
  <c r="AF834" i="1"/>
  <c r="AF835" i="1"/>
  <c r="AF836" i="1"/>
  <c r="AF837" i="1"/>
  <c r="AF838" i="1"/>
  <c r="AF839" i="1"/>
  <c r="AF840" i="1"/>
  <c r="AF841" i="1"/>
  <c r="AF842" i="1"/>
  <c r="AF843" i="1"/>
  <c r="AF844" i="1"/>
  <c r="AF845" i="1"/>
  <c r="AF846" i="1"/>
  <c r="AF847" i="1"/>
  <c r="AF848" i="1"/>
  <c r="AF849" i="1"/>
  <c r="AF850" i="1"/>
  <c r="AF851" i="1"/>
  <c r="AF852" i="1"/>
  <c r="AF853" i="1"/>
  <c r="AF854" i="1"/>
  <c r="AF855" i="1"/>
  <c r="AF856" i="1"/>
  <c r="AF857" i="1"/>
  <c r="AF858" i="1"/>
  <c r="AF859" i="1"/>
  <c r="AF860" i="1"/>
  <c r="AF861" i="1"/>
  <c r="AF862" i="1"/>
  <c r="AF863" i="1"/>
  <c r="AF864" i="1"/>
  <c r="AF865" i="1"/>
  <c r="AF866" i="1"/>
  <c r="AF867" i="1"/>
  <c r="AF868" i="1"/>
  <c r="AF869" i="1"/>
  <c r="AF870" i="1"/>
  <c r="AF871" i="1"/>
  <c r="AF872" i="1"/>
  <c r="AF873" i="1"/>
  <c r="AF874" i="1"/>
  <c r="AF875" i="1"/>
  <c r="AF876" i="1"/>
  <c r="AF877" i="1"/>
  <c r="AF878" i="1"/>
  <c r="AF879" i="1"/>
  <c r="AF880" i="1"/>
  <c r="AF881" i="1"/>
  <c r="AF882" i="1"/>
  <c r="AF883" i="1"/>
  <c r="AF884" i="1"/>
  <c r="AF885" i="1"/>
  <c r="AF886" i="1"/>
  <c r="AF887" i="1"/>
  <c r="AF888" i="1"/>
  <c r="AF889" i="1"/>
  <c r="AF890" i="1"/>
  <c r="AF891" i="1"/>
  <c r="AF892" i="1"/>
  <c r="AF893" i="1"/>
  <c r="AF894" i="1"/>
  <c r="AF895" i="1"/>
  <c r="AF896" i="1"/>
  <c r="AF897" i="1"/>
  <c r="AF898" i="1"/>
  <c r="AF899" i="1"/>
  <c r="AF900" i="1"/>
  <c r="AF901" i="1"/>
  <c r="AF902" i="1"/>
  <c r="AF903" i="1"/>
  <c r="AF904" i="1"/>
  <c r="AF905" i="1"/>
  <c r="AF906" i="1"/>
  <c r="AF907" i="1"/>
  <c r="AF908" i="1"/>
  <c r="AF909" i="1"/>
  <c r="AF910" i="1"/>
  <c r="AF911" i="1"/>
  <c r="AF912" i="1"/>
  <c r="AF913" i="1"/>
  <c r="AF914" i="1"/>
  <c r="AF915" i="1"/>
  <c r="AF916" i="1"/>
  <c r="AF917" i="1"/>
  <c r="AF918" i="1"/>
  <c r="AF919" i="1"/>
  <c r="AF920" i="1"/>
  <c r="AF921" i="1"/>
  <c r="AF922" i="1"/>
  <c r="AF923" i="1"/>
  <c r="AF924" i="1"/>
  <c r="AF925" i="1"/>
  <c r="AF926" i="1"/>
  <c r="AF927" i="1"/>
  <c r="AF928" i="1"/>
  <c r="AF929" i="1"/>
  <c r="AF930" i="1"/>
  <c r="AF931" i="1"/>
  <c r="AF932" i="1"/>
  <c r="AF933" i="1"/>
  <c r="AF934" i="1"/>
  <c r="AF935" i="1"/>
  <c r="AF936" i="1"/>
  <c r="AF937" i="1"/>
  <c r="AF938" i="1"/>
  <c r="AF939" i="1"/>
  <c r="AF940" i="1"/>
  <c r="AF941" i="1"/>
  <c r="AF942" i="1"/>
  <c r="AF943" i="1"/>
  <c r="AF944" i="1"/>
  <c r="AF945" i="1"/>
  <c r="AF946" i="1"/>
  <c r="AF947" i="1"/>
  <c r="AF948" i="1"/>
  <c r="AF949" i="1"/>
  <c r="AF950" i="1"/>
  <c r="AF951" i="1"/>
  <c r="AF952" i="1"/>
  <c r="AF953" i="1"/>
  <c r="AF954" i="1"/>
  <c r="AF955" i="1"/>
  <c r="AF956" i="1"/>
  <c r="AF957" i="1"/>
  <c r="AF958" i="1"/>
  <c r="AF959" i="1"/>
  <c r="AF960" i="1"/>
  <c r="AF961" i="1"/>
  <c r="AF962" i="1"/>
  <c r="AF963" i="1"/>
  <c r="AF964" i="1"/>
  <c r="AF965" i="1"/>
  <c r="AF966" i="1"/>
  <c r="AF967" i="1"/>
  <c r="AF968" i="1"/>
  <c r="AF969" i="1"/>
  <c r="AF970" i="1"/>
  <c r="AF971" i="1"/>
  <c r="AF972" i="1"/>
  <c r="AF973" i="1"/>
  <c r="AF974" i="1"/>
  <c r="AF975" i="1"/>
  <c r="AF976" i="1"/>
  <c r="AF977" i="1"/>
  <c r="AF978" i="1"/>
  <c r="AF979" i="1"/>
  <c r="AF980" i="1"/>
  <c r="AF981" i="1"/>
  <c r="AF982" i="1"/>
  <c r="AF983" i="1"/>
  <c r="AF984" i="1"/>
  <c r="AF985" i="1"/>
  <c r="AF986" i="1"/>
  <c r="AF987" i="1"/>
  <c r="AF988" i="1"/>
  <c r="AF989" i="1"/>
  <c r="AF990" i="1"/>
  <c r="AF991" i="1"/>
  <c r="AF992" i="1"/>
  <c r="AF993" i="1"/>
  <c r="AF994" i="1"/>
  <c r="AF995" i="1"/>
  <c r="AF996" i="1"/>
  <c r="AF997" i="1"/>
  <c r="AF998" i="1"/>
  <c r="AF999" i="1"/>
  <c r="AF1000" i="1"/>
  <c r="AF1001" i="1"/>
  <c r="AE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D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AD800" i="1"/>
  <c r="AD801" i="1"/>
  <c r="AD802" i="1"/>
  <c r="AD803" i="1"/>
  <c r="AD804" i="1"/>
  <c r="AD805" i="1"/>
  <c r="AD806" i="1"/>
  <c r="AD807" i="1"/>
  <c r="AD808" i="1"/>
  <c r="AD809" i="1"/>
  <c r="AD810" i="1"/>
  <c r="AD811" i="1"/>
  <c r="AD812" i="1"/>
  <c r="AD813" i="1"/>
  <c r="AD814" i="1"/>
  <c r="AD815" i="1"/>
  <c r="AD816" i="1"/>
  <c r="AD817" i="1"/>
  <c r="AD818" i="1"/>
  <c r="AD819" i="1"/>
  <c r="AD820" i="1"/>
  <c r="AD821" i="1"/>
  <c r="AD822" i="1"/>
  <c r="AD823" i="1"/>
  <c r="AD824" i="1"/>
  <c r="AD825" i="1"/>
  <c r="AD826" i="1"/>
  <c r="AD827" i="1"/>
  <c r="AD828" i="1"/>
  <c r="AD829" i="1"/>
  <c r="AD830" i="1"/>
  <c r="AD831" i="1"/>
  <c r="AD832" i="1"/>
  <c r="AD833" i="1"/>
  <c r="AD834" i="1"/>
  <c r="AD835" i="1"/>
  <c r="AD836" i="1"/>
  <c r="AD837" i="1"/>
  <c r="AD838" i="1"/>
  <c r="AD839" i="1"/>
  <c r="AD840" i="1"/>
  <c r="AD841" i="1"/>
  <c r="AD842" i="1"/>
  <c r="AD843" i="1"/>
  <c r="AD844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899" i="1"/>
  <c r="AD900" i="1"/>
  <c r="AD901" i="1"/>
  <c r="AD902" i="1"/>
  <c r="AD903" i="1"/>
  <c r="AD904" i="1"/>
  <c r="AD905" i="1"/>
  <c r="AD906" i="1"/>
  <c r="AD907" i="1"/>
  <c r="AD908" i="1"/>
  <c r="AD909" i="1"/>
  <c r="AD910" i="1"/>
  <c r="AD911" i="1"/>
  <c r="AD912" i="1"/>
  <c r="AD913" i="1"/>
  <c r="AD914" i="1"/>
  <c r="AD915" i="1"/>
  <c r="AD916" i="1"/>
  <c r="AD917" i="1"/>
  <c r="AD918" i="1"/>
  <c r="AD919" i="1"/>
  <c r="AD920" i="1"/>
  <c r="AD921" i="1"/>
  <c r="AD922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AD961" i="1"/>
  <c r="AD962" i="1"/>
  <c r="AD963" i="1"/>
  <c r="AD964" i="1"/>
  <c r="AD965" i="1"/>
  <c r="AD966" i="1"/>
  <c r="AD967" i="1"/>
  <c r="AD968" i="1"/>
  <c r="AD969" i="1"/>
  <c r="AD970" i="1"/>
  <c r="AD971" i="1"/>
  <c r="AD972" i="1"/>
  <c r="AD973" i="1"/>
  <c r="AD974" i="1"/>
  <c r="AD975" i="1"/>
  <c r="AD976" i="1"/>
  <c r="AD977" i="1"/>
  <c r="AD978" i="1"/>
  <c r="AD979" i="1"/>
  <c r="AD980" i="1"/>
  <c r="AD981" i="1"/>
  <c r="AD982" i="1"/>
  <c r="AD983" i="1"/>
  <c r="AD984" i="1"/>
  <c r="AD985" i="1"/>
  <c r="AD986" i="1"/>
  <c r="AD987" i="1"/>
  <c r="AD988" i="1"/>
  <c r="AD989" i="1"/>
  <c r="AD990" i="1"/>
  <c r="AD991" i="1"/>
  <c r="AD992" i="1"/>
  <c r="AD993" i="1"/>
  <c r="AD994" i="1"/>
  <c r="AD995" i="1"/>
  <c r="AD996" i="1"/>
  <c r="AD997" i="1"/>
  <c r="AD998" i="1"/>
  <c r="AD999" i="1"/>
  <c r="AD1000" i="1"/>
  <c r="AD1001" i="1"/>
  <c r="AC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405" i="1"/>
  <c r="AB406" i="1"/>
  <c r="AB407" i="1"/>
  <c r="AB408" i="1"/>
  <c r="AB409" i="1"/>
  <c r="AB410" i="1"/>
  <c r="AB411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B426" i="1"/>
  <c r="AB427" i="1"/>
  <c r="AB428" i="1"/>
  <c r="AB429" i="1"/>
  <c r="AB430" i="1"/>
  <c r="AB431" i="1"/>
  <c r="AB432" i="1"/>
  <c r="AB433" i="1"/>
  <c r="AB434" i="1"/>
  <c r="AB435" i="1"/>
  <c r="AB436" i="1"/>
  <c r="AB437" i="1"/>
  <c r="AB438" i="1"/>
  <c r="AB439" i="1"/>
  <c r="AB440" i="1"/>
  <c r="AB441" i="1"/>
  <c r="AB442" i="1"/>
  <c r="AB443" i="1"/>
  <c r="AB444" i="1"/>
  <c r="AB445" i="1"/>
  <c r="AB446" i="1"/>
  <c r="AB447" i="1"/>
  <c r="AB448" i="1"/>
  <c r="AB449" i="1"/>
  <c r="AB450" i="1"/>
  <c r="AB451" i="1"/>
  <c r="AB452" i="1"/>
  <c r="AB453" i="1"/>
  <c r="AB454" i="1"/>
  <c r="AB455" i="1"/>
  <c r="AB456" i="1"/>
  <c r="AB457" i="1"/>
  <c r="AB458" i="1"/>
  <c r="AB459" i="1"/>
  <c r="AB460" i="1"/>
  <c r="AB461" i="1"/>
  <c r="AB462" i="1"/>
  <c r="AB463" i="1"/>
  <c r="AB464" i="1"/>
  <c r="AB465" i="1"/>
  <c r="AB466" i="1"/>
  <c r="AB467" i="1"/>
  <c r="AB468" i="1"/>
  <c r="AB469" i="1"/>
  <c r="AB470" i="1"/>
  <c r="AB471" i="1"/>
  <c r="AB472" i="1"/>
  <c r="AB473" i="1"/>
  <c r="AB474" i="1"/>
  <c r="AB475" i="1"/>
  <c r="AB476" i="1"/>
  <c r="AB477" i="1"/>
  <c r="AB478" i="1"/>
  <c r="AB479" i="1"/>
  <c r="AB480" i="1"/>
  <c r="AB481" i="1"/>
  <c r="AB482" i="1"/>
  <c r="AB483" i="1"/>
  <c r="AB484" i="1"/>
  <c r="AB485" i="1"/>
  <c r="AB486" i="1"/>
  <c r="AB487" i="1"/>
  <c r="AB488" i="1"/>
  <c r="AB489" i="1"/>
  <c r="AB490" i="1"/>
  <c r="AB491" i="1"/>
  <c r="AB492" i="1"/>
  <c r="AB493" i="1"/>
  <c r="AB494" i="1"/>
  <c r="AB495" i="1"/>
  <c r="AB496" i="1"/>
  <c r="AB497" i="1"/>
  <c r="AB498" i="1"/>
  <c r="AB499" i="1"/>
  <c r="AB500" i="1"/>
  <c r="AB501" i="1"/>
  <c r="AB502" i="1"/>
  <c r="AB503" i="1"/>
  <c r="AB504" i="1"/>
  <c r="AB505" i="1"/>
  <c r="AB506" i="1"/>
  <c r="AB507" i="1"/>
  <c r="AB508" i="1"/>
  <c r="AB509" i="1"/>
  <c r="AB510" i="1"/>
  <c r="AB511" i="1"/>
  <c r="AB512" i="1"/>
  <c r="AB513" i="1"/>
  <c r="AB514" i="1"/>
  <c r="AB515" i="1"/>
  <c r="AB516" i="1"/>
  <c r="AB517" i="1"/>
  <c r="AB518" i="1"/>
  <c r="AB519" i="1"/>
  <c r="AB520" i="1"/>
  <c r="AB521" i="1"/>
  <c r="AB522" i="1"/>
  <c r="AB523" i="1"/>
  <c r="AB524" i="1"/>
  <c r="AB525" i="1"/>
  <c r="AB526" i="1"/>
  <c r="AB527" i="1"/>
  <c r="AB528" i="1"/>
  <c r="AB529" i="1"/>
  <c r="AB530" i="1"/>
  <c r="AB531" i="1"/>
  <c r="AB532" i="1"/>
  <c r="AB533" i="1"/>
  <c r="AB534" i="1"/>
  <c r="AB535" i="1"/>
  <c r="AB536" i="1"/>
  <c r="AB537" i="1"/>
  <c r="AB538" i="1"/>
  <c r="AB539" i="1"/>
  <c r="AB540" i="1"/>
  <c r="AB541" i="1"/>
  <c r="AB542" i="1"/>
  <c r="AB543" i="1"/>
  <c r="AB544" i="1"/>
  <c r="AB545" i="1"/>
  <c r="AB546" i="1"/>
  <c r="AB547" i="1"/>
  <c r="AB548" i="1"/>
  <c r="AB549" i="1"/>
  <c r="AB550" i="1"/>
  <c r="AB551" i="1"/>
  <c r="AB552" i="1"/>
  <c r="AB553" i="1"/>
  <c r="AB554" i="1"/>
  <c r="AB555" i="1"/>
  <c r="AB556" i="1"/>
  <c r="AB557" i="1"/>
  <c r="AB558" i="1"/>
  <c r="AB559" i="1"/>
  <c r="AB560" i="1"/>
  <c r="AB561" i="1"/>
  <c r="AB562" i="1"/>
  <c r="AB563" i="1"/>
  <c r="AB564" i="1"/>
  <c r="AB565" i="1"/>
  <c r="AB566" i="1"/>
  <c r="AB567" i="1"/>
  <c r="AB568" i="1"/>
  <c r="AB569" i="1"/>
  <c r="AB570" i="1"/>
  <c r="AB571" i="1"/>
  <c r="AB572" i="1"/>
  <c r="AB573" i="1"/>
  <c r="AB574" i="1"/>
  <c r="AB575" i="1"/>
  <c r="AB576" i="1"/>
  <c r="AB577" i="1"/>
  <c r="AB578" i="1"/>
  <c r="AB579" i="1"/>
  <c r="AB580" i="1"/>
  <c r="AB581" i="1"/>
  <c r="AB582" i="1"/>
  <c r="AB583" i="1"/>
  <c r="AB584" i="1"/>
  <c r="AB585" i="1"/>
  <c r="AB586" i="1"/>
  <c r="AB587" i="1"/>
  <c r="AB588" i="1"/>
  <c r="AB589" i="1"/>
  <c r="AB590" i="1"/>
  <c r="AB591" i="1"/>
  <c r="AB592" i="1"/>
  <c r="AB593" i="1"/>
  <c r="AB594" i="1"/>
  <c r="AB595" i="1"/>
  <c r="AB596" i="1"/>
  <c r="AB597" i="1"/>
  <c r="AB598" i="1"/>
  <c r="AB599" i="1"/>
  <c r="AB600" i="1"/>
  <c r="AB601" i="1"/>
  <c r="AB602" i="1"/>
  <c r="AB603" i="1"/>
  <c r="AB604" i="1"/>
  <c r="AB605" i="1"/>
  <c r="AB606" i="1"/>
  <c r="AB607" i="1"/>
  <c r="AB608" i="1"/>
  <c r="AB609" i="1"/>
  <c r="AB610" i="1"/>
  <c r="AB611" i="1"/>
  <c r="AB612" i="1"/>
  <c r="AB613" i="1"/>
  <c r="AB614" i="1"/>
  <c r="AB615" i="1"/>
  <c r="AB616" i="1"/>
  <c r="AB617" i="1"/>
  <c r="AB618" i="1"/>
  <c r="AB619" i="1"/>
  <c r="AB620" i="1"/>
  <c r="AB621" i="1"/>
  <c r="AB622" i="1"/>
  <c r="AB623" i="1"/>
  <c r="AB624" i="1"/>
  <c r="AB625" i="1"/>
  <c r="AB626" i="1"/>
  <c r="AB627" i="1"/>
  <c r="AB628" i="1"/>
  <c r="AB629" i="1"/>
  <c r="AB630" i="1"/>
  <c r="AB631" i="1"/>
  <c r="AB632" i="1"/>
  <c r="AB633" i="1"/>
  <c r="AB634" i="1"/>
  <c r="AB635" i="1"/>
  <c r="AB636" i="1"/>
  <c r="AB637" i="1"/>
  <c r="AB638" i="1"/>
  <c r="AB639" i="1"/>
  <c r="AB640" i="1"/>
  <c r="AB641" i="1"/>
  <c r="AB642" i="1"/>
  <c r="AB643" i="1"/>
  <c r="AB644" i="1"/>
  <c r="AB645" i="1"/>
  <c r="AB646" i="1"/>
  <c r="AB647" i="1"/>
  <c r="AB648" i="1"/>
  <c r="AB649" i="1"/>
  <c r="AB650" i="1"/>
  <c r="AB651" i="1"/>
  <c r="AB652" i="1"/>
  <c r="AB653" i="1"/>
  <c r="AB654" i="1"/>
  <c r="AB655" i="1"/>
  <c r="AB656" i="1"/>
  <c r="AB657" i="1"/>
  <c r="AB658" i="1"/>
  <c r="AB659" i="1"/>
  <c r="AB660" i="1"/>
  <c r="AB661" i="1"/>
  <c r="AB662" i="1"/>
  <c r="AB663" i="1"/>
  <c r="AB664" i="1"/>
  <c r="AB665" i="1"/>
  <c r="AB666" i="1"/>
  <c r="AB667" i="1"/>
  <c r="AB668" i="1"/>
  <c r="AB669" i="1"/>
  <c r="AB670" i="1"/>
  <c r="AB671" i="1"/>
  <c r="AB672" i="1"/>
  <c r="AB673" i="1"/>
  <c r="AB674" i="1"/>
  <c r="AB675" i="1"/>
  <c r="AB676" i="1"/>
  <c r="AB677" i="1"/>
  <c r="AB678" i="1"/>
  <c r="AB679" i="1"/>
  <c r="AB680" i="1"/>
  <c r="AB681" i="1"/>
  <c r="AB682" i="1"/>
  <c r="AB683" i="1"/>
  <c r="AB684" i="1"/>
  <c r="AB685" i="1"/>
  <c r="AB686" i="1"/>
  <c r="AB687" i="1"/>
  <c r="AB688" i="1"/>
  <c r="AB689" i="1"/>
  <c r="AB690" i="1"/>
  <c r="AB691" i="1"/>
  <c r="AB692" i="1"/>
  <c r="AB693" i="1"/>
  <c r="AB694" i="1"/>
  <c r="AB695" i="1"/>
  <c r="AB696" i="1"/>
  <c r="AB697" i="1"/>
  <c r="AB698" i="1"/>
  <c r="AB699" i="1"/>
  <c r="AB700" i="1"/>
  <c r="AB701" i="1"/>
  <c r="AB702" i="1"/>
  <c r="AB703" i="1"/>
  <c r="AB704" i="1"/>
  <c r="AB705" i="1"/>
  <c r="AB706" i="1"/>
  <c r="AB707" i="1"/>
  <c r="AB708" i="1"/>
  <c r="AB709" i="1"/>
  <c r="AB710" i="1"/>
  <c r="AB711" i="1"/>
  <c r="AB712" i="1"/>
  <c r="AB713" i="1"/>
  <c r="AB714" i="1"/>
  <c r="AB715" i="1"/>
  <c r="AB716" i="1"/>
  <c r="AB717" i="1"/>
  <c r="AB718" i="1"/>
  <c r="AB719" i="1"/>
  <c r="AB720" i="1"/>
  <c r="AB721" i="1"/>
  <c r="AB722" i="1"/>
  <c r="AB723" i="1"/>
  <c r="AB724" i="1"/>
  <c r="AB725" i="1"/>
  <c r="AB726" i="1"/>
  <c r="AB727" i="1"/>
  <c r="AB728" i="1"/>
  <c r="AB729" i="1"/>
  <c r="AB730" i="1"/>
  <c r="AB731" i="1"/>
  <c r="AB732" i="1"/>
  <c r="AB733" i="1"/>
  <c r="AB734" i="1"/>
  <c r="AB735" i="1"/>
  <c r="AB736" i="1"/>
  <c r="AB737" i="1"/>
  <c r="AB738" i="1"/>
  <c r="AB739" i="1"/>
  <c r="AB740" i="1"/>
  <c r="AB741" i="1"/>
  <c r="AB742" i="1"/>
  <c r="AB743" i="1"/>
  <c r="AB744" i="1"/>
  <c r="AB745" i="1"/>
  <c r="AB746" i="1"/>
  <c r="AB747" i="1"/>
  <c r="AB748" i="1"/>
  <c r="AB749" i="1"/>
  <c r="AB750" i="1"/>
  <c r="AB751" i="1"/>
  <c r="AB752" i="1"/>
  <c r="AB753" i="1"/>
  <c r="AB754" i="1"/>
  <c r="AB755" i="1"/>
  <c r="AB756" i="1"/>
  <c r="AB757" i="1"/>
  <c r="AB758" i="1"/>
  <c r="AB759" i="1"/>
  <c r="AB760" i="1"/>
  <c r="AB761" i="1"/>
  <c r="AB762" i="1"/>
  <c r="AB763" i="1"/>
  <c r="AB764" i="1"/>
  <c r="AB765" i="1"/>
  <c r="AB766" i="1"/>
  <c r="AB767" i="1"/>
  <c r="AB768" i="1"/>
  <c r="AB769" i="1"/>
  <c r="AB770" i="1"/>
  <c r="AB771" i="1"/>
  <c r="AB772" i="1"/>
  <c r="AB773" i="1"/>
  <c r="AB774" i="1"/>
  <c r="AB775" i="1"/>
  <c r="AB776" i="1"/>
  <c r="AB777" i="1"/>
  <c r="AB778" i="1"/>
  <c r="AB779" i="1"/>
  <c r="AB780" i="1"/>
  <c r="AB781" i="1"/>
  <c r="AB782" i="1"/>
  <c r="AB783" i="1"/>
  <c r="AB784" i="1"/>
  <c r="AB785" i="1"/>
  <c r="AB786" i="1"/>
  <c r="AB787" i="1"/>
  <c r="AB788" i="1"/>
  <c r="AB789" i="1"/>
  <c r="AB790" i="1"/>
  <c r="AB791" i="1"/>
  <c r="AB792" i="1"/>
  <c r="AB793" i="1"/>
  <c r="AB794" i="1"/>
  <c r="AB795" i="1"/>
  <c r="AB796" i="1"/>
  <c r="AB797" i="1"/>
  <c r="AB798" i="1"/>
  <c r="AB799" i="1"/>
  <c r="AB800" i="1"/>
  <c r="AB801" i="1"/>
  <c r="AB802" i="1"/>
  <c r="AB803" i="1"/>
  <c r="AB804" i="1"/>
  <c r="AB805" i="1"/>
  <c r="AB806" i="1"/>
  <c r="AB807" i="1"/>
  <c r="AB808" i="1"/>
  <c r="AB809" i="1"/>
  <c r="AB810" i="1"/>
  <c r="AB811" i="1"/>
  <c r="AB812" i="1"/>
  <c r="AB813" i="1"/>
  <c r="AB814" i="1"/>
  <c r="AB815" i="1"/>
  <c r="AB816" i="1"/>
  <c r="AB817" i="1"/>
  <c r="AB818" i="1"/>
  <c r="AB819" i="1"/>
  <c r="AB820" i="1"/>
  <c r="AB821" i="1"/>
  <c r="AB822" i="1"/>
  <c r="AB823" i="1"/>
  <c r="AB824" i="1"/>
  <c r="AB825" i="1"/>
  <c r="AB826" i="1"/>
  <c r="AB827" i="1"/>
  <c r="AB828" i="1"/>
  <c r="AB829" i="1"/>
  <c r="AB830" i="1"/>
  <c r="AB831" i="1"/>
  <c r="AB832" i="1"/>
  <c r="AB833" i="1"/>
  <c r="AB834" i="1"/>
  <c r="AB835" i="1"/>
  <c r="AB836" i="1"/>
  <c r="AB837" i="1"/>
  <c r="AB838" i="1"/>
  <c r="AB839" i="1"/>
  <c r="AB840" i="1"/>
  <c r="AB841" i="1"/>
  <c r="AB842" i="1"/>
  <c r="AB843" i="1"/>
  <c r="AB844" i="1"/>
  <c r="AB845" i="1"/>
  <c r="AB846" i="1"/>
  <c r="AB847" i="1"/>
  <c r="AB848" i="1"/>
  <c r="AB849" i="1"/>
  <c r="AB850" i="1"/>
  <c r="AB851" i="1"/>
  <c r="AB852" i="1"/>
  <c r="AB853" i="1"/>
  <c r="AB854" i="1"/>
  <c r="AB855" i="1"/>
  <c r="AB856" i="1"/>
  <c r="AB857" i="1"/>
  <c r="AB858" i="1"/>
  <c r="AB859" i="1"/>
  <c r="AB860" i="1"/>
  <c r="AB861" i="1"/>
  <c r="AB862" i="1"/>
  <c r="AB863" i="1"/>
  <c r="AB864" i="1"/>
  <c r="AB865" i="1"/>
  <c r="AB866" i="1"/>
  <c r="AB867" i="1"/>
  <c r="AB868" i="1"/>
  <c r="AB869" i="1"/>
  <c r="AB870" i="1"/>
  <c r="AB871" i="1"/>
  <c r="AB872" i="1"/>
  <c r="AB873" i="1"/>
  <c r="AB874" i="1"/>
  <c r="AB875" i="1"/>
  <c r="AB876" i="1"/>
  <c r="AB877" i="1"/>
  <c r="AB878" i="1"/>
  <c r="AB879" i="1"/>
  <c r="AB880" i="1"/>
  <c r="AB881" i="1"/>
  <c r="AB882" i="1"/>
  <c r="AB883" i="1"/>
  <c r="AB884" i="1"/>
  <c r="AB885" i="1"/>
  <c r="AB886" i="1"/>
  <c r="AB887" i="1"/>
  <c r="AB888" i="1"/>
  <c r="AB889" i="1"/>
  <c r="AB890" i="1"/>
  <c r="AB891" i="1"/>
  <c r="AB892" i="1"/>
  <c r="AB893" i="1"/>
  <c r="AB894" i="1"/>
  <c r="AB895" i="1"/>
  <c r="AB896" i="1"/>
  <c r="AB897" i="1"/>
  <c r="AB898" i="1"/>
  <c r="AB899" i="1"/>
  <c r="AB900" i="1"/>
  <c r="AB901" i="1"/>
  <c r="AB902" i="1"/>
  <c r="AB903" i="1"/>
  <c r="AB904" i="1"/>
  <c r="AB905" i="1"/>
  <c r="AB906" i="1"/>
  <c r="AB907" i="1"/>
  <c r="AB908" i="1"/>
  <c r="AB909" i="1"/>
  <c r="AB910" i="1"/>
  <c r="AB911" i="1"/>
  <c r="AB912" i="1"/>
  <c r="AB913" i="1"/>
  <c r="AB914" i="1"/>
  <c r="AB915" i="1"/>
  <c r="AB916" i="1"/>
  <c r="AB917" i="1"/>
  <c r="AB918" i="1"/>
  <c r="AB919" i="1"/>
  <c r="AB920" i="1"/>
  <c r="AB921" i="1"/>
  <c r="AB922" i="1"/>
  <c r="AB923" i="1"/>
  <c r="AB924" i="1"/>
  <c r="AB925" i="1"/>
  <c r="AB926" i="1"/>
  <c r="AB927" i="1"/>
  <c r="AB928" i="1"/>
  <c r="AB929" i="1"/>
  <c r="AB930" i="1"/>
  <c r="AB931" i="1"/>
  <c r="AB932" i="1"/>
  <c r="AB933" i="1"/>
  <c r="AB934" i="1"/>
  <c r="AB935" i="1"/>
  <c r="AB936" i="1"/>
  <c r="AB937" i="1"/>
  <c r="AB938" i="1"/>
  <c r="AB939" i="1"/>
  <c r="AB940" i="1"/>
  <c r="AB941" i="1"/>
  <c r="AB942" i="1"/>
  <c r="AB943" i="1"/>
  <c r="AB944" i="1"/>
  <c r="AB945" i="1"/>
  <c r="AB946" i="1"/>
  <c r="AB947" i="1"/>
  <c r="AB948" i="1"/>
  <c r="AB949" i="1"/>
  <c r="AB950" i="1"/>
  <c r="AB951" i="1"/>
  <c r="AB952" i="1"/>
  <c r="AB953" i="1"/>
  <c r="AB954" i="1"/>
  <c r="AB955" i="1"/>
  <c r="AB956" i="1"/>
  <c r="AB957" i="1"/>
  <c r="AB958" i="1"/>
  <c r="AB959" i="1"/>
  <c r="AB960" i="1"/>
  <c r="AB961" i="1"/>
  <c r="AB962" i="1"/>
  <c r="AB963" i="1"/>
  <c r="AB964" i="1"/>
  <c r="AB965" i="1"/>
  <c r="AB966" i="1"/>
  <c r="AB967" i="1"/>
  <c r="AB968" i="1"/>
  <c r="AB969" i="1"/>
  <c r="AB970" i="1"/>
  <c r="AB971" i="1"/>
  <c r="AB972" i="1"/>
  <c r="AB973" i="1"/>
  <c r="AB974" i="1"/>
  <c r="AB975" i="1"/>
  <c r="AB976" i="1"/>
  <c r="AB977" i="1"/>
  <c r="AB978" i="1"/>
  <c r="AB979" i="1"/>
  <c r="AB980" i="1"/>
  <c r="AB981" i="1"/>
  <c r="AB982" i="1"/>
  <c r="AB983" i="1"/>
  <c r="AB984" i="1"/>
  <c r="AB985" i="1"/>
  <c r="AB986" i="1"/>
  <c r="AB987" i="1"/>
  <c r="AB988" i="1"/>
  <c r="AB989" i="1"/>
  <c r="AB990" i="1"/>
  <c r="AB991" i="1"/>
  <c r="AB992" i="1"/>
  <c r="AB993" i="1"/>
  <c r="AB994" i="1"/>
  <c r="AB995" i="1"/>
  <c r="AB996" i="1"/>
  <c r="AB997" i="1"/>
  <c r="AB998" i="1"/>
  <c r="AB999" i="1"/>
  <c r="AB1000" i="1"/>
  <c r="AB1001" i="1"/>
  <c r="AA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I5" i="8"/>
  <c r="I4" i="8"/>
  <c r="I3" i="8"/>
  <c r="I2" i="8"/>
  <c r="H5" i="8"/>
  <c r="H4" i="8"/>
  <c r="H3" i="8"/>
  <c r="H2" i="8"/>
  <c r="G5" i="8"/>
  <c r="G4" i="8"/>
  <c r="G3" i="8"/>
  <c r="G2" i="8"/>
  <c r="F5" i="8"/>
  <c r="F4" i="8"/>
  <c r="F3" i="8"/>
  <c r="F2" i="8"/>
  <c r="C2" i="8"/>
  <c r="D2" i="8"/>
  <c r="E2" i="8"/>
  <c r="E5" i="8"/>
  <c r="E4" i="8"/>
  <c r="E3" i="8"/>
  <c r="D5" i="8"/>
  <c r="D4" i="8"/>
  <c r="D3" i="8"/>
  <c r="C5" i="8"/>
  <c r="C4" i="8"/>
  <c r="C3" i="8"/>
  <c r="B5" i="8"/>
  <c r="B4" i="8"/>
  <c r="B3" i="8"/>
  <c r="B2" i="8"/>
  <c r="V1001" i="1"/>
  <c r="R1001" i="1" a="1"/>
  <c r="R1001" i="1" s="1"/>
  <c r="V1000" i="1"/>
  <c r="R1000" i="1" a="1"/>
  <c r="R1000" i="1" s="1"/>
  <c r="V999" i="1"/>
  <c r="R999" i="1" a="1"/>
  <c r="R999" i="1" s="1"/>
  <c r="V998" i="1"/>
  <c r="R998" i="1" a="1"/>
  <c r="R998" i="1" s="1"/>
  <c r="V997" i="1"/>
  <c r="R997" i="1" a="1"/>
  <c r="R997" i="1" s="1"/>
  <c r="V996" i="1"/>
  <c r="R996" i="1" a="1"/>
  <c r="R996" i="1" s="1"/>
  <c r="T996" i="1" s="1"/>
  <c r="V995" i="1"/>
  <c r="R995" i="1" a="1"/>
  <c r="R995" i="1" s="1"/>
  <c r="X995" i="1" s="1"/>
  <c r="V994" i="1"/>
  <c r="R994" i="1" a="1"/>
  <c r="R994" i="1" s="1"/>
  <c r="V993" i="1"/>
  <c r="W993" i="1" s="1" a="1"/>
  <c r="W993" i="1" s="1"/>
  <c r="R993" i="1" a="1"/>
  <c r="R993" i="1" s="1"/>
  <c r="V992" i="1"/>
  <c r="R992" i="1" a="1"/>
  <c r="R992" i="1" s="1"/>
  <c r="Y992" i="1" s="1"/>
  <c r="V991" i="1"/>
  <c r="R991" i="1" a="1"/>
  <c r="R991" i="1" s="1"/>
  <c r="V990" i="1"/>
  <c r="R990" i="1" a="1"/>
  <c r="R990" i="1" s="1"/>
  <c r="T990" i="1" s="1"/>
  <c r="V989" i="1"/>
  <c r="R989" i="1" a="1"/>
  <c r="R989" i="1" s="1"/>
  <c r="X989" i="1" s="1"/>
  <c r="V988" i="1"/>
  <c r="R988" i="1" a="1"/>
  <c r="R988" i="1" s="1"/>
  <c r="T988" i="1" s="1"/>
  <c r="V987" i="1"/>
  <c r="R987" i="1" a="1"/>
  <c r="R987" i="1" s="1"/>
  <c r="X987" i="1" s="1"/>
  <c r="V986" i="1"/>
  <c r="R986" i="1" a="1"/>
  <c r="R986" i="1" s="1"/>
  <c r="V985" i="1"/>
  <c r="R985" i="1" a="1"/>
  <c r="R985" i="1" s="1"/>
  <c r="V984" i="1"/>
  <c r="R984" i="1" a="1"/>
  <c r="R984" i="1" s="1"/>
  <c r="V983" i="1"/>
  <c r="R983" i="1" a="1"/>
  <c r="R983" i="1" s="1"/>
  <c r="V982" i="1"/>
  <c r="R982" i="1" a="1"/>
  <c r="R982" i="1" s="1"/>
  <c r="T982" i="1" s="1"/>
  <c r="V981" i="1"/>
  <c r="R981" i="1" a="1"/>
  <c r="R981" i="1" s="1"/>
  <c r="X981" i="1" s="1"/>
  <c r="V980" i="1"/>
  <c r="R980" i="1" a="1"/>
  <c r="R980" i="1" s="1"/>
  <c r="T980" i="1" s="1"/>
  <c r="V979" i="1"/>
  <c r="R979" i="1" a="1"/>
  <c r="R979" i="1" s="1"/>
  <c r="X979" i="1" s="1"/>
  <c r="V978" i="1"/>
  <c r="R978" i="1" a="1"/>
  <c r="R978" i="1" s="1"/>
  <c r="V977" i="1"/>
  <c r="R977" i="1" a="1"/>
  <c r="R977" i="1" s="1"/>
  <c r="V976" i="1"/>
  <c r="R976" i="1" a="1"/>
  <c r="R976" i="1" s="1"/>
  <c r="Y976" i="1" s="1"/>
  <c r="V975" i="1"/>
  <c r="R975" i="1" a="1"/>
  <c r="R975" i="1" s="1"/>
  <c r="S975" i="1" s="1"/>
  <c r="V974" i="1"/>
  <c r="R974" i="1" a="1"/>
  <c r="R974" i="1" s="1"/>
  <c r="V973" i="1"/>
  <c r="R973" i="1" a="1"/>
  <c r="R973" i="1" s="1"/>
  <c r="X973" i="1" s="1"/>
  <c r="V972" i="1"/>
  <c r="R972" i="1" a="1"/>
  <c r="R972" i="1" s="1"/>
  <c r="T972" i="1" s="1"/>
  <c r="V971" i="1"/>
  <c r="R971" i="1" a="1"/>
  <c r="R971" i="1" s="1"/>
  <c r="U971" i="1" s="1"/>
  <c r="V970" i="1"/>
  <c r="R970" i="1" a="1"/>
  <c r="R970" i="1" s="1"/>
  <c r="V969" i="1"/>
  <c r="R969" i="1" a="1"/>
  <c r="R969" i="1" s="1"/>
  <c r="V968" i="1"/>
  <c r="R968" i="1" a="1"/>
  <c r="R968" i="1" s="1"/>
  <c r="V967" i="1"/>
  <c r="R967" i="1" a="1"/>
  <c r="R967" i="1" s="1"/>
  <c r="X967" i="1" s="1"/>
  <c r="V966" i="1"/>
  <c r="R966" i="1" a="1"/>
  <c r="R966" i="1" s="1"/>
  <c r="T966" i="1" s="1"/>
  <c r="V965" i="1"/>
  <c r="R965" i="1" a="1"/>
  <c r="R965" i="1" s="1"/>
  <c r="U965" i="1" s="1"/>
  <c r="V964" i="1"/>
  <c r="R964" i="1" a="1"/>
  <c r="R964" i="1" s="1"/>
  <c r="V963" i="1"/>
  <c r="R963" i="1" a="1"/>
  <c r="R963" i="1" s="1"/>
  <c r="Z963" i="1" s="1"/>
  <c r="V962" i="1"/>
  <c r="R962" i="1" a="1"/>
  <c r="R962" i="1" s="1"/>
  <c r="W962" i="1" s="1" a="1"/>
  <c r="W962" i="1" s="1"/>
  <c r="V961" i="1"/>
  <c r="R961" i="1" a="1"/>
  <c r="R961" i="1" s="1"/>
  <c r="S961" i="1" s="1"/>
  <c r="V960" i="1"/>
  <c r="R960" i="1" a="1"/>
  <c r="R960" i="1" s="1"/>
  <c r="U960" i="1" s="1"/>
  <c r="V959" i="1"/>
  <c r="R959" i="1" a="1"/>
  <c r="R959" i="1" s="1"/>
  <c r="X959" i="1" s="1"/>
  <c r="V958" i="1"/>
  <c r="R958" i="1" a="1"/>
  <c r="R958" i="1" s="1"/>
  <c r="V957" i="1"/>
  <c r="R957" i="1" a="1"/>
  <c r="R957" i="1" s="1"/>
  <c r="W957" i="1" s="1" a="1"/>
  <c r="W957" i="1" s="1"/>
  <c r="V956" i="1"/>
  <c r="R956" i="1" a="1"/>
  <c r="R956" i="1" s="1"/>
  <c r="V955" i="1"/>
  <c r="R955" i="1" a="1"/>
  <c r="R955" i="1" s="1"/>
  <c r="V954" i="1"/>
  <c r="R954" i="1" a="1"/>
  <c r="R954" i="1" s="1"/>
  <c r="T954" i="1" s="1"/>
  <c r="V953" i="1"/>
  <c r="R953" i="1" a="1"/>
  <c r="R953" i="1" s="1"/>
  <c r="V952" i="1"/>
  <c r="R952" i="1" a="1"/>
  <c r="R952" i="1" s="1"/>
  <c r="V951" i="1"/>
  <c r="R951" i="1" a="1"/>
  <c r="R951" i="1" s="1"/>
  <c r="X951" i="1" s="1"/>
  <c r="V950" i="1"/>
  <c r="R950" i="1" a="1"/>
  <c r="R950" i="1" s="1"/>
  <c r="Z950" i="1" s="1"/>
  <c r="V949" i="1"/>
  <c r="R949" i="1" a="1"/>
  <c r="R949" i="1" s="1"/>
  <c r="U949" i="1" s="1"/>
  <c r="V948" i="1"/>
  <c r="R948" i="1" a="1"/>
  <c r="R948" i="1" s="1"/>
  <c r="V947" i="1"/>
  <c r="R947" i="1" a="1"/>
  <c r="R947" i="1" s="1"/>
  <c r="V946" i="1"/>
  <c r="R946" i="1" a="1"/>
  <c r="R946" i="1" s="1"/>
  <c r="T946" i="1" s="1"/>
  <c r="Z945" i="1"/>
  <c r="V945" i="1"/>
  <c r="R945" i="1" a="1"/>
  <c r="R945" i="1" s="1"/>
  <c r="U945" i="1" s="1"/>
  <c r="V944" i="1"/>
  <c r="R944" i="1" a="1"/>
  <c r="R944" i="1" s="1"/>
  <c r="T944" i="1" s="1"/>
  <c r="V943" i="1"/>
  <c r="R943" i="1" a="1"/>
  <c r="R943" i="1" s="1"/>
  <c r="V942" i="1"/>
  <c r="R942" i="1" a="1"/>
  <c r="R942" i="1" s="1"/>
  <c r="V941" i="1"/>
  <c r="R941" i="1" a="1"/>
  <c r="R941" i="1" s="1"/>
  <c r="Z941" i="1" s="1"/>
  <c r="V940" i="1"/>
  <c r="R940" i="1" a="1"/>
  <c r="R940" i="1" s="1"/>
  <c r="V939" i="1"/>
  <c r="R939" i="1" a="1"/>
  <c r="R939" i="1" s="1"/>
  <c r="T939" i="1" s="1"/>
  <c r="V938" i="1"/>
  <c r="R938" i="1" a="1"/>
  <c r="R938" i="1" s="1"/>
  <c r="V937" i="1"/>
  <c r="R937" i="1" a="1"/>
  <c r="R937" i="1" s="1"/>
  <c r="U937" i="1" s="1"/>
  <c r="V936" i="1"/>
  <c r="R936" i="1" a="1"/>
  <c r="R936" i="1" s="1"/>
  <c r="U936" i="1" s="1"/>
  <c r="V935" i="1"/>
  <c r="R935" i="1" a="1"/>
  <c r="R935" i="1" s="1"/>
  <c r="S935" i="1" s="1"/>
  <c r="V934" i="1"/>
  <c r="R934" i="1" a="1"/>
  <c r="R934" i="1" s="1"/>
  <c r="V933" i="1"/>
  <c r="R933" i="1" a="1"/>
  <c r="R933" i="1" s="1"/>
  <c r="U933" i="1" s="1"/>
  <c r="V932" i="1"/>
  <c r="R932" i="1" a="1"/>
  <c r="R932" i="1" s="1"/>
  <c r="V931" i="1"/>
  <c r="R931" i="1" a="1"/>
  <c r="R931" i="1" s="1"/>
  <c r="V930" i="1"/>
  <c r="R930" i="1" a="1"/>
  <c r="R930" i="1" s="1"/>
  <c r="X930" i="1" s="1"/>
  <c r="V929" i="1"/>
  <c r="R929" i="1" a="1"/>
  <c r="R929" i="1" s="1"/>
  <c r="V928" i="1"/>
  <c r="R928" i="1" a="1"/>
  <c r="R928" i="1" s="1"/>
  <c r="Z928" i="1" s="1"/>
  <c r="V927" i="1"/>
  <c r="R927" i="1" a="1"/>
  <c r="R927" i="1" s="1"/>
  <c r="V926" i="1"/>
  <c r="R926" i="1" a="1"/>
  <c r="R926" i="1" s="1"/>
  <c r="V925" i="1"/>
  <c r="R925" i="1" a="1"/>
  <c r="R925" i="1" s="1"/>
  <c r="T925" i="1" s="1"/>
  <c r="V924" i="1"/>
  <c r="R924" i="1"/>
  <c r="R924" i="1" a="1"/>
  <c r="V923" i="1"/>
  <c r="R923" i="1" a="1"/>
  <c r="R923" i="1" s="1"/>
  <c r="X923" i="1" s="1"/>
  <c r="V922" i="1"/>
  <c r="R922" i="1" a="1"/>
  <c r="R922" i="1" s="1"/>
  <c r="X922" i="1" s="1"/>
  <c r="V921" i="1"/>
  <c r="R921" i="1" a="1"/>
  <c r="R921" i="1" s="1"/>
  <c r="S921" i="1" s="1"/>
  <c r="V920" i="1"/>
  <c r="R920" i="1" a="1"/>
  <c r="R920" i="1" s="1"/>
  <c r="Z920" i="1" s="1"/>
  <c r="V919" i="1"/>
  <c r="U919" i="1"/>
  <c r="R919" i="1" a="1"/>
  <c r="R919" i="1" s="1"/>
  <c r="V918" i="1"/>
  <c r="R918" i="1" a="1"/>
  <c r="R918" i="1" s="1"/>
  <c r="V917" i="1"/>
  <c r="R917" i="1" a="1"/>
  <c r="R917" i="1" s="1"/>
  <c r="Z917" i="1" s="1"/>
  <c r="V916" i="1"/>
  <c r="R916" i="1" a="1"/>
  <c r="R916" i="1" s="1"/>
  <c r="S916" i="1" s="1"/>
  <c r="V915" i="1"/>
  <c r="R915" i="1" a="1"/>
  <c r="R915" i="1" s="1"/>
  <c r="X915" i="1" s="1"/>
  <c r="V914" i="1"/>
  <c r="R914" i="1" a="1"/>
  <c r="R914" i="1" s="1"/>
  <c r="T914" i="1" s="1"/>
  <c r="V913" i="1"/>
  <c r="R913" i="1" a="1"/>
  <c r="R913" i="1" s="1"/>
  <c r="S913" i="1" s="1"/>
  <c r="V912" i="1"/>
  <c r="R912" i="1" a="1"/>
  <c r="R912" i="1" s="1"/>
  <c r="S912" i="1" s="1"/>
  <c r="V911" i="1"/>
  <c r="R911" i="1" a="1"/>
  <c r="R911" i="1" s="1"/>
  <c r="Y911" i="1" s="1"/>
  <c r="V910" i="1"/>
  <c r="R910" i="1" a="1"/>
  <c r="R910" i="1" s="1"/>
  <c r="V909" i="1"/>
  <c r="R909" i="1" a="1"/>
  <c r="R909" i="1" s="1"/>
  <c r="Z909" i="1" s="1"/>
  <c r="V908" i="1"/>
  <c r="R908" i="1" a="1"/>
  <c r="R908" i="1" s="1"/>
  <c r="Z908" i="1" s="1"/>
  <c r="V907" i="1"/>
  <c r="R907" i="1" a="1"/>
  <c r="R907" i="1" s="1"/>
  <c r="X907" i="1" s="1"/>
  <c r="V906" i="1"/>
  <c r="R906" i="1" a="1"/>
  <c r="R906" i="1" s="1"/>
  <c r="T906" i="1" s="1"/>
  <c r="V905" i="1"/>
  <c r="R905" i="1" a="1"/>
  <c r="R905" i="1" s="1"/>
  <c r="V904" i="1"/>
  <c r="R904" i="1" a="1"/>
  <c r="R904" i="1" s="1"/>
  <c r="Z904" i="1" s="1"/>
  <c r="V903" i="1"/>
  <c r="R903" i="1" a="1"/>
  <c r="R903" i="1" s="1"/>
  <c r="V902" i="1"/>
  <c r="R902" i="1" a="1"/>
  <c r="R902" i="1" s="1"/>
  <c r="V901" i="1"/>
  <c r="R901" i="1" a="1"/>
  <c r="R901" i="1" s="1"/>
  <c r="Z901" i="1" s="1"/>
  <c r="V900" i="1"/>
  <c r="R900" i="1" a="1"/>
  <c r="R900" i="1" s="1"/>
  <c r="V899" i="1"/>
  <c r="R899" i="1" a="1"/>
  <c r="R899" i="1" s="1"/>
  <c r="V898" i="1"/>
  <c r="R898" i="1" a="1"/>
  <c r="R898" i="1" s="1"/>
  <c r="U898" i="1" s="1"/>
  <c r="V897" i="1"/>
  <c r="R897" i="1" a="1"/>
  <c r="R897" i="1" s="1"/>
  <c r="V896" i="1"/>
  <c r="R896" i="1" a="1"/>
  <c r="R896" i="1" s="1"/>
  <c r="V895" i="1"/>
  <c r="R895" i="1" a="1"/>
  <c r="R895" i="1" s="1"/>
  <c r="V894" i="1"/>
  <c r="R894" i="1" a="1"/>
  <c r="R894" i="1" s="1"/>
  <c r="V893" i="1"/>
  <c r="R893" i="1" a="1"/>
  <c r="R893" i="1" s="1"/>
  <c r="Z893" i="1" s="1"/>
  <c r="V892" i="1"/>
  <c r="R892" i="1" a="1"/>
  <c r="R892" i="1" s="1"/>
  <c r="V891" i="1"/>
  <c r="R891" i="1" a="1"/>
  <c r="R891" i="1" s="1"/>
  <c r="V890" i="1"/>
  <c r="R890" i="1" a="1"/>
  <c r="R890" i="1" s="1"/>
  <c r="U890" i="1" s="1"/>
  <c r="V889" i="1"/>
  <c r="R889" i="1" a="1"/>
  <c r="R889" i="1" s="1"/>
  <c r="V888" i="1"/>
  <c r="R888" i="1" a="1"/>
  <c r="R888" i="1" s="1"/>
  <c r="S888" i="1" s="1"/>
  <c r="V887" i="1"/>
  <c r="R887" i="1" a="1"/>
  <c r="R887" i="1" s="1"/>
  <c r="U887" i="1" s="1"/>
  <c r="V886" i="1"/>
  <c r="R886" i="1" a="1"/>
  <c r="R886" i="1" s="1"/>
  <c r="V885" i="1"/>
  <c r="R885" i="1" a="1"/>
  <c r="R885" i="1" s="1"/>
  <c r="Z885" i="1" s="1"/>
  <c r="V884" i="1"/>
  <c r="R884" i="1" a="1"/>
  <c r="R884" i="1" s="1"/>
  <c r="Y884" i="1" s="1"/>
  <c r="V883" i="1"/>
  <c r="R883" i="1" a="1"/>
  <c r="R883" i="1" s="1"/>
  <c r="X883" i="1" s="1"/>
  <c r="V882" i="1"/>
  <c r="R882" i="1" a="1"/>
  <c r="R882" i="1" s="1"/>
  <c r="T882" i="1" s="1"/>
  <c r="V881" i="1"/>
  <c r="R881" i="1" a="1"/>
  <c r="R881" i="1" s="1"/>
  <c r="S881" i="1" s="1"/>
  <c r="V880" i="1"/>
  <c r="R880" i="1" a="1"/>
  <c r="R880" i="1" s="1"/>
  <c r="V879" i="1"/>
  <c r="R879" i="1" a="1"/>
  <c r="R879" i="1" s="1"/>
  <c r="U879" i="1" s="1"/>
  <c r="V878" i="1"/>
  <c r="R878" i="1" a="1"/>
  <c r="R878" i="1" s="1"/>
  <c r="V877" i="1"/>
  <c r="R877" i="1" a="1"/>
  <c r="R877" i="1" s="1"/>
  <c r="V876" i="1"/>
  <c r="R876" i="1" a="1"/>
  <c r="R876" i="1" s="1"/>
  <c r="U876" i="1" s="1"/>
  <c r="V875" i="1"/>
  <c r="R875" i="1" a="1"/>
  <c r="R875" i="1" s="1"/>
  <c r="V874" i="1"/>
  <c r="R874" i="1" a="1"/>
  <c r="R874" i="1" s="1"/>
  <c r="V873" i="1"/>
  <c r="R873" i="1" a="1"/>
  <c r="R873" i="1" s="1"/>
  <c r="X873" i="1" s="1"/>
  <c r="V872" i="1"/>
  <c r="R872" i="1" a="1"/>
  <c r="R872" i="1" s="1"/>
  <c r="V871" i="1"/>
  <c r="R871" i="1" a="1"/>
  <c r="R871" i="1" s="1"/>
  <c r="V870" i="1"/>
  <c r="R870" i="1" a="1"/>
  <c r="R870" i="1" s="1"/>
  <c r="Y870" i="1" s="1"/>
  <c r="V869" i="1"/>
  <c r="R869" i="1" a="1"/>
  <c r="R869" i="1" s="1"/>
  <c r="Y869" i="1" s="1"/>
  <c r="X868" i="1"/>
  <c r="V868" i="1"/>
  <c r="R868" i="1" a="1"/>
  <c r="R868" i="1" s="1"/>
  <c r="V867" i="1"/>
  <c r="R867" i="1" a="1"/>
  <c r="R867" i="1" s="1"/>
  <c r="W867" i="1" s="1" a="1"/>
  <c r="W867" i="1" s="1"/>
  <c r="V866" i="1"/>
  <c r="R866" i="1" a="1"/>
  <c r="R866" i="1" s="1"/>
  <c r="S866" i="1" s="1"/>
  <c r="V865" i="1"/>
  <c r="R865" i="1" a="1"/>
  <c r="R865" i="1" s="1"/>
  <c r="T865" i="1" s="1"/>
  <c r="V864" i="1"/>
  <c r="R864" i="1" a="1"/>
  <c r="R864" i="1" s="1"/>
  <c r="Y864" i="1" s="1"/>
  <c r="V863" i="1"/>
  <c r="R863" i="1" a="1"/>
  <c r="R863" i="1" s="1"/>
  <c r="V862" i="1"/>
  <c r="R862" i="1" a="1"/>
  <c r="R862" i="1" s="1"/>
  <c r="V861" i="1"/>
  <c r="R861" i="1" a="1"/>
  <c r="R861" i="1" s="1"/>
  <c r="V860" i="1"/>
  <c r="R860" i="1" a="1"/>
  <c r="R860" i="1" s="1"/>
  <c r="Z860" i="1" s="1"/>
  <c r="V859" i="1"/>
  <c r="R859" i="1" a="1"/>
  <c r="R859" i="1" s="1"/>
  <c r="Y859" i="1" s="1"/>
  <c r="V858" i="1"/>
  <c r="R858" i="1" a="1"/>
  <c r="R858" i="1" s="1"/>
  <c r="Y858" i="1" s="1"/>
  <c r="V857" i="1"/>
  <c r="R857" i="1" a="1"/>
  <c r="R857" i="1" s="1"/>
  <c r="V856" i="1"/>
  <c r="R856" i="1" a="1"/>
  <c r="R856" i="1" s="1"/>
  <c r="S856" i="1" s="1"/>
  <c r="V855" i="1"/>
  <c r="R855" i="1" a="1"/>
  <c r="R855" i="1" s="1"/>
  <c r="V854" i="1"/>
  <c r="R854" i="1" a="1"/>
  <c r="R854" i="1" s="1"/>
  <c r="X854" i="1" s="1"/>
  <c r="V853" i="1"/>
  <c r="R853" i="1" a="1"/>
  <c r="R853" i="1" s="1"/>
  <c r="V852" i="1"/>
  <c r="R852" i="1" a="1"/>
  <c r="R852" i="1" s="1"/>
  <c r="Z852" i="1" s="1"/>
  <c r="V851" i="1"/>
  <c r="R851" i="1" a="1"/>
  <c r="R851" i="1" s="1"/>
  <c r="V850" i="1"/>
  <c r="R850" i="1" a="1"/>
  <c r="R850" i="1" s="1"/>
  <c r="V849" i="1"/>
  <c r="R849" i="1" a="1"/>
  <c r="R849" i="1" s="1"/>
  <c r="X849" i="1" s="1"/>
  <c r="V848" i="1"/>
  <c r="R848" i="1" a="1"/>
  <c r="R848" i="1" s="1"/>
  <c r="X848" i="1" s="1"/>
  <c r="V847" i="1"/>
  <c r="R847" i="1" a="1"/>
  <c r="R847" i="1" s="1"/>
  <c r="V846" i="1"/>
  <c r="R846" i="1" a="1"/>
  <c r="R846" i="1" s="1"/>
  <c r="V845" i="1"/>
  <c r="R845" i="1" a="1"/>
  <c r="R845" i="1" s="1"/>
  <c r="V844" i="1"/>
  <c r="R844" i="1" a="1"/>
  <c r="R844" i="1" s="1"/>
  <c r="V843" i="1"/>
  <c r="R843" i="1" a="1"/>
  <c r="R843" i="1" s="1"/>
  <c r="V842" i="1"/>
  <c r="R842" i="1" a="1"/>
  <c r="R842" i="1" s="1"/>
  <c r="U842" i="1" s="1"/>
  <c r="V841" i="1"/>
  <c r="R841" i="1" a="1"/>
  <c r="R841" i="1" s="1"/>
  <c r="U841" i="1" s="1"/>
  <c r="V840" i="1"/>
  <c r="R840" i="1" a="1"/>
  <c r="R840" i="1" s="1"/>
  <c r="S840" i="1" s="1"/>
  <c r="V839" i="1"/>
  <c r="R839" i="1" a="1"/>
  <c r="R839" i="1" s="1"/>
  <c r="V838" i="1"/>
  <c r="R838" i="1" a="1"/>
  <c r="R838" i="1" s="1"/>
  <c r="V837" i="1"/>
  <c r="R837" i="1" a="1"/>
  <c r="R837" i="1" s="1"/>
  <c r="X837" i="1" s="1"/>
  <c r="V836" i="1"/>
  <c r="R836" i="1" a="1"/>
  <c r="R836" i="1" s="1"/>
  <c r="U836" i="1" s="1"/>
  <c r="V835" i="1"/>
  <c r="R835" i="1" a="1"/>
  <c r="R835" i="1" s="1"/>
  <c r="V834" i="1"/>
  <c r="R834" i="1" a="1"/>
  <c r="R834" i="1" s="1"/>
  <c r="V833" i="1"/>
  <c r="R833" i="1" a="1"/>
  <c r="R833" i="1" s="1"/>
  <c r="T833" i="1" s="1"/>
  <c r="V832" i="1"/>
  <c r="R832" i="1" a="1"/>
  <c r="R832" i="1" s="1"/>
  <c r="Y832" i="1" s="1"/>
  <c r="V831" i="1"/>
  <c r="R831" i="1" a="1"/>
  <c r="R831" i="1" s="1"/>
  <c r="Y831" i="1" s="1"/>
  <c r="V830" i="1"/>
  <c r="R830" i="1" a="1"/>
  <c r="R830" i="1" s="1"/>
  <c r="Z830" i="1" s="1"/>
  <c r="V829" i="1"/>
  <c r="R829" i="1" a="1"/>
  <c r="R829" i="1" s="1"/>
  <c r="V828" i="1"/>
  <c r="R828" i="1" a="1"/>
  <c r="R828" i="1" s="1"/>
  <c r="V827" i="1"/>
  <c r="R827" i="1" a="1"/>
  <c r="R827" i="1" s="1"/>
  <c r="V826" i="1"/>
  <c r="R826" i="1" a="1"/>
  <c r="R826" i="1" s="1"/>
  <c r="V825" i="1"/>
  <c r="R825" i="1" a="1"/>
  <c r="R825" i="1" s="1"/>
  <c r="Y825" i="1" s="1"/>
  <c r="V824" i="1"/>
  <c r="R824" i="1" a="1"/>
  <c r="R824" i="1" s="1"/>
  <c r="Z824" i="1" s="1"/>
  <c r="V823" i="1"/>
  <c r="R823" i="1" a="1"/>
  <c r="R823" i="1" s="1"/>
  <c r="V822" i="1"/>
  <c r="R822" i="1" a="1"/>
  <c r="R822" i="1" s="1"/>
  <c r="V821" i="1"/>
  <c r="R821" i="1" a="1"/>
  <c r="R821" i="1" s="1"/>
  <c r="Y821" i="1" s="1"/>
  <c r="V820" i="1"/>
  <c r="R820" i="1" a="1"/>
  <c r="R820" i="1" s="1"/>
  <c r="Z820" i="1" s="1"/>
  <c r="V819" i="1"/>
  <c r="R819" i="1" a="1"/>
  <c r="R819" i="1" s="1"/>
  <c r="Z819" i="1" s="1"/>
  <c r="V818" i="1"/>
  <c r="R818" i="1"/>
  <c r="R818" i="1" a="1"/>
  <c r="V817" i="1"/>
  <c r="R817" i="1" a="1"/>
  <c r="R817" i="1" s="1"/>
  <c r="V816" i="1"/>
  <c r="R816" i="1" a="1"/>
  <c r="R816" i="1" s="1"/>
  <c r="V815" i="1"/>
  <c r="R815" i="1" a="1"/>
  <c r="R815" i="1" s="1"/>
  <c r="V814" i="1"/>
  <c r="R814" i="1" a="1"/>
  <c r="R814" i="1" s="1"/>
  <c r="V813" i="1"/>
  <c r="R813" i="1" a="1"/>
  <c r="R813" i="1" s="1"/>
  <c r="V812" i="1"/>
  <c r="W812" i="1" s="1" a="1"/>
  <c r="W812" i="1" s="1"/>
  <c r="R812" i="1" a="1"/>
  <c r="R812" i="1" s="1"/>
  <c r="Y812" i="1" s="1"/>
  <c r="V811" i="1"/>
  <c r="R811" i="1" a="1"/>
  <c r="R811" i="1" s="1"/>
  <c r="V810" i="1"/>
  <c r="R810" i="1" a="1"/>
  <c r="R810" i="1" s="1"/>
  <c r="U810" i="1" s="1"/>
  <c r="V809" i="1"/>
  <c r="R809" i="1" a="1"/>
  <c r="R809" i="1" s="1"/>
  <c r="U809" i="1" s="1"/>
  <c r="V808" i="1"/>
  <c r="R808" i="1" a="1"/>
  <c r="R808" i="1" s="1"/>
  <c r="S808" i="1" s="1"/>
  <c r="V807" i="1"/>
  <c r="R807" i="1" a="1"/>
  <c r="R807" i="1" s="1"/>
  <c r="V806" i="1"/>
  <c r="R806" i="1" a="1"/>
  <c r="R806" i="1" s="1"/>
  <c r="V805" i="1"/>
  <c r="R805" i="1" a="1"/>
  <c r="R805" i="1" s="1"/>
  <c r="V804" i="1"/>
  <c r="R804" i="1" a="1"/>
  <c r="R804" i="1" s="1"/>
  <c r="V803" i="1"/>
  <c r="R803" i="1" a="1"/>
  <c r="R803" i="1" s="1"/>
  <c r="V802" i="1"/>
  <c r="R802" i="1" a="1"/>
  <c r="R802" i="1" s="1"/>
  <c r="V801" i="1"/>
  <c r="R801" i="1" a="1"/>
  <c r="R801" i="1" s="1"/>
  <c r="V800" i="1"/>
  <c r="R800" i="1" a="1"/>
  <c r="R800" i="1" s="1"/>
  <c r="X800" i="1" s="1"/>
  <c r="V799" i="1"/>
  <c r="R799" i="1" a="1"/>
  <c r="R799" i="1" s="1"/>
  <c r="V798" i="1"/>
  <c r="R798" i="1" a="1"/>
  <c r="R798" i="1" s="1"/>
  <c r="V797" i="1"/>
  <c r="R797" i="1" a="1"/>
  <c r="R797" i="1" s="1"/>
  <c r="V796" i="1"/>
  <c r="R796" i="1" a="1"/>
  <c r="R796" i="1" s="1"/>
  <c r="V795" i="1"/>
  <c r="R795" i="1" a="1"/>
  <c r="R795" i="1" s="1"/>
  <c r="V794" i="1"/>
  <c r="R794" i="1" a="1"/>
  <c r="R794" i="1" s="1"/>
  <c r="V793" i="1"/>
  <c r="R793" i="1" a="1"/>
  <c r="R793" i="1" s="1"/>
  <c r="V792" i="1"/>
  <c r="R792" i="1" a="1"/>
  <c r="R792" i="1" s="1"/>
  <c r="V791" i="1"/>
  <c r="R791" i="1" a="1"/>
  <c r="R791" i="1" s="1"/>
  <c r="S791" i="1" s="1"/>
  <c r="V790" i="1"/>
  <c r="R790" i="1" a="1"/>
  <c r="R790" i="1" s="1"/>
  <c r="Z790" i="1" s="1"/>
  <c r="V789" i="1"/>
  <c r="R789" i="1" a="1"/>
  <c r="R789" i="1" s="1"/>
  <c r="Y789" i="1" s="1"/>
  <c r="V788" i="1"/>
  <c r="R788" i="1" a="1"/>
  <c r="R788" i="1" s="1"/>
  <c r="V787" i="1"/>
  <c r="R787" i="1" a="1"/>
  <c r="R787" i="1" s="1"/>
  <c r="S787" i="1" s="1"/>
  <c r="V786" i="1"/>
  <c r="R786" i="1" a="1"/>
  <c r="R786" i="1" s="1"/>
  <c r="V785" i="1"/>
  <c r="R785" i="1" a="1"/>
  <c r="R785" i="1" s="1"/>
  <c r="V784" i="1"/>
  <c r="R784" i="1" a="1"/>
  <c r="R784" i="1" s="1"/>
  <c r="V783" i="1"/>
  <c r="R783" i="1" a="1"/>
  <c r="R783" i="1" s="1"/>
  <c r="V782" i="1"/>
  <c r="R782" i="1" a="1"/>
  <c r="R782" i="1" s="1"/>
  <c r="V781" i="1"/>
  <c r="R781" i="1" a="1"/>
  <c r="R781" i="1" s="1"/>
  <c r="Y781" i="1" s="1"/>
  <c r="V780" i="1"/>
  <c r="R780" i="1" a="1"/>
  <c r="R780" i="1" s="1"/>
  <c r="U780" i="1" s="1"/>
  <c r="W779" i="1" a="1"/>
  <c r="W779" i="1" s="1"/>
  <c r="V779" i="1"/>
  <c r="R779" i="1" a="1"/>
  <c r="R779" i="1" s="1"/>
  <c r="V778" i="1"/>
  <c r="R778" i="1" a="1"/>
  <c r="R778" i="1" s="1"/>
  <c r="V777" i="1"/>
  <c r="R777" i="1" a="1"/>
  <c r="R777" i="1" s="1"/>
  <c r="V776" i="1"/>
  <c r="R776" i="1" a="1"/>
  <c r="R776" i="1" s="1"/>
  <c r="V775" i="1"/>
  <c r="R775" i="1" a="1"/>
  <c r="R775" i="1" s="1"/>
  <c r="V774" i="1"/>
  <c r="U774" i="1"/>
  <c r="R774" i="1" a="1"/>
  <c r="R774" i="1" s="1"/>
  <c r="V773" i="1"/>
  <c r="R773" i="1" a="1"/>
  <c r="R773" i="1" s="1"/>
  <c r="V772" i="1"/>
  <c r="R772" i="1" a="1"/>
  <c r="R772" i="1" s="1"/>
  <c r="V771" i="1"/>
  <c r="R771" i="1" a="1"/>
  <c r="R771" i="1" s="1"/>
  <c r="V770" i="1"/>
  <c r="R770" i="1" a="1"/>
  <c r="R770" i="1" s="1"/>
  <c r="T770" i="1" s="1"/>
  <c r="V769" i="1"/>
  <c r="R769" i="1" a="1"/>
  <c r="R769" i="1" s="1"/>
  <c r="V768" i="1"/>
  <c r="R768" i="1" a="1"/>
  <c r="R768" i="1" s="1"/>
  <c r="Z768" i="1" s="1"/>
  <c r="V767" i="1"/>
  <c r="R767" i="1" a="1"/>
  <c r="R767" i="1" s="1"/>
  <c r="V766" i="1"/>
  <c r="R766" i="1" a="1"/>
  <c r="R766" i="1" s="1"/>
  <c r="U766" i="1" s="1"/>
  <c r="V765" i="1"/>
  <c r="R765" i="1" a="1"/>
  <c r="R765" i="1" s="1"/>
  <c r="V764" i="1"/>
  <c r="R764" i="1" a="1"/>
  <c r="R764" i="1" s="1"/>
  <c r="V763" i="1"/>
  <c r="R763" i="1" a="1"/>
  <c r="R763" i="1" s="1"/>
  <c r="V762" i="1"/>
  <c r="R762" i="1" a="1"/>
  <c r="R762" i="1" s="1"/>
  <c r="T762" i="1" s="1"/>
  <c r="V761" i="1"/>
  <c r="R761" i="1" a="1"/>
  <c r="R761" i="1" s="1"/>
  <c r="V760" i="1"/>
  <c r="R760" i="1" a="1"/>
  <c r="R760" i="1" s="1"/>
  <c r="V759" i="1"/>
  <c r="R759" i="1" a="1"/>
  <c r="R759" i="1" s="1"/>
  <c r="X759" i="1" s="1"/>
  <c r="V758" i="1"/>
  <c r="R758" i="1" a="1"/>
  <c r="R758" i="1" s="1"/>
  <c r="U758" i="1" s="1"/>
  <c r="V757" i="1"/>
  <c r="R757" i="1" a="1"/>
  <c r="R757" i="1" s="1"/>
  <c r="S757" i="1" s="1"/>
  <c r="V756" i="1"/>
  <c r="R756" i="1" a="1"/>
  <c r="R756" i="1" s="1"/>
  <c r="V755" i="1"/>
  <c r="R755" i="1" a="1"/>
  <c r="R755" i="1" s="1"/>
  <c r="V754" i="1"/>
  <c r="R754" i="1" a="1"/>
  <c r="R754" i="1" s="1"/>
  <c r="V753" i="1"/>
  <c r="R753" i="1" a="1"/>
  <c r="R753" i="1" s="1"/>
  <c r="V752" i="1"/>
  <c r="R752" i="1" a="1"/>
  <c r="R752" i="1" s="1"/>
  <c r="V751" i="1"/>
  <c r="R751" i="1" a="1"/>
  <c r="R751" i="1" s="1"/>
  <c r="V750" i="1"/>
  <c r="R750" i="1" a="1"/>
  <c r="R750" i="1" s="1"/>
  <c r="U750" i="1" s="1"/>
  <c r="V749" i="1"/>
  <c r="R749" i="1" a="1"/>
  <c r="R749" i="1" s="1"/>
  <c r="S749" i="1" s="1"/>
  <c r="V748" i="1"/>
  <c r="R748" i="1" a="1"/>
  <c r="R748" i="1" s="1"/>
  <c r="V747" i="1"/>
  <c r="R747" i="1" a="1"/>
  <c r="R747" i="1" s="1"/>
  <c r="U747" i="1" s="1"/>
  <c r="V746" i="1"/>
  <c r="R746" i="1" a="1"/>
  <c r="R746" i="1" s="1"/>
  <c r="V745" i="1"/>
  <c r="R745" i="1" a="1"/>
  <c r="R745" i="1" s="1"/>
  <c r="W745" i="1" s="1" a="1"/>
  <c r="W745" i="1" s="1"/>
  <c r="V744" i="1"/>
  <c r="R744" i="1" a="1"/>
  <c r="R744" i="1" s="1"/>
  <c r="V743" i="1"/>
  <c r="R743" i="1" a="1"/>
  <c r="R743" i="1" s="1"/>
  <c r="V742" i="1"/>
  <c r="R742" i="1" a="1"/>
  <c r="R742" i="1" s="1"/>
  <c r="U742" i="1" s="1"/>
  <c r="V741" i="1"/>
  <c r="R741" i="1" a="1"/>
  <c r="R741" i="1" s="1"/>
  <c r="T741" i="1" s="1"/>
  <c r="V740" i="1"/>
  <c r="R740" i="1" a="1"/>
  <c r="R740" i="1" s="1"/>
  <c r="V739" i="1"/>
  <c r="R739" i="1" a="1"/>
  <c r="R739" i="1" s="1"/>
  <c r="U739" i="1" s="1"/>
  <c r="V738" i="1"/>
  <c r="R738" i="1" a="1"/>
  <c r="R738" i="1" s="1"/>
  <c r="T738" i="1" s="1"/>
  <c r="V737" i="1"/>
  <c r="R737" i="1" a="1"/>
  <c r="R737" i="1" s="1"/>
  <c r="V736" i="1"/>
  <c r="R736" i="1" a="1"/>
  <c r="R736" i="1" s="1"/>
  <c r="V735" i="1"/>
  <c r="R735" i="1" a="1"/>
  <c r="R735" i="1" s="1"/>
  <c r="V734" i="1"/>
  <c r="R734" i="1" a="1"/>
  <c r="R734" i="1" s="1"/>
  <c r="S734" i="1" s="1"/>
  <c r="V733" i="1"/>
  <c r="R733" i="1" a="1"/>
  <c r="R733" i="1" s="1"/>
  <c r="S733" i="1" s="1"/>
  <c r="V732" i="1"/>
  <c r="R732" i="1" a="1"/>
  <c r="R732" i="1" s="1"/>
  <c r="X732" i="1" s="1"/>
  <c r="V731" i="1"/>
  <c r="R731" i="1" a="1"/>
  <c r="R731" i="1" s="1"/>
  <c r="V730" i="1"/>
  <c r="R730" i="1" a="1"/>
  <c r="R730" i="1" s="1"/>
  <c r="V729" i="1"/>
  <c r="R729" i="1" a="1"/>
  <c r="R729" i="1" s="1"/>
  <c r="S729" i="1" s="1"/>
  <c r="V728" i="1"/>
  <c r="R728" i="1" a="1"/>
  <c r="R728" i="1" s="1"/>
  <c r="V727" i="1"/>
  <c r="R727" i="1" a="1"/>
  <c r="R727" i="1" s="1"/>
  <c r="U727" i="1" s="1"/>
  <c r="V726" i="1"/>
  <c r="R726" i="1" a="1"/>
  <c r="R726" i="1" s="1"/>
  <c r="S726" i="1" s="1"/>
  <c r="V725" i="1"/>
  <c r="R725" i="1" a="1"/>
  <c r="R725" i="1" s="1"/>
  <c r="S725" i="1" s="1"/>
  <c r="V724" i="1"/>
  <c r="R724" i="1" a="1"/>
  <c r="R724" i="1" s="1"/>
  <c r="X724" i="1" s="1"/>
  <c r="V723" i="1"/>
  <c r="R723" i="1" a="1"/>
  <c r="R723" i="1" s="1"/>
  <c r="V722" i="1"/>
  <c r="R722" i="1" a="1"/>
  <c r="R722" i="1" s="1"/>
  <c r="V721" i="1"/>
  <c r="R721" i="1" a="1"/>
  <c r="R721" i="1" s="1"/>
  <c r="S721" i="1" s="1"/>
  <c r="V720" i="1"/>
  <c r="R720" i="1" a="1"/>
  <c r="R720" i="1" s="1"/>
  <c r="V719" i="1"/>
  <c r="R719" i="1" a="1"/>
  <c r="R719" i="1" s="1"/>
  <c r="V718" i="1"/>
  <c r="R718" i="1" a="1"/>
  <c r="R718" i="1" s="1"/>
  <c r="V717" i="1"/>
  <c r="R717" i="1"/>
  <c r="R717" i="1" a="1"/>
  <c r="V716" i="1"/>
  <c r="R716" i="1" a="1"/>
  <c r="R716" i="1" s="1"/>
  <c r="X716" i="1" s="1"/>
  <c r="V715" i="1"/>
  <c r="R715" i="1" a="1"/>
  <c r="R715" i="1" s="1"/>
  <c r="V714" i="1"/>
  <c r="R714" i="1" a="1"/>
  <c r="R714" i="1" s="1"/>
  <c r="S714" i="1" s="1"/>
  <c r="V713" i="1"/>
  <c r="R713" i="1" a="1"/>
  <c r="R713" i="1" s="1"/>
  <c r="V712" i="1"/>
  <c r="R712" i="1" a="1"/>
  <c r="R712" i="1" s="1"/>
  <c r="V711" i="1"/>
  <c r="R711" i="1" a="1"/>
  <c r="R711" i="1" s="1"/>
  <c r="V710" i="1"/>
  <c r="R710" i="1" a="1"/>
  <c r="R710" i="1" s="1"/>
  <c r="T710" i="1" s="1"/>
  <c r="V709" i="1"/>
  <c r="R709" i="1" a="1"/>
  <c r="R709" i="1" s="1"/>
  <c r="Z709" i="1" s="1"/>
  <c r="V708" i="1"/>
  <c r="R708" i="1" a="1"/>
  <c r="R708" i="1" s="1"/>
  <c r="X708" i="1" s="1"/>
  <c r="V707" i="1"/>
  <c r="R707" i="1" a="1"/>
  <c r="R707" i="1" s="1"/>
  <c r="V706" i="1"/>
  <c r="R706" i="1" a="1"/>
  <c r="R706" i="1" s="1"/>
  <c r="S706" i="1" s="1"/>
  <c r="V705" i="1"/>
  <c r="R705" i="1" a="1"/>
  <c r="R705" i="1" s="1"/>
  <c r="S705" i="1" s="1"/>
  <c r="V704" i="1"/>
  <c r="R704" i="1" a="1"/>
  <c r="R704" i="1" s="1"/>
  <c r="V703" i="1"/>
  <c r="R703" i="1" a="1"/>
  <c r="R703" i="1" s="1"/>
  <c r="U703" i="1" s="1"/>
  <c r="V702" i="1"/>
  <c r="R702" i="1" a="1"/>
  <c r="R702" i="1" s="1"/>
  <c r="S702" i="1" s="1"/>
  <c r="V701" i="1"/>
  <c r="R701" i="1" a="1"/>
  <c r="R701" i="1" s="1"/>
  <c r="S701" i="1" s="1"/>
  <c r="V700" i="1"/>
  <c r="R700" i="1" a="1"/>
  <c r="R700" i="1" s="1"/>
  <c r="X700" i="1" s="1"/>
  <c r="V699" i="1"/>
  <c r="R699" i="1" a="1"/>
  <c r="R699" i="1" s="1"/>
  <c r="V698" i="1"/>
  <c r="R698" i="1" a="1"/>
  <c r="R698" i="1" s="1"/>
  <c r="V697" i="1"/>
  <c r="R697" i="1" a="1"/>
  <c r="R697" i="1" s="1"/>
  <c r="V696" i="1"/>
  <c r="R696" i="1" a="1"/>
  <c r="R696" i="1" s="1"/>
  <c r="V695" i="1"/>
  <c r="R695" i="1" a="1"/>
  <c r="R695" i="1" s="1"/>
  <c r="U695" i="1" s="1"/>
  <c r="V694" i="1"/>
  <c r="R694" i="1" a="1"/>
  <c r="R694" i="1" s="1"/>
  <c r="Z694" i="1" s="1"/>
  <c r="V693" i="1"/>
  <c r="R693" i="1" a="1"/>
  <c r="R693" i="1" s="1"/>
  <c r="V692" i="1"/>
  <c r="R692" i="1" a="1"/>
  <c r="R692" i="1" s="1"/>
  <c r="X692" i="1" s="1"/>
  <c r="V691" i="1"/>
  <c r="R691" i="1" a="1"/>
  <c r="R691" i="1" s="1"/>
  <c r="V690" i="1"/>
  <c r="R690" i="1" a="1"/>
  <c r="R690" i="1" s="1"/>
  <c r="V689" i="1"/>
  <c r="R689" i="1" a="1"/>
  <c r="R689" i="1" s="1"/>
  <c r="S689" i="1" s="1"/>
  <c r="V688" i="1"/>
  <c r="R688" i="1" a="1"/>
  <c r="R688" i="1" s="1"/>
  <c r="V687" i="1"/>
  <c r="R687" i="1" a="1"/>
  <c r="R687" i="1" s="1"/>
  <c r="V686" i="1"/>
  <c r="R686" i="1" a="1"/>
  <c r="R686" i="1" s="1"/>
  <c r="S686" i="1" s="1"/>
  <c r="V685" i="1"/>
  <c r="R685" i="1" a="1"/>
  <c r="R685" i="1" s="1"/>
  <c r="V684" i="1"/>
  <c r="R684" i="1" a="1"/>
  <c r="R684" i="1" s="1"/>
  <c r="V683" i="1"/>
  <c r="R683" i="1" a="1"/>
  <c r="R683" i="1" s="1"/>
  <c r="V682" i="1"/>
  <c r="R682" i="1" a="1"/>
  <c r="R682" i="1" s="1"/>
  <c r="S682" i="1" s="1"/>
  <c r="V681" i="1"/>
  <c r="R681" i="1" a="1"/>
  <c r="R681" i="1" s="1"/>
  <c r="S681" i="1" s="1"/>
  <c r="V680" i="1"/>
  <c r="R680" i="1" a="1"/>
  <c r="R680" i="1" s="1"/>
  <c r="V679" i="1"/>
  <c r="R679" i="1" a="1"/>
  <c r="R679" i="1" s="1"/>
  <c r="V678" i="1"/>
  <c r="R678" i="1" a="1"/>
  <c r="R678" i="1" s="1"/>
  <c r="S678" i="1" s="1"/>
  <c r="V677" i="1"/>
  <c r="R677" i="1" a="1"/>
  <c r="R677" i="1" s="1"/>
  <c r="Y677" i="1" s="1"/>
  <c r="V676" i="1"/>
  <c r="R676" i="1" a="1"/>
  <c r="R676" i="1" s="1"/>
  <c r="V675" i="1"/>
  <c r="R675" i="1" a="1"/>
  <c r="R675" i="1" s="1"/>
  <c r="V674" i="1"/>
  <c r="R674" i="1" a="1"/>
  <c r="R674" i="1" s="1"/>
  <c r="S674" i="1" s="1"/>
  <c r="Z673" i="1"/>
  <c r="V673" i="1"/>
  <c r="R673" i="1" a="1"/>
  <c r="R673" i="1" s="1"/>
  <c r="S673" i="1" s="1"/>
  <c r="V672" i="1"/>
  <c r="R672" i="1" a="1"/>
  <c r="R672" i="1" s="1"/>
  <c r="V671" i="1"/>
  <c r="R671" i="1" a="1"/>
  <c r="R671" i="1" s="1"/>
  <c r="V670" i="1"/>
  <c r="R670" i="1" a="1"/>
  <c r="R670" i="1" s="1"/>
  <c r="Z670" i="1" s="1"/>
  <c r="V669" i="1"/>
  <c r="R669" i="1" a="1"/>
  <c r="R669" i="1" s="1"/>
  <c r="V668" i="1"/>
  <c r="R668" i="1" a="1"/>
  <c r="R668" i="1" s="1"/>
  <c r="X668" i="1" s="1"/>
  <c r="V667" i="1"/>
  <c r="R667" i="1" a="1"/>
  <c r="R667" i="1" s="1"/>
  <c r="V666" i="1"/>
  <c r="S666" i="1"/>
  <c r="R666" i="1" a="1"/>
  <c r="R666" i="1" s="1"/>
  <c r="V665" i="1"/>
  <c r="R665" i="1" a="1"/>
  <c r="R665" i="1" s="1"/>
  <c r="Z665" i="1" s="1"/>
  <c r="V664" i="1"/>
  <c r="R664" i="1" a="1"/>
  <c r="R664" i="1" s="1"/>
  <c r="V663" i="1"/>
  <c r="R663" i="1" a="1"/>
  <c r="R663" i="1" s="1"/>
  <c r="V662" i="1"/>
  <c r="R662" i="1" a="1"/>
  <c r="R662" i="1" s="1"/>
  <c r="T662" i="1" s="1"/>
  <c r="V661" i="1"/>
  <c r="R661" i="1" a="1"/>
  <c r="R661" i="1" s="1"/>
  <c r="Y661" i="1" s="1"/>
  <c r="V660" i="1"/>
  <c r="R660" i="1" a="1"/>
  <c r="R660" i="1" s="1"/>
  <c r="X660" i="1" s="1"/>
  <c r="V659" i="1"/>
  <c r="R659" i="1" a="1"/>
  <c r="R659" i="1" s="1"/>
  <c r="V658" i="1"/>
  <c r="R658" i="1" a="1"/>
  <c r="R658" i="1" s="1"/>
  <c r="S658" i="1" s="1"/>
  <c r="V657" i="1"/>
  <c r="R657" i="1" a="1"/>
  <c r="R657" i="1" s="1"/>
  <c r="V656" i="1"/>
  <c r="R656" i="1" a="1"/>
  <c r="R656" i="1" s="1"/>
  <c r="V655" i="1"/>
  <c r="R655" i="1" a="1"/>
  <c r="R655" i="1" s="1"/>
  <c r="V654" i="1"/>
  <c r="R654" i="1" a="1"/>
  <c r="R654" i="1" s="1"/>
  <c r="V653" i="1"/>
  <c r="R653" i="1" a="1"/>
  <c r="R653" i="1" s="1"/>
  <c r="V652" i="1"/>
  <c r="R652" i="1" a="1"/>
  <c r="R652" i="1" s="1"/>
  <c r="V651" i="1"/>
  <c r="R651" i="1" a="1"/>
  <c r="R651" i="1" s="1"/>
  <c r="V650" i="1"/>
  <c r="R650" i="1" a="1"/>
  <c r="R650" i="1" s="1"/>
  <c r="S650" i="1" s="1"/>
  <c r="V649" i="1"/>
  <c r="R649" i="1" a="1"/>
  <c r="R649" i="1" s="1"/>
  <c r="V648" i="1"/>
  <c r="R648" i="1" a="1"/>
  <c r="R648" i="1" s="1"/>
  <c r="V647" i="1"/>
  <c r="R647" i="1" a="1"/>
  <c r="R647" i="1" s="1"/>
  <c r="V646" i="1"/>
  <c r="R646" i="1" a="1"/>
  <c r="R646" i="1" s="1"/>
  <c r="V645" i="1"/>
  <c r="R645" i="1" a="1"/>
  <c r="R645" i="1" s="1"/>
  <c r="Y645" i="1" s="1"/>
  <c r="V644" i="1"/>
  <c r="R644" i="1" a="1"/>
  <c r="R644" i="1" s="1"/>
  <c r="X644" i="1" s="1"/>
  <c r="V643" i="1"/>
  <c r="R643" i="1" a="1"/>
  <c r="R643" i="1" s="1"/>
  <c r="V642" i="1"/>
  <c r="R642" i="1" a="1"/>
  <c r="R642" i="1" s="1"/>
  <c r="S642" i="1" s="1"/>
  <c r="V641" i="1"/>
  <c r="R641" i="1" a="1"/>
  <c r="R641" i="1" s="1"/>
  <c r="V640" i="1"/>
  <c r="R640" i="1" a="1"/>
  <c r="R640" i="1" s="1"/>
  <c r="V639" i="1"/>
  <c r="R639" i="1" a="1"/>
  <c r="R639" i="1" s="1"/>
  <c r="V638" i="1"/>
  <c r="R638" i="1" a="1"/>
  <c r="R638" i="1" s="1"/>
  <c r="V637" i="1"/>
  <c r="R637" i="1" a="1"/>
  <c r="R637" i="1" s="1"/>
  <c r="Z637" i="1" s="1"/>
  <c r="V636" i="1"/>
  <c r="R636" i="1" a="1"/>
  <c r="R636" i="1" s="1"/>
  <c r="X636" i="1" s="1"/>
  <c r="V635" i="1"/>
  <c r="R635" i="1" a="1"/>
  <c r="R635" i="1" s="1"/>
  <c r="V634" i="1"/>
  <c r="R634" i="1" a="1"/>
  <c r="R634" i="1" s="1"/>
  <c r="S634" i="1" s="1"/>
  <c r="V633" i="1"/>
  <c r="R633" i="1" a="1"/>
  <c r="R633" i="1" s="1"/>
  <c r="S633" i="1" s="1"/>
  <c r="V632" i="1"/>
  <c r="R632" i="1" a="1"/>
  <c r="R632" i="1" s="1"/>
  <c r="Y632" i="1" s="1"/>
  <c r="V631" i="1"/>
  <c r="R631" i="1" a="1"/>
  <c r="R631" i="1" s="1"/>
  <c r="U631" i="1" s="1"/>
  <c r="V630" i="1"/>
  <c r="R630" i="1" a="1"/>
  <c r="R630" i="1" s="1"/>
  <c r="V629" i="1"/>
  <c r="R629" i="1" a="1"/>
  <c r="R629" i="1" s="1"/>
  <c r="Y629" i="1" s="1"/>
  <c r="V628" i="1"/>
  <c r="R628" i="1" a="1"/>
  <c r="R628" i="1" s="1"/>
  <c r="X628" i="1" s="1"/>
  <c r="V627" i="1"/>
  <c r="R627" i="1" a="1"/>
  <c r="R627" i="1" s="1"/>
  <c r="V626" i="1"/>
  <c r="R626" i="1" a="1"/>
  <c r="R626" i="1" s="1"/>
  <c r="V625" i="1"/>
  <c r="R625" i="1" a="1"/>
  <c r="R625" i="1" s="1"/>
  <c r="Z625" i="1" s="1"/>
  <c r="V624" i="1"/>
  <c r="R624" i="1" a="1"/>
  <c r="R624" i="1" s="1"/>
  <c r="V623" i="1"/>
  <c r="R623" i="1" a="1"/>
  <c r="R623" i="1" s="1"/>
  <c r="U623" i="1" s="1"/>
  <c r="V622" i="1"/>
  <c r="R622" i="1" a="1"/>
  <c r="R622" i="1" s="1"/>
  <c r="V621" i="1"/>
  <c r="R621" i="1" a="1"/>
  <c r="R621" i="1" s="1"/>
  <c r="V620" i="1"/>
  <c r="R620" i="1"/>
  <c r="R620" i="1" a="1"/>
  <c r="V619" i="1"/>
  <c r="R619" i="1" a="1"/>
  <c r="R619" i="1" s="1"/>
  <c r="V618" i="1"/>
  <c r="R618" i="1" a="1"/>
  <c r="R618" i="1" s="1"/>
  <c r="Z618" i="1" s="1"/>
  <c r="V617" i="1"/>
  <c r="R617" i="1" a="1"/>
  <c r="R617" i="1" s="1"/>
  <c r="V616" i="1"/>
  <c r="R616" i="1" a="1"/>
  <c r="R616" i="1" s="1"/>
  <c r="Y616" i="1" s="1"/>
  <c r="V615" i="1"/>
  <c r="R615" i="1" a="1"/>
  <c r="R615" i="1" s="1"/>
  <c r="X615" i="1" s="1"/>
  <c r="V614" i="1"/>
  <c r="R614" i="1" a="1"/>
  <c r="R614" i="1" s="1"/>
  <c r="V613" i="1"/>
  <c r="R613" i="1" a="1"/>
  <c r="R613" i="1" s="1"/>
  <c r="X613" i="1" s="1"/>
  <c r="V612" i="1"/>
  <c r="R612" i="1" a="1"/>
  <c r="R612" i="1" s="1"/>
  <c r="V611" i="1"/>
  <c r="R611" i="1" a="1"/>
  <c r="R611" i="1" s="1"/>
  <c r="X611" i="1" s="1"/>
  <c r="V610" i="1"/>
  <c r="R610" i="1" a="1"/>
  <c r="R610" i="1" s="1"/>
  <c r="V609" i="1"/>
  <c r="R609" i="1" a="1"/>
  <c r="R609" i="1" s="1"/>
  <c r="V608" i="1"/>
  <c r="R608" i="1" a="1"/>
  <c r="R608" i="1" s="1"/>
  <c r="Y608" i="1" s="1"/>
  <c r="V607" i="1"/>
  <c r="R607" i="1" a="1"/>
  <c r="R607" i="1" s="1"/>
  <c r="Z607" i="1" s="1"/>
  <c r="V606" i="1"/>
  <c r="R606" i="1" a="1"/>
  <c r="R606" i="1" s="1"/>
  <c r="V605" i="1"/>
  <c r="R605" i="1" a="1"/>
  <c r="R605" i="1" s="1"/>
  <c r="Y605" i="1" s="1"/>
  <c r="V604" i="1"/>
  <c r="R604" i="1" a="1"/>
  <c r="R604" i="1" s="1"/>
  <c r="V603" i="1"/>
  <c r="R603" i="1" a="1"/>
  <c r="R603" i="1" s="1"/>
  <c r="Y603" i="1" s="1"/>
  <c r="V602" i="1"/>
  <c r="R602" i="1" a="1"/>
  <c r="R602" i="1" s="1"/>
  <c r="V601" i="1"/>
  <c r="R601" i="1" a="1"/>
  <c r="R601" i="1" s="1"/>
  <c r="W601" i="1" s="1" a="1"/>
  <c r="W601" i="1" s="1"/>
  <c r="V600" i="1"/>
  <c r="R600" i="1" a="1"/>
  <c r="R600" i="1" s="1"/>
  <c r="S600" i="1" s="1"/>
  <c r="V599" i="1"/>
  <c r="R599" i="1" a="1"/>
  <c r="R599" i="1" s="1"/>
  <c r="V598" i="1"/>
  <c r="R598" i="1" a="1"/>
  <c r="R598" i="1" s="1"/>
  <c r="X598" i="1" s="1"/>
  <c r="V597" i="1"/>
  <c r="R597" i="1" a="1"/>
  <c r="R597" i="1" s="1"/>
  <c r="U597" i="1" s="1"/>
  <c r="V596" i="1"/>
  <c r="R596" i="1" a="1"/>
  <c r="R596" i="1" s="1"/>
  <c r="Z596" i="1" s="1"/>
  <c r="V595" i="1"/>
  <c r="R595" i="1" a="1"/>
  <c r="R595" i="1" s="1"/>
  <c r="V594" i="1"/>
  <c r="R594" i="1" a="1"/>
  <c r="R594" i="1" s="1"/>
  <c r="T594" i="1" s="1"/>
  <c r="V593" i="1"/>
  <c r="R593" i="1" a="1"/>
  <c r="R593" i="1" s="1"/>
  <c r="V592" i="1"/>
  <c r="R592" i="1"/>
  <c r="R592" i="1" a="1"/>
  <c r="V591" i="1"/>
  <c r="R591" i="1" a="1"/>
  <c r="R591" i="1" s="1"/>
  <c r="Z591" i="1" s="1"/>
  <c r="V590" i="1"/>
  <c r="R590" i="1" a="1"/>
  <c r="R590" i="1" s="1"/>
  <c r="V589" i="1"/>
  <c r="S589" i="1"/>
  <c r="R589" i="1" a="1"/>
  <c r="R589" i="1" s="1"/>
  <c r="T589" i="1" s="1"/>
  <c r="V588" i="1"/>
  <c r="R588" i="1" a="1"/>
  <c r="R588" i="1" s="1"/>
  <c r="Z588" i="1" s="1"/>
  <c r="V587" i="1"/>
  <c r="R587" i="1" a="1"/>
  <c r="R587" i="1" s="1"/>
  <c r="V586" i="1"/>
  <c r="R586" i="1" a="1"/>
  <c r="R586" i="1" s="1"/>
  <c r="Y586" i="1" s="1"/>
  <c r="V585" i="1"/>
  <c r="R585" i="1" a="1"/>
  <c r="R585" i="1" s="1"/>
  <c r="V584" i="1"/>
  <c r="R584" i="1" a="1"/>
  <c r="R584" i="1" s="1"/>
  <c r="V583" i="1"/>
  <c r="R583" i="1" a="1"/>
  <c r="R583" i="1" s="1"/>
  <c r="T583" i="1" s="1"/>
  <c r="V582" i="1"/>
  <c r="R582" i="1" a="1"/>
  <c r="R582" i="1" s="1"/>
  <c r="V581" i="1"/>
  <c r="R581" i="1" a="1"/>
  <c r="R581" i="1" s="1"/>
  <c r="V580" i="1"/>
  <c r="R580" i="1" a="1"/>
  <c r="R580" i="1" s="1"/>
  <c r="V579" i="1"/>
  <c r="R579" i="1" a="1"/>
  <c r="R579" i="1" s="1"/>
  <c r="V578" i="1"/>
  <c r="R578" i="1" a="1"/>
  <c r="R578" i="1" s="1"/>
  <c r="X578" i="1" s="1"/>
  <c r="V577" i="1"/>
  <c r="R577" i="1" a="1"/>
  <c r="R577" i="1" s="1"/>
  <c r="V576" i="1"/>
  <c r="R576" i="1" a="1"/>
  <c r="R576" i="1" s="1"/>
  <c r="V575" i="1"/>
  <c r="R575" i="1" a="1"/>
  <c r="R575" i="1" s="1"/>
  <c r="V574" i="1"/>
  <c r="R574" i="1" a="1"/>
  <c r="R574" i="1" s="1"/>
  <c r="V573" i="1"/>
  <c r="R573" i="1" a="1"/>
  <c r="R573" i="1" s="1"/>
  <c r="T573" i="1" s="1"/>
  <c r="V572" i="1"/>
  <c r="R572" i="1" a="1"/>
  <c r="R572" i="1" s="1"/>
  <c r="V571" i="1"/>
  <c r="R571" i="1" a="1"/>
  <c r="R571" i="1" s="1"/>
  <c r="U571" i="1" s="1"/>
  <c r="V570" i="1"/>
  <c r="R570" i="1" a="1"/>
  <c r="R570" i="1" s="1"/>
  <c r="U570" i="1" s="1"/>
  <c r="V569" i="1"/>
  <c r="R569" i="1" a="1"/>
  <c r="R569" i="1" s="1"/>
  <c r="Z569" i="1" s="1"/>
  <c r="V568" i="1"/>
  <c r="R568" i="1" a="1"/>
  <c r="R568" i="1" s="1"/>
  <c r="V567" i="1"/>
  <c r="R567" i="1" a="1"/>
  <c r="R567" i="1" s="1"/>
  <c r="V566" i="1"/>
  <c r="R566" i="1" a="1"/>
  <c r="R566" i="1" s="1"/>
  <c r="V565" i="1"/>
  <c r="R565" i="1" a="1"/>
  <c r="R565" i="1" s="1"/>
  <c r="X565" i="1" s="1"/>
  <c r="V564" i="1"/>
  <c r="R564" i="1" a="1"/>
  <c r="R564" i="1" s="1"/>
  <c r="V563" i="1"/>
  <c r="R563" i="1" a="1"/>
  <c r="R563" i="1" s="1"/>
  <c r="V562" i="1"/>
  <c r="R562" i="1" a="1"/>
  <c r="R562" i="1" s="1"/>
  <c r="V561" i="1"/>
  <c r="R561" i="1" a="1"/>
  <c r="R561" i="1" s="1"/>
  <c r="Y561" i="1" s="1"/>
  <c r="V560" i="1"/>
  <c r="R560" i="1" a="1"/>
  <c r="R560" i="1" s="1"/>
  <c r="V559" i="1"/>
  <c r="R559" i="1" a="1"/>
  <c r="R559" i="1" s="1"/>
  <c r="V558" i="1"/>
  <c r="R558" i="1" a="1"/>
  <c r="R558" i="1" s="1"/>
  <c r="U558" i="1" s="1"/>
  <c r="V557" i="1"/>
  <c r="R557" i="1" a="1"/>
  <c r="R557" i="1" s="1"/>
  <c r="Z557" i="1" s="1"/>
  <c r="V556" i="1"/>
  <c r="R556" i="1" a="1"/>
  <c r="R556" i="1" s="1"/>
  <c r="V555" i="1"/>
  <c r="R555" i="1" a="1"/>
  <c r="R555" i="1" s="1"/>
  <c r="X555" i="1" s="1"/>
  <c r="V554" i="1"/>
  <c r="R554" i="1" a="1"/>
  <c r="R554" i="1" s="1"/>
  <c r="Y554" i="1" s="1"/>
  <c r="V553" i="1"/>
  <c r="R553" i="1" a="1"/>
  <c r="R553" i="1" s="1"/>
  <c r="U553" i="1" s="1"/>
  <c r="V552" i="1"/>
  <c r="R552" i="1" a="1"/>
  <c r="R552" i="1" s="1"/>
  <c r="V551" i="1"/>
  <c r="R551" i="1" a="1"/>
  <c r="R551" i="1" s="1"/>
  <c r="V550" i="1"/>
  <c r="R550" i="1" a="1"/>
  <c r="R550" i="1" s="1"/>
  <c r="V549" i="1"/>
  <c r="R549" i="1" a="1"/>
  <c r="R549" i="1" s="1"/>
  <c r="V548" i="1"/>
  <c r="R548" i="1" a="1"/>
  <c r="R548" i="1" s="1"/>
  <c r="T548" i="1" s="1"/>
  <c r="V547" i="1"/>
  <c r="R547" i="1" a="1"/>
  <c r="R547" i="1" s="1"/>
  <c r="X547" i="1" s="1"/>
  <c r="V546" i="1"/>
  <c r="R546" i="1" a="1"/>
  <c r="R546" i="1" s="1"/>
  <c r="V545" i="1"/>
  <c r="R545" i="1" a="1"/>
  <c r="R545" i="1" s="1"/>
  <c r="Y545" i="1" s="1"/>
  <c r="V544" i="1"/>
  <c r="R544" i="1" a="1"/>
  <c r="R544" i="1" s="1"/>
  <c r="V543" i="1"/>
  <c r="R543" i="1" a="1"/>
  <c r="R543" i="1" s="1"/>
  <c r="Z543" i="1" s="1"/>
  <c r="V542" i="1"/>
  <c r="R542" i="1" a="1"/>
  <c r="R542" i="1" s="1"/>
  <c r="Y542" i="1" s="1"/>
  <c r="V541" i="1"/>
  <c r="R541" i="1" a="1"/>
  <c r="R541" i="1" s="1"/>
  <c r="V540" i="1"/>
  <c r="R540" i="1" a="1"/>
  <c r="R540" i="1" s="1"/>
  <c r="V539" i="1"/>
  <c r="R539" i="1" a="1"/>
  <c r="R539" i="1" s="1"/>
  <c r="Z539" i="1" s="1"/>
  <c r="V538" i="1"/>
  <c r="R538" i="1" a="1"/>
  <c r="R538" i="1" s="1"/>
  <c r="X538" i="1" s="1"/>
  <c r="V537" i="1"/>
  <c r="R537" i="1" a="1"/>
  <c r="R537" i="1" s="1"/>
  <c r="V536" i="1"/>
  <c r="R536" i="1" a="1"/>
  <c r="R536" i="1" s="1"/>
  <c r="V535" i="1"/>
  <c r="R535" i="1" a="1"/>
  <c r="R535" i="1" s="1"/>
  <c r="V534" i="1"/>
  <c r="R534" i="1" a="1"/>
  <c r="R534" i="1" s="1"/>
  <c r="V533" i="1"/>
  <c r="R533" i="1" a="1"/>
  <c r="R533" i="1" s="1"/>
  <c r="V532" i="1"/>
  <c r="R532" i="1" a="1"/>
  <c r="R532" i="1" s="1"/>
  <c r="V531" i="1"/>
  <c r="R531" i="1" a="1"/>
  <c r="R531" i="1" s="1"/>
  <c r="V530" i="1"/>
  <c r="R530" i="1" a="1"/>
  <c r="R530" i="1" s="1"/>
  <c r="Y530" i="1" s="1"/>
  <c r="V529" i="1"/>
  <c r="R529" i="1" a="1"/>
  <c r="R529" i="1" s="1"/>
  <c r="V528" i="1"/>
  <c r="R528" i="1" a="1"/>
  <c r="R528" i="1" s="1"/>
  <c r="Y528" i="1" s="1"/>
  <c r="V527" i="1"/>
  <c r="R527" i="1" a="1"/>
  <c r="R527" i="1" s="1"/>
  <c r="Y527" i="1" s="1"/>
  <c r="V526" i="1"/>
  <c r="R526" i="1" a="1"/>
  <c r="R526" i="1" s="1"/>
  <c r="V525" i="1"/>
  <c r="R525" i="1" a="1"/>
  <c r="R525" i="1" s="1"/>
  <c r="V524" i="1"/>
  <c r="R524" i="1" a="1"/>
  <c r="R524" i="1" s="1"/>
  <c r="V523" i="1"/>
  <c r="R523" i="1" a="1"/>
  <c r="R523" i="1" s="1"/>
  <c r="V522" i="1"/>
  <c r="R522" i="1" a="1"/>
  <c r="R522" i="1" s="1"/>
  <c r="X522" i="1" s="1"/>
  <c r="V521" i="1"/>
  <c r="R521" i="1" a="1"/>
  <c r="R521" i="1" s="1"/>
  <c r="V520" i="1"/>
  <c r="R520" i="1" a="1"/>
  <c r="R520" i="1" s="1"/>
  <c r="V519" i="1"/>
  <c r="R519" i="1" a="1"/>
  <c r="R519" i="1" s="1"/>
  <c r="T519" i="1" s="1"/>
  <c r="V518" i="1"/>
  <c r="R518" i="1" a="1"/>
  <c r="R518" i="1" s="1"/>
  <c r="Y518" i="1" s="1"/>
  <c r="V517" i="1"/>
  <c r="R517" i="1" a="1"/>
  <c r="R517" i="1" s="1"/>
  <c r="V516" i="1"/>
  <c r="R516" i="1" a="1"/>
  <c r="R516" i="1" s="1"/>
  <c r="V515" i="1"/>
  <c r="R515" i="1" a="1"/>
  <c r="R515" i="1" s="1"/>
  <c r="V514" i="1"/>
  <c r="R514" i="1" a="1"/>
  <c r="R514" i="1" s="1"/>
  <c r="S514" i="1" s="1"/>
  <c r="V513" i="1"/>
  <c r="R513" i="1" a="1"/>
  <c r="R513" i="1" s="1"/>
  <c r="Z513" i="1" s="1"/>
  <c r="V512" i="1"/>
  <c r="R512" i="1" a="1"/>
  <c r="R512" i="1" s="1"/>
  <c r="V511" i="1"/>
  <c r="R511" i="1" a="1"/>
  <c r="R511" i="1" s="1"/>
  <c r="V510" i="1"/>
  <c r="R510" i="1" a="1"/>
  <c r="R510" i="1" s="1"/>
  <c r="S510" i="1" s="1"/>
  <c r="V509" i="1"/>
  <c r="R509" i="1" a="1"/>
  <c r="R509" i="1" s="1"/>
  <c r="V508" i="1"/>
  <c r="R508" i="1" a="1"/>
  <c r="R508" i="1" s="1"/>
  <c r="V507" i="1"/>
  <c r="R507" i="1"/>
  <c r="R507" i="1" a="1"/>
  <c r="V506" i="1"/>
  <c r="R506" i="1" a="1"/>
  <c r="R506" i="1" s="1"/>
  <c r="X506" i="1" s="1"/>
  <c r="V505" i="1"/>
  <c r="R505" i="1" a="1"/>
  <c r="R505" i="1" s="1"/>
  <c r="V504" i="1"/>
  <c r="R504" i="1" a="1"/>
  <c r="R504" i="1" s="1"/>
  <c r="X504" i="1" s="1"/>
  <c r="V503" i="1"/>
  <c r="R503" i="1" a="1"/>
  <c r="R503" i="1" s="1"/>
  <c r="V502" i="1"/>
  <c r="R502" i="1" a="1"/>
  <c r="R502" i="1" s="1"/>
  <c r="Y502" i="1" s="1"/>
  <c r="V501" i="1"/>
  <c r="R501" i="1" a="1"/>
  <c r="R501" i="1" s="1"/>
  <c r="V500" i="1"/>
  <c r="R500" i="1" a="1"/>
  <c r="R500" i="1" s="1"/>
  <c r="V499" i="1"/>
  <c r="R499" i="1" a="1"/>
  <c r="R499" i="1" s="1"/>
  <c r="V498" i="1"/>
  <c r="R498" i="1" a="1"/>
  <c r="R498" i="1" s="1"/>
  <c r="S498" i="1" s="1"/>
  <c r="V497" i="1"/>
  <c r="R497" i="1" a="1"/>
  <c r="R497" i="1" s="1"/>
  <c r="V496" i="1"/>
  <c r="R496" i="1" a="1"/>
  <c r="R496" i="1" s="1"/>
  <c r="U496" i="1" s="1"/>
  <c r="V495" i="1"/>
  <c r="R495" i="1" a="1"/>
  <c r="R495" i="1" s="1"/>
  <c r="U495" i="1" s="1"/>
  <c r="V494" i="1"/>
  <c r="R494" i="1" a="1"/>
  <c r="R494" i="1" s="1"/>
  <c r="V493" i="1"/>
  <c r="R493" i="1" a="1"/>
  <c r="R493" i="1" s="1"/>
  <c r="V492" i="1"/>
  <c r="R492" i="1" a="1"/>
  <c r="R492" i="1" s="1"/>
  <c r="V491" i="1"/>
  <c r="R491" i="1" a="1"/>
  <c r="R491" i="1" s="1"/>
  <c r="V490" i="1"/>
  <c r="R490" i="1" a="1"/>
  <c r="R490" i="1" s="1"/>
  <c r="X490" i="1" s="1"/>
  <c r="V489" i="1"/>
  <c r="R489" i="1" a="1"/>
  <c r="R489" i="1" s="1"/>
  <c r="Z489" i="1" s="1"/>
  <c r="V488" i="1"/>
  <c r="R488" i="1" a="1"/>
  <c r="R488" i="1" s="1"/>
  <c r="V487" i="1"/>
  <c r="R487" i="1" a="1"/>
  <c r="R487" i="1" s="1"/>
  <c r="V486" i="1"/>
  <c r="R486" i="1" a="1"/>
  <c r="R486" i="1" s="1"/>
  <c r="V485" i="1"/>
  <c r="R485" i="1" a="1"/>
  <c r="R485" i="1" s="1"/>
  <c r="V484" i="1"/>
  <c r="R484" i="1" a="1"/>
  <c r="R484" i="1" s="1"/>
  <c r="V483" i="1"/>
  <c r="R483" i="1" a="1"/>
  <c r="R483" i="1" s="1"/>
  <c r="Y483" i="1" s="1"/>
  <c r="V482" i="1"/>
  <c r="R482" i="1" a="1"/>
  <c r="R482" i="1" s="1"/>
  <c r="V481" i="1"/>
  <c r="R481" i="1" a="1"/>
  <c r="R481" i="1" s="1"/>
  <c r="V480" i="1"/>
  <c r="R480" i="1" a="1"/>
  <c r="R480" i="1" s="1"/>
  <c r="Y480" i="1" s="1"/>
  <c r="V479" i="1"/>
  <c r="R479" i="1" a="1"/>
  <c r="R479" i="1" s="1"/>
  <c r="Z479" i="1" s="1"/>
  <c r="V478" i="1"/>
  <c r="R478" i="1" a="1"/>
  <c r="R478" i="1" s="1"/>
  <c r="V477" i="1"/>
  <c r="R477" i="1" a="1"/>
  <c r="R477" i="1" s="1"/>
  <c r="X477" i="1" s="1"/>
  <c r="V476" i="1"/>
  <c r="R476" i="1" a="1"/>
  <c r="R476" i="1" s="1"/>
  <c r="X476" i="1" s="1"/>
  <c r="V475" i="1"/>
  <c r="R475" i="1" a="1"/>
  <c r="R475" i="1" s="1"/>
  <c r="Y475" i="1" s="1"/>
  <c r="V474" i="1"/>
  <c r="R474" i="1" a="1"/>
  <c r="R474" i="1" s="1"/>
  <c r="Z474" i="1" s="1"/>
  <c r="V473" i="1"/>
  <c r="R473" i="1" a="1"/>
  <c r="R473" i="1" s="1"/>
  <c r="V472" i="1"/>
  <c r="R472" i="1" a="1"/>
  <c r="R472" i="1" s="1"/>
  <c r="V471" i="1"/>
  <c r="R471" i="1" a="1"/>
  <c r="R471" i="1" s="1"/>
  <c r="T471" i="1" s="1"/>
  <c r="V470" i="1"/>
  <c r="R470" i="1" a="1"/>
  <c r="R470" i="1" s="1"/>
  <c r="Z470" i="1" s="1"/>
  <c r="V469" i="1"/>
  <c r="R469" i="1" a="1"/>
  <c r="R469" i="1" s="1"/>
  <c r="V468" i="1"/>
  <c r="R468" i="1" a="1"/>
  <c r="R468" i="1" s="1"/>
  <c r="V467" i="1"/>
  <c r="R467" i="1" a="1"/>
  <c r="R467" i="1" s="1"/>
  <c r="Y467" i="1" s="1"/>
  <c r="V466" i="1"/>
  <c r="R466" i="1" a="1"/>
  <c r="R466" i="1" s="1"/>
  <c r="V465" i="1"/>
  <c r="R465" i="1" a="1"/>
  <c r="R465" i="1" s="1"/>
  <c r="Y465" i="1" s="1"/>
  <c r="V464" i="1"/>
  <c r="R464" i="1" a="1"/>
  <c r="R464" i="1" s="1"/>
  <c r="U464" i="1" s="1"/>
  <c r="V463" i="1"/>
  <c r="R463" i="1" a="1"/>
  <c r="R463" i="1" s="1"/>
  <c r="V462" i="1"/>
  <c r="R462" i="1" a="1"/>
  <c r="R462" i="1" s="1"/>
  <c r="V461" i="1"/>
  <c r="R461" i="1" a="1"/>
  <c r="R461" i="1" s="1"/>
  <c r="V460" i="1"/>
  <c r="U460" i="1"/>
  <c r="R460" i="1" a="1"/>
  <c r="R460" i="1" s="1"/>
  <c r="Y460" i="1" s="1"/>
  <c r="V459" i="1"/>
  <c r="R459" i="1" a="1"/>
  <c r="R459" i="1" s="1"/>
  <c r="U459" i="1" s="1"/>
  <c r="V458" i="1"/>
  <c r="R458" i="1" a="1"/>
  <c r="R458" i="1" s="1"/>
  <c r="V457" i="1"/>
  <c r="R457" i="1" a="1"/>
  <c r="R457" i="1" s="1"/>
  <c r="V456" i="1"/>
  <c r="R456" i="1" a="1"/>
  <c r="R456" i="1" s="1"/>
  <c r="T456" i="1" s="1"/>
  <c r="V455" i="1"/>
  <c r="U455" i="1"/>
  <c r="R455" i="1" a="1"/>
  <c r="R455" i="1" s="1"/>
  <c r="V454" i="1"/>
  <c r="R454" i="1" a="1"/>
  <c r="R454" i="1" s="1"/>
  <c r="T454" i="1" s="1"/>
  <c r="V453" i="1"/>
  <c r="R453" i="1" a="1"/>
  <c r="R453" i="1" s="1"/>
  <c r="V452" i="1"/>
  <c r="R452" i="1" a="1"/>
  <c r="R452" i="1" s="1"/>
  <c r="V451" i="1"/>
  <c r="R451" i="1" a="1"/>
  <c r="R451" i="1" s="1"/>
  <c r="Y451" i="1" s="1"/>
  <c r="V450" i="1"/>
  <c r="R450" i="1" a="1"/>
  <c r="R450" i="1" s="1"/>
  <c r="V449" i="1"/>
  <c r="R449" i="1" a="1"/>
  <c r="R449" i="1" s="1"/>
  <c r="V448" i="1"/>
  <c r="R448" i="1" a="1"/>
  <c r="R448" i="1" s="1"/>
  <c r="V447" i="1"/>
  <c r="S447" i="1"/>
  <c r="R447" i="1" a="1"/>
  <c r="R447" i="1" s="1"/>
  <c r="V446" i="1"/>
  <c r="R446" i="1" a="1"/>
  <c r="R446" i="1" s="1"/>
  <c r="V445" i="1"/>
  <c r="R445" i="1" a="1"/>
  <c r="R445" i="1" s="1"/>
  <c r="U445" i="1" s="1"/>
  <c r="V444" i="1"/>
  <c r="R444" i="1" a="1"/>
  <c r="R444" i="1" s="1"/>
  <c r="V443" i="1"/>
  <c r="R443" i="1" a="1"/>
  <c r="R443" i="1" s="1"/>
  <c r="Z443" i="1" s="1"/>
  <c r="V442" i="1"/>
  <c r="R442" i="1" a="1"/>
  <c r="R442" i="1" s="1"/>
  <c r="V441" i="1"/>
  <c r="R441" i="1" a="1"/>
  <c r="R441" i="1" s="1"/>
  <c r="V440" i="1"/>
  <c r="R440" i="1" a="1"/>
  <c r="R440" i="1" s="1"/>
  <c r="X440" i="1" s="1"/>
  <c r="V439" i="1"/>
  <c r="R439" i="1" a="1"/>
  <c r="R439" i="1" s="1"/>
  <c r="T439" i="1" s="1"/>
  <c r="V438" i="1"/>
  <c r="R438" i="1"/>
  <c r="Z438" i="1" s="1"/>
  <c r="R438" i="1" a="1"/>
  <c r="V437" i="1"/>
  <c r="R437" i="1" a="1"/>
  <c r="R437" i="1" s="1"/>
  <c r="Z437" i="1" s="1"/>
  <c r="V436" i="1"/>
  <c r="R436" i="1" a="1"/>
  <c r="R436" i="1" s="1"/>
  <c r="V435" i="1"/>
  <c r="R435" i="1" a="1"/>
  <c r="R435" i="1" s="1"/>
  <c r="V434" i="1"/>
  <c r="R434" i="1" a="1"/>
  <c r="R434" i="1" s="1"/>
  <c r="V433" i="1"/>
  <c r="R433" i="1" a="1"/>
  <c r="R433" i="1" s="1"/>
  <c r="V432" i="1"/>
  <c r="R432" i="1" a="1"/>
  <c r="R432" i="1" s="1"/>
  <c r="V431" i="1"/>
  <c r="R431" i="1" a="1"/>
  <c r="R431" i="1" s="1"/>
  <c r="V430" i="1"/>
  <c r="R430" i="1" a="1"/>
  <c r="R430" i="1" s="1"/>
  <c r="V429" i="1"/>
  <c r="R429" i="1" a="1"/>
  <c r="R429" i="1" s="1"/>
  <c r="V428" i="1"/>
  <c r="R428" i="1" a="1"/>
  <c r="R428" i="1" s="1"/>
  <c r="V427" i="1"/>
  <c r="R427" i="1" a="1"/>
  <c r="R427" i="1" s="1"/>
  <c r="X427" i="1" s="1"/>
  <c r="V426" i="1"/>
  <c r="R426" i="1" a="1"/>
  <c r="R426" i="1" s="1"/>
  <c r="V425" i="1"/>
  <c r="R425" i="1" a="1"/>
  <c r="R425" i="1" s="1"/>
  <c r="V424" i="1"/>
  <c r="R424" i="1"/>
  <c r="R424" i="1" a="1"/>
  <c r="V423" i="1"/>
  <c r="R423" i="1" a="1"/>
  <c r="R423" i="1" s="1"/>
  <c r="Y423" i="1" s="1"/>
  <c r="V422" i="1"/>
  <c r="R422" i="1" a="1"/>
  <c r="R422" i="1" s="1"/>
  <c r="V421" i="1"/>
  <c r="R421" i="1" a="1"/>
  <c r="R421" i="1" s="1"/>
  <c r="V420" i="1"/>
  <c r="R420" i="1" a="1"/>
  <c r="R420" i="1" s="1"/>
  <c r="V419" i="1"/>
  <c r="R419" i="1" a="1"/>
  <c r="R419" i="1" s="1"/>
  <c r="U419" i="1" s="1"/>
  <c r="V418" i="1"/>
  <c r="R418" i="1" a="1"/>
  <c r="R418" i="1" s="1"/>
  <c r="V417" i="1"/>
  <c r="R417" i="1" a="1"/>
  <c r="R417" i="1" s="1"/>
  <c r="U417" i="1" s="1"/>
  <c r="V416" i="1"/>
  <c r="R416" i="1" a="1"/>
  <c r="R416" i="1" s="1"/>
  <c r="V415" i="1"/>
  <c r="U415" i="1"/>
  <c r="R415" i="1" a="1"/>
  <c r="R415" i="1" s="1"/>
  <c r="X415" i="1" s="1"/>
  <c r="V414" i="1"/>
  <c r="R414" i="1" a="1"/>
  <c r="R414" i="1" s="1"/>
  <c r="W414" i="1" s="1" a="1"/>
  <c r="W414" i="1" s="1"/>
  <c r="V413" i="1"/>
  <c r="R413" i="1" a="1"/>
  <c r="R413" i="1" s="1"/>
  <c r="V412" i="1"/>
  <c r="R412" i="1" a="1"/>
  <c r="R412" i="1" s="1"/>
  <c r="Y412" i="1" s="1"/>
  <c r="V411" i="1"/>
  <c r="R411" i="1" a="1"/>
  <c r="R411" i="1" s="1"/>
  <c r="V410" i="1"/>
  <c r="R410" i="1" a="1"/>
  <c r="R410" i="1" s="1"/>
  <c r="V409" i="1"/>
  <c r="R409" i="1" a="1"/>
  <c r="R409" i="1" s="1"/>
  <c r="S409" i="1" s="1"/>
  <c r="V408" i="1"/>
  <c r="R408" i="1" a="1"/>
  <c r="R408" i="1" s="1"/>
  <c r="Z408" i="1" s="1"/>
  <c r="V407" i="1"/>
  <c r="R407" i="1" a="1"/>
  <c r="R407" i="1" s="1"/>
  <c r="V406" i="1"/>
  <c r="R406" i="1" a="1"/>
  <c r="R406" i="1" s="1"/>
  <c r="T406" i="1" s="1"/>
  <c r="V405" i="1"/>
  <c r="R405" i="1" a="1"/>
  <c r="R405" i="1" s="1"/>
  <c r="S405" i="1" s="1"/>
  <c r="V404" i="1"/>
  <c r="R404" i="1" a="1"/>
  <c r="R404" i="1" s="1"/>
  <c r="V403" i="1"/>
  <c r="R403" i="1" a="1"/>
  <c r="R403" i="1" s="1"/>
  <c r="V402" i="1"/>
  <c r="R402" i="1" a="1"/>
  <c r="R402" i="1" s="1"/>
  <c r="V401" i="1"/>
  <c r="R401" i="1" a="1"/>
  <c r="R401" i="1" s="1"/>
  <c r="V400" i="1"/>
  <c r="R400" i="1" a="1"/>
  <c r="R400" i="1" s="1"/>
  <c r="U400" i="1" s="1"/>
  <c r="V399" i="1"/>
  <c r="T399" i="1"/>
  <c r="R399" i="1" a="1"/>
  <c r="R399" i="1" s="1"/>
  <c r="V398" i="1"/>
  <c r="R398" i="1" a="1"/>
  <c r="R398" i="1" s="1"/>
  <c r="V397" i="1"/>
  <c r="R397" i="1" a="1"/>
  <c r="R397" i="1" s="1"/>
  <c r="Z397" i="1" s="1"/>
  <c r="V396" i="1"/>
  <c r="R396" i="1" a="1"/>
  <c r="R396" i="1" s="1"/>
  <c r="V395" i="1"/>
  <c r="R395" i="1" a="1"/>
  <c r="R395" i="1" s="1"/>
  <c r="V394" i="1"/>
  <c r="R394" i="1" a="1"/>
  <c r="R394" i="1" s="1"/>
  <c r="V393" i="1"/>
  <c r="R393" i="1" a="1"/>
  <c r="R393" i="1" s="1"/>
  <c r="S393" i="1" s="1"/>
  <c r="V392" i="1"/>
  <c r="R392" i="1" a="1"/>
  <c r="R392" i="1" s="1"/>
  <c r="Z392" i="1" s="1"/>
  <c r="V391" i="1"/>
  <c r="R391" i="1" a="1"/>
  <c r="R391" i="1" s="1"/>
  <c r="V390" i="1"/>
  <c r="R390" i="1" a="1"/>
  <c r="R390" i="1" s="1"/>
  <c r="T390" i="1" s="1"/>
  <c r="V389" i="1"/>
  <c r="R389" i="1" a="1"/>
  <c r="R389" i="1" s="1"/>
  <c r="S389" i="1" s="1"/>
  <c r="V388" i="1"/>
  <c r="R388" i="1" a="1"/>
  <c r="R388" i="1" s="1"/>
  <c r="V387" i="1"/>
  <c r="R387" i="1" a="1"/>
  <c r="R387" i="1" s="1"/>
  <c r="V386" i="1"/>
  <c r="R386" i="1" a="1"/>
  <c r="R386" i="1" s="1"/>
  <c r="V385" i="1"/>
  <c r="R385" i="1" a="1"/>
  <c r="R385" i="1" s="1"/>
  <c r="V384" i="1"/>
  <c r="R384" i="1" a="1"/>
  <c r="R384" i="1" s="1"/>
  <c r="V383" i="1"/>
  <c r="R383" i="1" a="1"/>
  <c r="R383" i="1" s="1"/>
  <c r="T383" i="1" s="1"/>
  <c r="V382" i="1"/>
  <c r="R382" i="1" a="1"/>
  <c r="R382" i="1" s="1"/>
  <c r="X382" i="1" s="1"/>
  <c r="V381" i="1"/>
  <c r="R381" i="1" a="1"/>
  <c r="R381" i="1" s="1"/>
  <c r="Z381" i="1" s="1"/>
  <c r="V380" i="1"/>
  <c r="R380" i="1" a="1"/>
  <c r="R380" i="1" s="1"/>
  <c r="V379" i="1"/>
  <c r="R379" i="1" a="1"/>
  <c r="R379" i="1" s="1"/>
  <c r="V378" i="1"/>
  <c r="R378" i="1" a="1"/>
  <c r="R378" i="1" s="1"/>
  <c r="S378" i="1" s="1"/>
  <c r="V377" i="1"/>
  <c r="R377" i="1" a="1"/>
  <c r="R377" i="1" s="1"/>
  <c r="Z377" i="1" s="1"/>
  <c r="V376" i="1"/>
  <c r="R376" i="1" a="1"/>
  <c r="R376" i="1" s="1"/>
  <c r="V375" i="1"/>
  <c r="R375" i="1" a="1"/>
  <c r="R375" i="1" s="1"/>
  <c r="V374" i="1"/>
  <c r="R374" i="1" a="1"/>
  <c r="R374" i="1" s="1"/>
  <c r="Y374" i="1" s="1"/>
  <c r="V373" i="1"/>
  <c r="R373" i="1" a="1"/>
  <c r="R373" i="1" s="1"/>
  <c r="V372" i="1"/>
  <c r="R372" i="1" a="1"/>
  <c r="R372" i="1" s="1"/>
  <c r="V371" i="1"/>
  <c r="R371" i="1" a="1"/>
  <c r="R371" i="1" s="1"/>
  <c r="V370" i="1"/>
  <c r="R370" i="1" a="1"/>
  <c r="R370" i="1" s="1"/>
  <c r="V369" i="1"/>
  <c r="R369" i="1" a="1"/>
  <c r="R369" i="1" s="1"/>
  <c r="V368" i="1"/>
  <c r="R368" i="1" a="1"/>
  <c r="R368" i="1" s="1"/>
  <c r="V367" i="1"/>
  <c r="R367" i="1" a="1"/>
  <c r="R367" i="1" s="1"/>
  <c r="V366" i="1"/>
  <c r="R366" i="1" a="1"/>
  <c r="R366" i="1" s="1"/>
  <c r="Y366" i="1" s="1"/>
  <c r="V365" i="1"/>
  <c r="R365" i="1" a="1"/>
  <c r="R365" i="1" s="1"/>
  <c r="V364" i="1"/>
  <c r="R364" i="1" a="1"/>
  <c r="R364" i="1" s="1"/>
  <c r="V363" i="1"/>
  <c r="R363" i="1" a="1"/>
  <c r="R363" i="1" s="1"/>
  <c r="V362" i="1"/>
  <c r="R362" i="1" a="1"/>
  <c r="R362" i="1" s="1"/>
  <c r="U362" i="1" s="1"/>
  <c r="V361" i="1"/>
  <c r="R361" i="1" a="1"/>
  <c r="R361" i="1" s="1"/>
  <c r="V360" i="1"/>
  <c r="R360" i="1" a="1"/>
  <c r="R360" i="1" s="1"/>
  <c r="V359" i="1"/>
  <c r="R359" i="1" a="1"/>
  <c r="R359" i="1" s="1"/>
  <c r="V358" i="1"/>
  <c r="R358" i="1" a="1"/>
  <c r="R358" i="1" s="1"/>
  <c r="T358" i="1" s="1"/>
  <c r="V357" i="1"/>
  <c r="R357" i="1" a="1"/>
  <c r="R357" i="1" s="1"/>
  <c r="V356" i="1"/>
  <c r="R356" i="1" a="1"/>
  <c r="R356" i="1" s="1"/>
  <c r="Y356" i="1" s="1"/>
  <c r="V355" i="1"/>
  <c r="R355" i="1" a="1"/>
  <c r="R355" i="1" s="1"/>
  <c r="V354" i="1"/>
  <c r="R354" i="1" a="1"/>
  <c r="R354" i="1" s="1"/>
  <c r="Z354" i="1" s="1"/>
  <c r="V353" i="1"/>
  <c r="R353" i="1" a="1"/>
  <c r="R353" i="1" s="1"/>
  <c r="V352" i="1"/>
  <c r="R352" i="1" a="1"/>
  <c r="R352" i="1" s="1"/>
  <c r="V351" i="1"/>
  <c r="R351" i="1" a="1"/>
  <c r="R351" i="1" s="1"/>
  <c r="V350" i="1"/>
  <c r="R350" i="1" a="1"/>
  <c r="R350" i="1" s="1"/>
  <c r="V349" i="1"/>
  <c r="R349" i="1" a="1"/>
  <c r="R349" i="1" s="1"/>
  <c r="Z349" i="1" s="1"/>
  <c r="V348" i="1"/>
  <c r="R348" i="1" a="1"/>
  <c r="R348" i="1" s="1"/>
  <c r="V347" i="1"/>
  <c r="R347" i="1" a="1"/>
  <c r="R347" i="1" s="1"/>
  <c r="V346" i="1"/>
  <c r="R346" i="1" a="1"/>
  <c r="R346" i="1" s="1"/>
  <c r="X346" i="1" s="1"/>
  <c r="V345" i="1"/>
  <c r="R345" i="1" a="1"/>
  <c r="R345" i="1" s="1"/>
  <c r="Y345" i="1" s="1"/>
  <c r="V344" i="1"/>
  <c r="R344" i="1" a="1"/>
  <c r="R344" i="1" s="1"/>
  <c r="V343" i="1"/>
  <c r="R343" i="1" a="1"/>
  <c r="R343" i="1" s="1"/>
  <c r="V342" i="1"/>
  <c r="R342" i="1" a="1"/>
  <c r="R342" i="1" s="1"/>
  <c r="Y342" i="1" s="1"/>
  <c r="V341" i="1"/>
  <c r="R341" i="1" a="1"/>
  <c r="R341" i="1" s="1"/>
  <c r="V340" i="1"/>
  <c r="R340" i="1" a="1"/>
  <c r="R340" i="1" s="1"/>
  <c r="Y340" i="1" s="1"/>
  <c r="V339" i="1"/>
  <c r="R339" i="1" a="1"/>
  <c r="R339" i="1" s="1"/>
  <c r="V338" i="1"/>
  <c r="R338" i="1" a="1"/>
  <c r="R338" i="1" s="1"/>
  <c r="V337" i="1"/>
  <c r="R337" i="1" a="1"/>
  <c r="R337" i="1" s="1"/>
  <c r="V336" i="1"/>
  <c r="R336" i="1" a="1"/>
  <c r="R336" i="1" s="1"/>
  <c r="V335" i="1"/>
  <c r="R335" i="1" a="1"/>
  <c r="R335" i="1" s="1"/>
  <c r="Y335" i="1" s="1"/>
  <c r="V334" i="1"/>
  <c r="U334" i="1"/>
  <c r="R334" i="1" a="1"/>
  <c r="R334" i="1" s="1"/>
  <c r="X334" i="1" s="1"/>
  <c r="V333" i="1"/>
  <c r="R333" i="1" a="1"/>
  <c r="R333" i="1" s="1"/>
  <c r="V332" i="1"/>
  <c r="R332" i="1" a="1"/>
  <c r="R332" i="1" s="1"/>
  <c r="V331" i="1"/>
  <c r="R331" i="1" a="1"/>
  <c r="R331" i="1" s="1"/>
  <c r="V330" i="1"/>
  <c r="R330" i="1" a="1"/>
  <c r="R330" i="1" s="1"/>
  <c r="T330" i="1" s="1"/>
  <c r="V329" i="1"/>
  <c r="R329" i="1" a="1"/>
  <c r="R329" i="1" s="1"/>
  <c r="V328" i="1"/>
  <c r="R328" i="1" a="1"/>
  <c r="R328" i="1" s="1"/>
  <c r="Z328" i="1" s="1"/>
  <c r="V327" i="1"/>
  <c r="R327" i="1" a="1"/>
  <c r="R327" i="1" s="1"/>
  <c r="V326" i="1"/>
  <c r="R326" i="1" a="1"/>
  <c r="R326" i="1" s="1"/>
  <c r="V325" i="1"/>
  <c r="R325" i="1" a="1"/>
  <c r="R325" i="1" s="1"/>
  <c r="V324" i="1"/>
  <c r="R324" i="1" a="1"/>
  <c r="R324" i="1" s="1"/>
  <c r="V323" i="1"/>
  <c r="R323" i="1" a="1"/>
  <c r="R323" i="1" s="1"/>
  <c r="Y323" i="1" s="1"/>
  <c r="V322" i="1"/>
  <c r="R322" i="1" a="1"/>
  <c r="R322" i="1" s="1"/>
  <c r="Z322" i="1" s="1"/>
  <c r="V321" i="1"/>
  <c r="R321" i="1" a="1"/>
  <c r="R321" i="1" s="1"/>
  <c r="V320" i="1"/>
  <c r="R320" i="1" a="1"/>
  <c r="R320" i="1" s="1"/>
  <c r="V319" i="1"/>
  <c r="T319" i="1"/>
  <c r="R319" i="1" a="1"/>
  <c r="R319" i="1" s="1"/>
  <c r="V318" i="1"/>
  <c r="R318" i="1" a="1"/>
  <c r="R318" i="1" s="1"/>
  <c r="X318" i="1" s="1"/>
  <c r="V317" i="1"/>
  <c r="R317" i="1" a="1"/>
  <c r="R317" i="1" s="1"/>
  <c r="Z317" i="1" s="1"/>
  <c r="V316" i="1"/>
  <c r="R316" i="1" a="1"/>
  <c r="R316" i="1" s="1"/>
  <c r="V315" i="1"/>
  <c r="R315" i="1" a="1"/>
  <c r="R315" i="1" s="1"/>
  <c r="V314" i="1"/>
  <c r="R314" i="1" a="1"/>
  <c r="R314" i="1" s="1"/>
  <c r="V313" i="1"/>
  <c r="R313" i="1" a="1"/>
  <c r="R313" i="1" s="1"/>
  <c r="V312" i="1"/>
  <c r="R312" i="1" a="1"/>
  <c r="R312" i="1" s="1"/>
  <c r="Z312" i="1" s="1"/>
  <c r="V311" i="1"/>
  <c r="R311" i="1" a="1"/>
  <c r="R311" i="1" s="1"/>
  <c r="V310" i="1"/>
  <c r="R310" i="1" a="1"/>
  <c r="R310" i="1" s="1"/>
  <c r="Y310" i="1" s="1"/>
  <c r="V309" i="1"/>
  <c r="R309" i="1" a="1"/>
  <c r="R309" i="1" s="1"/>
  <c r="V308" i="1"/>
  <c r="R308" i="1" a="1"/>
  <c r="R308" i="1" s="1"/>
  <c r="V307" i="1"/>
  <c r="R307" i="1" a="1"/>
  <c r="R307" i="1" s="1"/>
  <c r="V306" i="1"/>
  <c r="R306" i="1" a="1"/>
  <c r="R306" i="1" s="1"/>
  <c r="V305" i="1"/>
  <c r="R305" i="1" a="1"/>
  <c r="R305" i="1" s="1"/>
  <c r="V304" i="1"/>
  <c r="R304" i="1" a="1"/>
  <c r="R304" i="1" s="1"/>
  <c r="V303" i="1"/>
  <c r="R303" i="1" a="1"/>
  <c r="R303" i="1" s="1"/>
  <c r="V302" i="1"/>
  <c r="R302" i="1" a="1"/>
  <c r="R302" i="1" s="1"/>
  <c r="X302" i="1" s="1"/>
  <c r="V301" i="1"/>
  <c r="R301" i="1" a="1"/>
  <c r="R301" i="1" s="1"/>
  <c r="Z301" i="1" s="1"/>
  <c r="V300" i="1"/>
  <c r="R300" i="1" a="1"/>
  <c r="R300" i="1" s="1"/>
  <c r="V299" i="1"/>
  <c r="R299" i="1" a="1"/>
  <c r="R299" i="1" s="1"/>
  <c r="V298" i="1"/>
  <c r="R298" i="1" a="1"/>
  <c r="R298" i="1" s="1"/>
  <c r="T298" i="1" s="1"/>
  <c r="V297" i="1"/>
  <c r="R297" i="1" a="1"/>
  <c r="R297" i="1" s="1"/>
  <c r="V296" i="1"/>
  <c r="R296" i="1" a="1"/>
  <c r="R296" i="1" s="1"/>
  <c r="V295" i="1"/>
  <c r="R295" i="1" a="1"/>
  <c r="R295" i="1" s="1"/>
  <c r="V294" i="1"/>
  <c r="R294" i="1" a="1"/>
  <c r="R294" i="1" s="1"/>
  <c r="V293" i="1"/>
  <c r="R293" i="1" a="1"/>
  <c r="R293" i="1" s="1"/>
  <c r="V292" i="1"/>
  <c r="R292" i="1" a="1"/>
  <c r="R292" i="1" s="1"/>
  <c r="Y292" i="1" s="1"/>
  <c r="V291" i="1"/>
  <c r="R291" i="1" a="1"/>
  <c r="R291" i="1" s="1"/>
  <c r="Y291" i="1" s="1"/>
  <c r="V290" i="1"/>
  <c r="R290" i="1" a="1"/>
  <c r="R290" i="1" s="1"/>
  <c r="V289" i="1"/>
  <c r="R289" i="1" a="1"/>
  <c r="R289" i="1" s="1"/>
  <c r="V288" i="1"/>
  <c r="R288" i="1" a="1"/>
  <c r="R288" i="1" s="1"/>
  <c r="V287" i="1"/>
  <c r="R287" i="1" a="1"/>
  <c r="R287" i="1" s="1"/>
  <c r="Y287" i="1" s="1"/>
  <c r="V286" i="1"/>
  <c r="U286" i="1"/>
  <c r="R286" i="1" a="1"/>
  <c r="R286" i="1" s="1"/>
  <c r="Y286" i="1" s="1"/>
  <c r="V285" i="1"/>
  <c r="R285" i="1"/>
  <c r="Z285" i="1" s="1"/>
  <c r="R285" i="1" a="1"/>
  <c r="V284" i="1"/>
  <c r="R284" i="1" a="1"/>
  <c r="R284" i="1" s="1"/>
  <c r="W284" i="1" s="1" a="1"/>
  <c r="W284" i="1" s="1"/>
  <c r="V283" i="1"/>
  <c r="R283" i="1"/>
  <c r="R283" i="1" a="1"/>
  <c r="V282" i="1"/>
  <c r="R282" i="1" a="1"/>
  <c r="R282" i="1" s="1"/>
  <c r="W282" i="1" s="1" a="1"/>
  <c r="W282" i="1" s="1"/>
  <c r="V281" i="1"/>
  <c r="R281" i="1" a="1"/>
  <c r="R281" i="1" s="1"/>
  <c r="V280" i="1"/>
  <c r="R280" i="1" a="1"/>
  <c r="R280" i="1" s="1"/>
  <c r="V279" i="1"/>
  <c r="R279" i="1" a="1"/>
  <c r="R279" i="1" s="1"/>
  <c r="V278" i="1"/>
  <c r="S278" i="1"/>
  <c r="R278" i="1" a="1"/>
  <c r="R278" i="1" s="1"/>
  <c r="Y278" i="1" s="1"/>
  <c r="V277" i="1"/>
  <c r="R277" i="1" a="1"/>
  <c r="R277" i="1" s="1"/>
  <c r="Z277" i="1" s="1"/>
  <c r="V276" i="1"/>
  <c r="R276" i="1" a="1"/>
  <c r="R276" i="1" s="1"/>
  <c r="V275" i="1"/>
  <c r="R275" i="1" a="1"/>
  <c r="R275" i="1" s="1"/>
  <c r="V274" i="1"/>
  <c r="R274" i="1" a="1"/>
  <c r="R274" i="1" s="1"/>
  <c r="V273" i="1"/>
  <c r="R273" i="1" a="1"/>
  <c r="R273" i="1" s="1"/>
  <c r="V272" i="1"/>
  <c r="R272" i="1" a="1"/>
  <c r="R272" i="1" s="1"/>
  <c r="V271" i="1"/>
  <c r="R271" i="1" a="1"/>
  <c r="R271" i="1" s="1"/>
  <c r="V270" i="1"/>
  <c r="R270" i="1" a="1"/>
  <c r="R270" i="1" s="1"/>
  <c r="Y270" i="1" s="1"/>
  <c r="V269" i="1"/>
  <c r="R269" i="1" a="1"/>
  <c r="R269" i="1" s="1"/>
  <c r="Z269" i="1" s="1"/>
  <c r="V268" i="1"/>
  <c r="R268" i="1" a="1"/>
  <c r="R268" i="1" s="1"/>
  <c r="V267" i="1"/>
  <c r="R267" i="1" a="1"/>
  <c r="R267" i="1" s="1"/>
  <c r="V266" i="1"/>
  <c r="R266" i="1" a="1"/>
  <c r="R266" i="1" s="1"/>
  <c r="Y266" i="1" s="1"/>
  <c r="V265" i="1"/>
  <c r="R265" i="1" a="1"/>
  <c r="R265" i="1" s="1"/>
  <c r="S265" i="1" s="1"/>
  <c r="V264" i="1"/>
  <c r="R264" i="1" a="1"/>
  <c r="R264" i="1" s="1"/>
  <c r="V263" i="1"/>
  <c r="R263" i="1" a="1"/>
  <c r="R263" i="1" s="1"/>
  <c r="V262" i="1"/>
  <c r="R262" i="1" a="1"/>
  <c r="R262" i="1" s="1"/>
  <c r="T262" i="1" s="1"/>
  <c r="V261" i="1"/>
  <c r="R261" i="1" a="1"/>
  <c r="R261" i="1" s="1"/>
  <c r="Y261" i="1" s="1"/>
  <c r="V260" i="1"/>
  <c r="R260" i="1" a="1"/>
  <c r="R260" i="1" s="1"/>
  <c r="Y260" i="1" s="1"/>
  <c r="V259" i="1"/>
  <c r="R259" i="1" a="1"/>
  <c r="R259" i="1" s="1"/>
  <c r="V258" i="1"/>
  <c r="R258" i="1" a="1"/>
  <c r="R258" i="1" s="1"/>
  <c r="V257" i="1"/>
  <c r="R257" i="1" a="1"/>
  <c r="R257" i="1" s="1"/>
  <c r="V256" i="1"/>
  <c r="R256" i="1"/>
  <c r="X256" i="1" s="1"/>
  <c r="R256" i="1" a="1"/>
  <c r="V255" i="1"/>
  <c r="R255" i="1" a="1"/>
  <c r="R255" i="1" s="1"/>
  <c r="X255" i="1" s="1"/>
  <c r="V254" i="1"/>
  <c r="R254" i="1" a="1"/>
  <c r="R254" i="1" s="1"/>
  <c r="V253" i="1"/>
  <c r="R253" i="1" a="1"/>
  <c r="R253" i="1" s="1"/>
  <c r="Z253" i="1" s="1"/>
  <c r="V252" i="1"/>
  <c r="R252" i="1" a="1"/>
  <c r="R252" i="1" s="1"/>
  <c r="V251" i="1"/>
  <c r="R251" i="1" a="1"/>
  <c r="R251" i="1" s="1"/>
  <c r="V250" i="1"/>
  <c r="R250" i="1" a="1"/>
  <c r="R250" i="1" s="1"/>
  <c r="Y250" i="1" s="1"/>
  <c r="V249" i="1"/>
  <c r="R249" i="1" a="1"/>
  <c r="R249" i="1" s="1"/>
  <c r="V248" i="1"/>
  <c r="R248" i="1" a="1"/>
  <c r="R248" i="1" s="1"/>
  <c r="Z248" i="1" s="1"/>
  <c r="V247" i="1"/>
  <c r="R247" i="1" a="1"/>
  <c r="R247" i="1" s="1"/>
  <c r="V246" i="1"/>
  <c r="R246" i="1" a="1"/>
  <c r="R246" i="1" s="1"/>
  <c r="V245" i="1"/>
  <c r="R245" i="1" a="1"/>
  <c r="R245" i="1" s="1"/>
  <c r="Z245" i="1" s="1"/>
  <c r="V244" i="1"/>
  <c r="R244" i="1" a="1"/>
  <c r="R244" i="1" s="1"/>
  <c r="V243" i="1"/>
  <c r="R243" i="1" a="1"/>
  <c r="R243" i="1" s="1"/>
  <c r="Y243" i="1" s="1"/>
  <c r="V242" i="1"/>
  <c r="R242" i="1" a="1"/>
  <c r="R242" i="1" s="1"/>
  <c r="Z242" i="1" s="1"/>
  <c r="V241" i="1"/>
  <c r="R241" i="1" a="1"/>
  <c r="R241" i="1" s="1"/>
  <c r="V240" i="1"/>
  <c r="R240" i="1" a="1"/>
  <c r="R240" i="1" s="1"/>
  <c r="T240" i="1" s="1"/>
  <c r="V239" i="1"/>
  <c r="R239" i="1" a="1"/>
  <c r="R239" i="1" s="1"/>
  <c r="V238" i="1"/>
  <c r="R238" i="1" a="1"/>
  <c r="R238" i="1" s="1"/>
  <c r="V237" i="1"/>
  <c r="R237" i="1" a="1"/>
  <c r="R237" i="1" s="1"/>
  <c r="Z237" i="1" s="1"/>
  <c r="V236" i="1"/>
  <c r="R236" i="1" a="1"/>
  <c r="R236" i="1" s="1"/>
  <c r="V235" i="1"/>
  <c r="R235" i="1" a="1"/>
  <c r="R235" i="1" s="1"/>
  <c r="V234" i="1"/>
  <c r="R234" i="1" a="1"/>
  <c r="R234" i="1" s="1"/>
  <c r="V233" i="1"/>
  <c r="R233" i="1" a="1"/>
  <c r="R233" i="1" s="1"/>
  <c r="T233" i="1" s="1"/>
  <c r="V232" i="1"/>
  <c r="R232" i="1" a="1"/>
  <c r="R232" i="1" s="1"/>
  <c r="Z232" i="1" s="1"/>
  <c r="V231" i="1"/>
  <c r="R231" i="1" a="1"/>
  <c r="R231" i="1" s="1"/>
  <c r="V230" i="1"/>
  <c r="R230" i="1" a="1"/>
  <c r="R230" i="1" s="1"/>
  <c r="S230" i="1" s="1"/>
  <c r="V229" i="1"/>
  <c r="R229" i="1"/>
  <c r="Z229" i="1" s="1"/>
  <c r="R229" i="1" a="1"/>
  <c r="V228" i="1"/>
  <c r="R228" i="1" a="1"/>
  <c r="R228" i="1" s="1"/>
  <c r="V227" i="1"/>
  <c r="R227" i="1" a="1"/>
  <c r="R227" i="1" s="1"/>
  <c r="V226" i="1"/>
  <c r="R226" i="1" a="1"/>
  <c r="R226" i="1" s="1"/>
  <c r="V225" i="1"/>
  <c r="R225" i="1" a="1"/>
  <c r="R225" i="1" s="1"/>
  <c r="V224" i="1"/>
  <c r="R224" i="1" a="1"/>
  <c r="R224" i="1" s="1"/>
  <c r="V223" i="1"/>
  <c r="R223" i="1" a="1"/>
  <c r="R223" i="1" s="1"/>
  <c r="U223" i="1" s="1"/>
  <c r="V222" i="1"/>
  <c r="R222" i="1" a="1"/>
  <c r="R222" i="1" s="1"/>
  <c r="Y222" i="1" s="1"/>
  <c r="V221" i="1"/>
  <c r="R221" i="1" a="1"/>
  <c r="R221" i="1" s="1"/>
  <c r="V220" i="1"/>
  <c r="R220" i="1" a="1"/>
  <c r="R220" i="1" s="1"/>
  <c r="V219" i="1"/>
  <c r="R219" i="1" a="1"/>
  <c r="R219" i="1" s="1"/>
  <c r="V218" i="1"/>
  <c r="R218" i="1" a="1"/>
  <c r="R218" i="1" s="1"/>
  <c r="Y218" i="1" s="1"/>
  <c r="V217" i="1"/>
  <c r="R217" i="1" a="1"/>
  <c r="R217" i="1" s="1"/>
  <c r="V216" i="1"/>
  <c r="R216" i="1" a="1"/>
  <c r="R216" i="1" s="1"/>
  <c r="V215" i="1"/>
  <c r="R215" i="1" a="1"/>
  <c r="R215" i="1" s="1"/>
  <c r="V214" i="1"/>
  <c r="S214" i="1"/>
  <c r="R214" i="1" a="1"/>
  <c r="R214" i="1" s="1"/>
  <c r="V213" i="1"/>
  <c r="R213" i="1" a="1"/>
  <c r="R213" i="1" s="1"/>
  <c r="V212" i="1"/>
  <c r="R212" i="1" a="1"/>
  <c r="R212" i="1" s="1"/>
  <c r="Y212" i="1" s="1"/>
  <c r="V211" i="1"/>
  <c r="R211" i="1" a="1"/>
  <c r="R211" i="1" s="1"/>
  <c r="Y211" i="1" s="1"/>
  <c r="V210" i="1"/>
  <c r="R210" i="1" a="1"/>
  <c r="R210" i="1" s="1"/>
  <c r="V209" i="1"/>
  <c r="R209" i="1" a="1"/>
  <c r="R209" i="1" s="1"/>
  <c r="V208" i="1"/>
  <c r="R208" i="1" a="1"/>
  <c r="R208" i="1" s="1"/>
  <c r="V207" i="1"/>
  <c r="R207" i="1" a="1"/>
  <c r="R207" i="1" s="1"/>
  <c r="V206" i="1"/>
  <c r="R206" i="1" a="1"/>
  <c r="R206" i="1" s="1"/>
  <c r="Y206" i="1" s="1"/>
  <c r="V205" i="1"/>
  <c r="R205" i="1" a="1"/>
  <c r="R205" i="1" s="1"/>
  <c r="Z205" i="1" s="1"/>
  <c r="V204" i="1"/>
  <c r="R204" i="1" a="1"/>
  <c r="R204" i="1" s="1"/>
  <c r="V203" i="1"/>
  <c r="R203" i="1" a="1"/>
  <c r="R203" i="1" s="1"/>
  <c r="V202" i="1"/>
  <c r="R202" i="1" a="1"/>
  <c r="R202" i="1" s="1"/>
  <c r="Y202" i="1" s="1"/>
  <c r="V201" i="1"/>
  <c r="R201" i="1" a="1"/>
  <c r="R201" i="1" s="1"/>
  <c r="V200" i="1"/>
  <c r="R200" i="1" a="1"/>
  <c r="R200" i="1" s="1"/>
  <c r="V199" i="1"/>
  <c r="R199" i="1" a="1"/>
  <c r="R199" i="1" s="1"/>
  <c r="V198" i="1"/>
  <c r="R198" i="1" a="1"/>
  <c r="R198" i="1" s="1"/>
  <c r="S198" i="1" s="1"/>
  <c r="V197" i="1"/>
  <c r="R197" i="1" a="1"/>
  <c r="R197" i="1" s="1"/>
  <c r="Z197" i="1" s="1"/>
  <c r="V196" i="1"/>
  <c r="R196" i="1" a="1"/>
  <c r="R196" i="1" s="1"/>
  <c r="Y196" i="1" s="1"/>
  <c r="V195" i="1"/>
  <c r="R195" i="1" a="1"/>
  <c r="R195" i="1" s="1"/>
  <c r="V194" i="1"/>
  <c r="R194" i="1" a="1"/>
  <c r="R194" i="1" s="1"/>
  <c r="Z194" i="1" s="1"/>
  <c r="V193" i="1"/>
  <c r="R193" i="1" a="1"/>
  <c r="R193" i="1" s="1"/>
  <c r="V192" i="1"/>
  <c r="R192" i="1" a="1"/>
  <c r="R192" i="1" s="1"/>
  <c r="V191" i="1"/>
  <c r="R191" i="1" a="1"/>
  <c r="R191" i="1" s="1"/>
  <c r="V190" i="1"/>
  <c r="R190" i="1" a="1"/>
  <c r="R190" i="1" s="1"/>
  <c r="Y190" i="1" s="1"/>
  <c r="V189" i="1"/>
  <c r="R189" i="1" a="1"/>
  <c r="R189" i="1" s="1"/>
  <c r="V188" i="1"/>
  <c r="R188" i="1" a="1"/>
  <c r="R188" i="1" s="1"/>
  <c r="W188" i="1" s="1" a="1"/>
  <c r="W188" i="1" s="1"/>
  <c r="V187" i="1"/>
  <c r="R187" i="1" a="1"/>
  <c r="R187" i="1" s="1"/>
  <c r="V186" i="1"/>
  <c r="R186" i="1" a="1"/>
  <c r="R186" i="1" s="1"/>
  <c r="Y186" i="1" s="1"/>
  <c r="V185" i="1"/>
  <c r="R185" i="1" a="1"/>
  <c r="R185" i="1" s="1"/>
  <c r="V184" i="1"/>
  <c r="R184" i="1" a="1"/>
  <c r="R184" i="1" s="1"/>
  <c r="Z184" i="1" s="1"/>
  <c r="V183" i="1"/>
  <c r="R183" i="1" a="1"/>
  <c r="R183" i="1" s="1"/>
  <c r="V182" i="1"/>
  <c r="R182" i="1" a="1"/>
  <c r="R182" i="1" s="1"/>
  <c r="V181" i="1"/>
  <c r="R181" i="1" a="1"/>
  <c r="R181" i="1" s="1"/>
  <c r="V180" i="1"/>
  <c r="R180" i="1" a="1"/>
  <c r="R180" i="1" s="1"/>
  <c r="Y180" i="1" s="1"/>
  <c r="V179" i="1"/>
  <c r="R179" i="1" a="1"/>
  <c r="R179" i="1" s="1"/>
  <c r="X179" i="1" s="1"/>
  <c r="V178" i="1"/>
  <c r="R178" i="1" a="1"/>
  <c r="R178" i="1" s="1"/>
  <c r="T178" i="1" s="1"/>
  <c r="V177" i="1"/>
  <c r="R177" i="1" a="1"/>
  <c r="R177" i="1" s="1"/>
  <c r="Y177" i="1" s="1"/>
  <c r="V176" i="1"/>
  <c r="R176" i="1" a="1"/>
  <c r="R176" i="1" s="1"/>
  <c r="V175" i="1"/>
  <c r="R175" i="1" a="1"/>
  <c r="R175" i="1" s="1"/>
  <c r="X175" i="1" s="1"/>
  <c r="V174" i="1"/>
  <c r="R174" i="1" a="1"/>
  <c r="R174" i="1" s="1"/>
  <c r="T174" i="1" s="1"/>
  <c r="V173" i="1"/>
  <c r="R173" i="1" a="1"/>
  <c r="R173" i="1" s="1"/>
  <c r="V172" i="1"/>
  <c r="R172" i="1" a="1"/>
  <c r="R172" i="1" s="1"/>
  <c r="V171" i="1"/>
  <c r="R171" i="1" a="1"/>
  <c r="R171" i="1" s="1"/>
  <c r="V170" i="1"/>
  <c r="R170" i="1" a="1"/>
  <c r="R170" i="1" s="1"/>
  <c r="V169" i="1"/>
  <c r="R169" i="1" a="1"/>
  <c r="R169" i="1" s="1"/>
  <c r="V168" i="1"/>
  <c r="R168" i="1" a="1"/>
  <c r="R168" i="1" s="1"/>
  <c r="Y168" i="1" s="1"/>
  <c r="V167" i="1"/>
  <c r="R167" i="1" a="1"/>
  <c r="R167" i="1" s="1"/>
  <c r="X167" i="1" s="1"/>
  <c r="V166" i="1"/>
  <c r="R166" i="1" a="1"/>
  <c r="R166" i="1" s="1"/>
  <c r="V165" i="1"/>
  <c r="R165" i="1" a="1"/>
  <c r="R165" i="1" s="1"/>
  <c r="V164" i="1"/>
  <c r="R164" i="1" a="1"/>
  <c r="R164" i="1" s="1"/>
  <c r="V163" i="1"/>
  <c r="R163" i="1" a="1"/>
  <c r="R163" i="1" s="1"/>
  <c r="V162" i="1"/>
  <c r="R162" i="1" a="1"/>
  <c r="R162" i="1" s="1"/>
  <c r="T162" i="1" s="1"/>
  <c r="V161" i="1"/>
  <c r="R161" i="1" a="1"/>
  <c r="R161" i="1" s="1"/>
  <c r="V160" i="1"/>
  <c r="R160" i="1" a="1"/>
  <c r="R160" i="1" s="1"/>
  <c r="V159" i="1"/>
  <c r="R159" i="1" a="1"/>
  <c r="R159" i="1" s="1"/>
  <c r="X159" i="1" s="1"/>
  <c r="V158" i="1"/>
  <c r="R158" i="1" a="1"/>
  <c r="R158" i="1" s="1"/>
  <c r="T158" i="1" s="1"/>
  <c r="V157" i="1"/>
  <c r="R157" i="1" a="1"/>
  <c r="R157" i="1" s="1"/>
  <c r="Y157" i="1" s="1"/>
  <c r="V156" i="1"/>
  <c r="R156" i="1" a="1"/>
  <c r="R156" i="1" s="1"/>
  <c r="V155" i="1"/>
  <c r="R155" i="1" a="1"/>
  <c r="R155" i="1" s="1"/>
  <c r="V154" i="1"/>
  <c r="R154" i="1" a="1"/>
  <c r="R154" i="1" s="1"/>
  <c r="V153" i="1"/>
  <c r="R153" i="1" a="1"/>
  <c r="R153" i="1" s="1"/>
  <c r="V152" i="1"/>
  <c r="R152" i="1" a="1"/>
  <c r="R152" i="1" s="1"/>
  <c r="V151" i="1"/>
  <c r="R151" i="1" a="1"/>
  <c r="R151" i="1" s="1"/>
  <c r="X151" i="1" s="1"/>
  <c r="V150" i="1"/>
  <c r="R150" i="1" a="1"/>
  <c r="R150" i="1" s="1"/>
  <c r="V149" i="1"/>
  <c r="R149" i="1" a="1"/>
  <c r="R149" i="1" s="1"/>
  <c r="V148" i="1"/>
  <c r="R148" i="1" a="1"/>
  <c r="R148" i="1" s="1"/>
  <c r="V147" i="1"/>
  <c r="R147" i="1" a="1"/>
  <c r="R147" i="1" s="1"/>
  <c r="U147" i="1" s="1"/>
  <c r="V146" i="1"/>
  <c r="R146" i="1" a="1"/>
  <c r="R146" i="1" s="1"/>
  <c r="T146" i="1" s="1"/>
  <c r="V145" i="1"/>
  <c r="R145" i="1" a="1"/>
  <c r="R145" i="1" s="1"/>
  <c r="V144" i="1"/>
  <c r="R144" i="1" a="1"/>
  <c r="R144" i="1" s="1"/>
  <c r="V143" i="1"/>
  <c r="R143" i="1" a="1"/>
  <c r="R143" i="1" s="1"/>
  <c r="X143" i="1" s="1"/>
  <c r="V142" i="1"/>
  <c r="R142" i="1" a="1"/>
  <c r="R142" i="1" s="1"/>
  <c r="T142" i="1" s="1"/>
  <c r="V141" i="1"/>
  <c r="R141" i="1" a="1"/>
  <c r="R141" i="1" s="1"/>
  <c r="V140" i="1"/>
  <c r="R140" i="1" a="1"/>
  <c r="R140" i="1" s="1"/>
  <c r="Y140" i="1" s="1"/>
  <c r="V139" i="1"/>
  <c r="R139" i="1" a="1"/>
  <c r="R139" i="1" s="1"/>
  <c r="V138" i="1"/>
  <c r="R138" i="1" a="1"/>
  <c r="R138" i="1" s="1"/>
  <c r="V137" i="1"/>
  <c r="R137" i="1" a="1"/>
  <c r="R137" i="1" s="1"/>
  <c r="V136" i="1"/>
  <c r="R136" i="1" a="1"/>
  <c r="R136" i="1" s="1"/>
  <c r="V135" i="1"/>
  <c r="R135" i="1" a="1"/>
  <c r="R135" i="1" s="1"/>
  <c r="X135" i="1" s="1"/>
  <c r="V134" i="1"/>
  <c r="R134" i="1" a="1"/>
  <c r="R134" i="1" s="1"/>
  <c r="T134" i="1" s="1"/>
  <c r="V133" i="1"/>
  <c r="R133" i="1" a="1"/>
  <c r="R133" i="1" s="1"/>
  <c r="V132" i="1"/>
  <c r="R132" i="1" a="1"/>
  <c r="R132" i="1" s="1"/>
  <c r="V131" i="1"/>
  <c r="R131" i="1" a="1"/>
  <c r="R131" i="1" s="1"/>
  <c r="U131" i="1" s="1"/>
  <c r="V130" i="1"/>
  <c r="R130" i="1" a="1"/>
  <c r="R130" i="1" s="1"/>
  <c r="T130" i="1" s="1"/>
  <c r="V129" i="1"/>
  <c r="R129" i="1" a="1"/>
  <c r="R129" i="1" s="1"/>
  <c r="V128" i="1"/>
  <c r="R128" i="1" a="1"/>
  <c r="R128" i="1" s="1"/>
  <c r="Y128" i="1" s="1"/>
  <c r="V127" i="1"/>
  <c r="R127" i="1" a="1"/>
  <c r="R127" i="1" s="1"/>
  <c r="X127" i="1" s="1"/>
  <c r="V126" i="1"/>
  <c r="R126" i="1" a="1"/>
  <c r="R126" i="1" s="1"/>
  <c r="V125" i="1"/>
  <c r="R125" i="1" a="1"/>
  <c r="R125" i="1" s="1"/>
  <c r="V124" i="1"/>
  <c r="R124" i="1" a="1"/>
  <c r="R124" i="1" s="1"/>
  <c r="V123" i="1"/>
  <c r="R123" i="1" a="1"/>
  <c r="R123" i="1" s="1"/>
  <c r="V122" i="1"/>
  <c r="R122" i="1" a="1"/>
  <c r="R122" i="1" s="1"/>
  <c r="V121" i="1"/>
  <c r="R121" i="1" a="1"/>
  <c r="R121" i="1" s="1"/>
  <c r="S121" i="1" s="1"/>
  <c r="V120" i="1"/>
  <c r="R120" i="1" a="1"/>
  <c r="R120" i="1" s="1"/>
  <c r="V119" i="1"/>
  <c r="R119" i="1" a="1"/>
  <c r="R119" i="1" s="1"/>
  <c r="X119" i="1" s="1"/>
  <c r="V118" i="1"/>
  <c r="R118" i="1" a="1"/>
  <c r="R118" i="1" s="1"/>
  <c r="T118" i="1" s="1"/>
  <c r="V117" i="1"/>
  <c r="R117" i="1" a="1"/>
  <c r="R117" i="1" s="1"/>
  <c r="S117" i="1" s="1"/>
  <c r="V116" i="1"/>
  <c r="R116" i="1" a="1"/>
  <c r="R116" i="1" s="1"/>
  <c r="V115" i="1"/>
  <c r="R115" i="1" a="1"/>
  <c r="R115" i="1" s="1"/>
  <c r="U115" i="1" s="1"/>
  <c r="V114" i="1"/>
  <c r="R114" i="1" a="1"/>
  <c r="R114" i="1" s="1"/>
  <c r="T114" i="1" s="1"/>
  <c r="V113" i="1"/>
  <c r="R113" i="1" a="1"/>
  <c r="R113" i="1" s="1"/>
  <c r="V112" i="1"/>
  <c r="R112" i="1" a="1"/>
  <c r="R112" i="1" s="1"/>
  <c r="Y112" i="1" s="1"/>
  <c r="V111" i="1"/>
  <c r="R111" i="1" a="1"/>
  <c r="R111" i="1" s="1"/>
  <c r="X111" i="1" s="1"/>
  <c r="V110" i="1"/>
  <c r="R110" i="1" a="1"/>
  <c r="R110" i="1" s="1"/>
  <c r="V109" i="1"/>
  <c r="R109" i="1" a="1"/>
  <c r="R109" i="1" s="1"/>
  <c r="V108" i="1"/>
  <c r="R108" i="1" a="1"/>
  <c r="R108" i="1" s="1"/>
  <c r="V107" i="1"/>
  <c r="R107" i="1" a="1"/>
  <c r="R107" i="1" s="1"/>
  <c r="V106" i="1"/>
  <c r="R106" i="1" a="1"/>
  <c r="R106" i="1" s="1"/>
  <c r="V105" i="1"/>
  <c r="R105" i="1" a="1"/>
  <c r="R105" i="1" s="1"/>
  <c r="S105" i="1" s="1"/>
  <c r="V104" i="1"/>
  <c r="R104" i="1" a="1"/>
  <c r="R104" i="1" s="1"/>
  <c r="V103" i="1"/>
  <c r="R103" i="1" a="1"/>
  <c r="R103" i="1" s="1"/>
  <c r="X103" i="1" s="1"/>
  <c r="V102" i="1"/>
  <c r="R102" i="1" a="1"/>
  <c r="R102" i="1" s="1"/>
  <c r="T102" i="1" s="1"/>
  <c r="V101" i="1"/>
  <c r="R101" i="1" a="1"/>
  <c r="R101" i="1" s="1"/>
  <c r="S101" i="1" s="1"/>
  <c r="V100" i="1"/>
  <c r="R100" i="1"/>
  <c r="R100" i="1" a="1"/>
  <c r="V99" i="1"/>
  <c r="R99" i="1" a="1"/>
  <c r="R99" i="1" s="1"/>
  <c r="X99" i="1" s="1"/>
  <c r="V98" i="1"/>
  <c r="R98" i="1" a="1"/>
  <c r="R98" i="1" s="1"/>
  <c r="T98" i="1" s="1"/>
  <c r="V97" i="1"/>
  <c r="R97" i="1" a="1"/>
  <c r="R97" i="1" s="1"/>
  <c r="V96" i="1"/>
  <c r="R96" i="1" a="1"/>
  <c r="R96" i="1" s="1"/>
  <c r="V95" i="1"/>
  <c r="R95" i="1" a="1"/>
  <c r="R95" i="1" s="1"/>
  <c r="X95" i="1" s="1"/>
  <c r="V94" i="1"/>
  <c r="R94" i="1" a="1"/>
  <c r="R94" i="1" s="1"/>
  <c r="V93" i="1"/>
  <c r="R93" i="1" a="1"/>
  <c r="R93" i="1" s="1"/>
  <c r="V92" i="1"/>
  <c r="R92" i="1" a="1"/>
  <c r="R92" i="1" s="1"/>
  <c r="V91" i="1"/>
  <c r="R91" i="1" a="1"/>
  <c r="R91" i="1" s="1"/>
  <c r="V90" i="1"/>
  <c r="R90" i="1" a="1"/>
  <c r="R90" i="1" s="1"/>
  <c r="V89" i="1"/>
  <c r="R89" i="1" a="1"/>
  <c r="R89" i="1" s="1"/>
  <c r="V88" i="1"/>
  <c r="R88" i="1" a="1"/>
  <c r="R88" i="1" s="1"/>
  <c r="V87" i="1"/>
  <c r="R87" i="1" a="1"/>
  <c r="R87" i="1" s="1"/>
  <c r="X87" i="1" s="1"/>
  <c r="V86" i="1"/>
  <c r="R86" i="1" a="1"/>
  <c r="R86" i="1" s="1"/>
  <c r="T86" i="1" s="1"/>
  <c r="V85" i="1"/>
  <c r="R85" i="1" a="1"/>
  <c r="R85" i="1" s="1"/>
  <c r="V84" i="1"/>
  <c r="R84" i="1" a="1"/>
  <c r="R84" i="1" s="1"/>
  <c r="V83" i="1"/>
  <c r="R83" i="1" a="1"/>
  <c r="R83" i="1" s="1"/>
  <c r="X83" i="1" s="1"/>
  <c r="V82" i="1"/>
  <c r="R82" i="1" a="1"/>
  <c r="R82" i="1" s="1"/>
  <c r="T82" i="1" s="1"/>
  <c r="V81" i="1"/>
  <c r="R81" i="1" a="1"/>
  <c r="R81" i="1" s="1"/>
  <c r="V80" i="1"/>
  <c r="R80" i="1" a="1"/>
  <c r="R80" i="1" s="1"/>
  <c r="Y80" i="1" s="1"/>
  <c r="V79" i="1"/>
  <c r="R79" i="1" a="1"/>
  <c r="R79" i="1" s="1"/>
  <c r="X79" i="1" s="1"/>
  <c r="V78" i="1"/>
  <c r="R78" i="1" a="1"/>
  <c r="R78" i="1" s="1"/>
  <c r="V77" i="1"/>
  <c r="R77" i="1" a="1"/>
  <c r="R77" i="1" s="1"/>
  <c r="V76" i="1"/>
  <c r="R76" i="1" a="1"/>
  <c r="R76" i="1" s="1"/>
  <c r="V75" i="1"/>
  <c r="R75" i="1" a="1"/>
  <c r="R75" i="1" s="1"/>
  <c r="V74" i="1"/>
  <c r="R74" i="1" a="1"/>
  <c r="R74" i="1" s="1"/>
  <c r="V73" i="1"/>
  <c r="S73" i="1"/>
  <c r="R73" i="1" a="1"/>
  <c r="R73" i="1" s="1"/>
  <c r="V72" i="1"/>
  <c r="R72" i="1" a="1"/>
  <c r="R72" i="1" s="1"/>
  <c r="V71" i="1"/>
  <c r="R71" i="1" a="1"/>
  <c r="R71" i="1" s="1"/>
  <c r="X71" i="1" s="1"/>
  <c r="V70" i="1"/>
  <c r="R70" i="1"/>
  <c r="Z70" i="1" s="1"/>
  <c r="R70" i="1" a="1"/>
  <c r="V69" i="1"/>
  <c r="R69" i="1" a="1"/>
  <c r="R69" i="1" s="1"/>
  <c r="V68" i="1"/>
  <c r="R68" i="1" a="1"/>
  <c r="R68" i="1" s="1"/>
  <c r="Y68" i="1" s="1"/>
  <c r="V67" i="1"/>
  <c r="R67" i="1" a="1"/>
  <c r="R67" i="1" s="1"/>
  <c r="V66" i="1"/>
  <c r="R66" i="1" a="1"/>
  <c r="R66" i="1" s="1"/>
  <c r="T66" i="1" s="1"/>
  <c r="V65" i="1"/>
  <c r="R65" i="1" a="1"/>
  <c r="R65" i="1" s="1"/>
  <c r="Z65" i="1" s="1"/>
  <c r="V64" i="1"/>
  <c r="R64" i="1" a="1"/>
  <c r="R64" i="1" s="1"/>
  <c r="V63" i="1"/>
  <c r="R63" i="1" a="1"/>
  <c r="R63" i="1" s="1"/>
  <c r="V62" i="1"/>
  <c r="R62" i="1" a="1"/>
  <c r="R62" i="1" s="1"/>
  <c r="V61" i="1"/>
  <c r="R61" i="1" a="1"/>
  <c r="R61" i="1" s="1"/>
  <c r="V60" i="1"/>
  <c r="R60" i="1" a="1"/>
  <c r="R60" i="1" s="1"/>
  <c r="V59" i="1"/>
  <c r="R59" i="1" a="1"/>
  <c r="R59" i="1" s="1"/>
  <c r="Y59" i="1" s="1"/>
  <c r="V58" i="1"/>
  <c r="R58" i="1" a="1"/>
  <c r="R58" i="1" s="1"/>
  <c r="X58" i="1" s="1"/>
  <c r="V57" i="1"/>
  <c r="R57" i="1" a="1"/>
  <c r="R57" i="1" s="1"/>
  <c r="Y57" i="1" s="1"/>
  <c r="V56" i="1"/>
  <c r="Z56" i="1" s="1"/>
  <c r="R56" i="1" a="1"/>
  <c r="R56" i="1" s="1"/>
  <c r="V55" i="1"/>
  <c r="R55" i="1" a="1"/>
  <c r="R55" i="1" s="1"/>
  <c r="T55" i="1" s="1"/>
  <c r="V54" i="1"/>
  <c r="R54" i="1" a="1"/>
  <c r="R54" i="1" s="1"/>
  <c r="V53" i="1"/>
  <c r="R53" i="1" a="1"/>
  <c r="R53" i="1" s="1"/>
  <c r="V52" i="1"/>
  <c r="R52" i="1" a="1"/>
  <c r="R52" i="1" s="1"/>
  <c r="S52" i="1" s="1"/>
  <c r="V51" i="1"/>
  <c r="R51" i="1" a="1"/>
  <c r="R51" i="1" s="1"/>
  <c r="V50" i="1"/>
  <c r="R50" i="1" a="1"/>
  <c r="R50" i="1" s="1"/>
  <c r="V49" i="1"/>
  <c r="R49" i="1" a="1"/>
  <c r="R49" i="1" s="1"/>
  <c r="V48" i="1"/>
  <c r="R48" i="1" a="1"/>
  <c r="R48" i="1" s="1"/>
  <c r="Z48" i="1" s="1"/>
  <c r="V47" i="1"/>
  <c r="R47" i="1" a="1"/>
  <c r="R47" i="1" s="1"/>
  <c r="V46" i="1"/>
  <c r="R46" i="1" a="1"/>
  <c r="R46" i="1" s="1"/>
  <c r="V45" i="1"/>
  <c r="R45" i="1" a="1"/>
  <c r="R45" i="1" s="1"/>
  <c r="V44" i="1"/>
  <c r="R44" i="1"/>
  <c r="R44" i="1" a="1"/>
  <c r="V43" i="1"/>
  <c r="R43" i="1" a="1"/>
  <c r="R43" i="1" s="1"/>
  <c r="Y43" i="1" s="1"/>
  <c r="V42" i="1"/>
  <c r="R42" i="1" a="1"/>
  <c r="R42" i="1" s="1"/>
  <c r="V41" i="1"/>
  <c r="U41" i="1"/>
  <c r="R41" i="1" a="1"/>
  <c r="R41" i="1" s="1"/>
  <c r="X41" i="1" s="1"/>
  <c r="V40" i="1"/>
  <c r="R40" i="1" a="1"/>
  <c r="R40" i="1" s="1"/>
  <c r="V39" i="1"/>
  <c r="R39" i="1" a="1"/>
  <c r="R39" i="1" s="1"/>
  <c r="T39" i="1" s="1"/>
  <c r="V38" i="1"/>
  <c r="R38" i="1" a="1"/>
  <c r="R38" i="1" s="1"/>
  <c r="V37" i="1"/>
  <c r="R37" i="1" a="1"/>
  <c r="R37" i="1" s="1"/>
  <c r="T37" i="1" s="1"/>
  <c r="V36" i="1"/>
  <c r="R36" i="1" a="1"/>
  <c r="R36" i="1" s="1"/>
  <c r="V35" i="1"/>
  <c r="R35" i="1" a="1"/>
  <c r="R35" i="1" s="1"/>
  <c r="V34" i="1"/>
  <c r="R34" i="1" a="1"/>
  <c r="R34" i="1" s="1"/>
  <c r="V33" i="1"/>
  <c r="R33" i="1" a="1"/>
  <c r="R33" i="1" s="1"/>
  <c r="V32" i="1"/>
  <c r="R32" i="1" a="1"/>
  <c r="R32" i="1" s="1"/>
  <c r="V31" i="1"/>
  <c r="R31" i="1" a="1"/>
  <c r="R31" i="1" s="1"/>
  <c r="V30" i="1"/>
  <c r="R30" i="1" a="1"/>
  <c r="R30" i="1" s="1"/>
  <c r="V29" i="1"/>
  <c r="R29" i="1" a="1"/>
  <c r="R29" i="1" s="1"/>
  <c r="V28" i="1"/>
  <c r="R28" i="1" a="1"/>
  <c r="R28" i="1" s="1"/>
  <c r="V27" i="1"/>
  <c r="R27" i="1" a="1"/>
  <c r="R27" i="1" s="1"/>
  <c r="V26" i="1"/>
  <c r="R26" i="1" a="1"/>
  <c r="R26" i="1" s="1"/>
  <c r="X26" i="1" s="1"/>
  <c r="V25" i="1"/>
  <c r="R25" i="1" a="1"/>
  <c r="R25" i="1" s="1"/>
  <c r="Y25" i="1" s="1"/>
  <c r="V24" i="1"/>
  <c r="R24" i="1" a="1"/>
  <c r="R24" i="1" s="1"/>
  <c r="Z24" i="1" s="1"/>
  <c r="V23" i="1"/>
  <c r="R23" i="1" a="1"/>
  <c r="R23" i="1" s="1"/>
  <c r="T23" i="1" s="1"/>
  <c r="V22" i="1"/>
  <c r="R22" i="1"/>
  <c r="R22" i="1" a="1"/>
  <c r="V21" i="1"/>
  <c r="R21" i="1" a="1"/>
  <c r="R21" i="1" s="1"/>
  <c r="V20" i="1"/>
  <c r="R20" i="1" a="1"/>
  <c r="R20" i="1" s="1"/>
  <c r="V19" i="1"/>
  <c r="R19" i="1" a="1"/>
  <c r="R19" i="1" s="1"/>
  <c r="V18" i="1"/>
  <c r="R18" i="1" a="1"/>
  <c r="R18" i="1" s="1"/>
  <c r="V17" i="1"/>
  <c r="R17" i="1" a="1"/>
  <c r="R17" i="1" s="1"/>
  <c r="V16" i="1"/>
  <c r="R16" i="1" a="1"/>
  <c r="R16" i="1" s="1"/>
  <c r="V15" i="1"/>
  <c r="R15" i="1" a="1"/>
  <c r="R15" i="1" s="1"/>
  <c r="V14" i="1"/>
  <c r="R14" i="1" a="1"/>
  <c r="R14" i="1" s="1"/>
  <c r="V13" i="1"/>
  <c r="R13" i="1" a="1"/>
  <c r="R13" i="1" s="1"/>
  <c r="V12" i="1"/>
  <c r="R12" i="1" a="1"/>
  <c r="R12" i="1" s="1"/>
  <c r="V11" i="1"/>
  <c r="R11" i="1" a="1"/>
  <c r="R11" i="1" s="1"/>
  <c r="V10" i="1"/>
  <c r="R10" i="1" a="1"/>
  <c r="R10" i="1" s="1"/>
  <c r="X10" i="1" s="1"/>
  <c r="V9" i="1"/>
  <c r="R9" i="1" a="1"/>
  <c r="R9" i="1" s="1"/>
  <c r="X9" i="1" s="1"/>
  <c r="V8" i="1"/>
  <c r="R8" i="1" a="1"/>
  <c r="R8" i="1" s="1"/>
  <c r="Z8" i="1" s="1"/>
  <c r="V7" i="1"/>
  <c r="R7" i="1" a="1"/>
  <c r="R7" i="1" s="1"/>
  <c r="T7" i="1" s="1"/>
  <c r="V6" i="1"/>
  <c r="R6" i="1" a="1"/>
  <c r="R6" i="1" s="1"/>
  <c r="V5" i="1"/>
  <c r="R5" i="1" a="1"/>
  <c r="R5" i="1" s="1"/>
  <c r="W5" i="1" s="1" a="1"/>
  <c r="W5" i="1" s="1"/>
  <c r="V4" i="1"/>
  <c r="R4" i="1" a="1"/>
  <c r="R4" i="1" s="1"/>
  <c r="V3" i="1"/>
  <c r="R3" i="1" a="1"/>
  <c r="R3" i="1" s="1"/>
  <c r="V2" i="1"/>
  <c r="R2" i="1" a="1"/>
  <c r="R2" i="1" s="1"/>
  <c r="L15" i="10" l="1"/>
  <c r="T342" i="1"/>
  <c r="Y399" i="1"/>
  <c r="W406" i="1" a="1"/>
  <c r="W406" i="1" s="1"/>
  <c r="W585" i="1" a="1"/>
  <c r="W585" i="1" s="1"/>
  <c r="X597" i="1"/>
  <c r="S710" i="1"/>
  <c r="Y786" i="1"/>
  <c r="Y841" i="1"/>
  <c r="U906" i="1"/>
  <c r="W921" i="1" a="1"/>
  <c r="W921" i="1" s="1"/>
  <c r="T186" i="1"/>
  <c r="T266" i="1"/>
  <c r="S5" i="1"/>
  <c r="U25" i="1"/>
  <c r="U202" i="1"/>
  <c r="U266" i="1"/>
  <c r="Y324" i="1"/>
  <c r="Y326" i="1"/>
  <c r="W390" i="1" a="1"/>
  <c r="W390" i="1" s="1"/>
  <c r="Y481" i="1"/>
  <c r="Y487" i="1"/>
  <c r="W493" i="1" a="1"/>
  <c r="W493" i="1" s="1"/>
  <c r="S585" i="1"/>
  <c r="Y704" i="1"/>
  <c r="Z718" i="1"/>
  <c r="Y916" i="1"/>
  <c r="S971" i="1"/>
  <c r="W977" i="1" a="1"/>
  <c r="W977" i="1" s="1"/>
  <c r="Y29" i="1"/>
  <c r="Y33" i="1"/>
  <c r="W81" i="1" a="1"/>
  <c r="W81" i="1" s="1"/>
  <c r="W85" i="1" a="1"/>
  <c r="W85" i="1" s="1"/>
  <c r="W241" i="1" a="1"/>
  <c r="W241" i="1" s="1"/>
  <c r="Y294" i="1"/>
  <c r="W385" i="1" a="1"/>
  <c r="W385" i="1" s="1"/>
  <c r="Y805" i="1"/>
  <c r="W807" i="1" a="1"/>
  <c r="W807" i="1" s="1"/>
  <c r="Z874" i="1"/>
  <c r="Y937" i="1"/>
  <c r="W958" i="1" a="1"/>
  <c r="W958" i="1" s="1"/>
  <c r="Y968" i="1"/>
  <c r="Z173" i="1"/>
  <c r="S173" i="1"/>
  <c r="X42" i="1"/>
  <c r="U42" i="1"/>
  <c r="Z249" i="1"/>
  <c r="S249" i="1"/>
  <c r="Y4" i="1"/>
  <c r="T4" i="1"/>
  <c r="S4" i="1"/>
  <c r="X362" i="1"/>
  <c r="Y13" i="1"/>
  <c r="Y17" i="1"/>
  <c r="Y21" i="1"/>
  <c r="S85" i="1"/>
  <c r="U99" i="1"/>
  <c r="X131" i="1"/>
  <c r="U135" i="1"/>
  <c r="S177" i="1"/>
  <c r="U186" i="1"/>
  <c r="Z265" i="1"/>
  <c r="S277" i="1"/>
  <c r="Y339" i="1"/>
  <c r="S362" i="1"/>
  <c r="Y435" i="1"/>
  <c r="U483" i="1"/>
  <c r="Y496" i="1"/>
  <c r="U692" i="1"/>
  <c r="W697" i="1" a="1"/>
  <c r="W697" i="1" s="1"/>
  <c r="T734" i="1"/>
  <c r="Y887" i="1"/>
  <c r="T901" i="1"/>
  <c r="S939" i="1"/>
  <c r="Y998" i="1"/>
  <c r="W117" i="1" a="1"/>
  <c r="W117" i="1" s="1"/>
  <c r="Y132" i="1"/>
  <c r="X202" i="1"/>
  <c r="W204" i="1" a="1"/>
  <c r="W204" i="1" s="1"/>
  <c r="Y238" i="1"/>
  <c r="T250" i="1"/>
  <c r="X266" i="1"/>
  <c r="S310" i="1"/>
  <c r="Y355" i="1"/>
  <c r="Y383" i="1"/>
  <c r="X459" i="1"/>
  <c r="W520" i="1" a="1"/>
  <c r="W520" i="1" s="1"/>
  <c r="W552" i="1" a="1"/>
  <c r="W552" i="1" s="1"/>
  <c r="Y577" i="1"/>
  <c r="W579" i="1" a="1"/>
  <c r="W579" i="1" s="1"/>
  <c r="Y602" i="1"/>
  <c r="U660" i="1"/>
  <c r="T694" i="1"/>
  <c r="T800" i="1"/>
  <c r="X836" i="1"/>
  <c r="W844" i="1" a="1"/>
  <c r="W844" i="1" s="1"/>
  <c r="U864" i="1"/>
  <c r="W874" i="1" a="1"/>
  <c r="W874" i="1" s="1"/>
  <c r="T893" i="1"/>
  <c r="X898" i="1"/>
  <c r="Y943" i="1"/>
  <c r="W985" i="1" a="1"/>
  <c r="W985" i="1" s="1"/>
  <c r="U9" i="1"/>
  <c r="S43" i="1"/>
  <c r="U250" i="1"/>
  <c r="Y275" i="1"/>
  <c r="W321" i="1" a="1"/>
  <c r="W321" i="1" s="1"/>
  <c r="W332" i="1" a="1"/>
  <c r="W332" i="1" s="1"/>
  <c r="Y346" i="1"/>
  <c r="W364" i="1" a="1"/>
  <c r="W364" i="1" s="1"/>
  <c r="Y372" i="1"/>
  <c r="T415" i="1"/>
  <c r="Z426" i="1"/>
  <c r="Y428" i="1"/>
  <c r="Y432" i="1"/>
  <c r="W494" i="1" a="1"/>
  <c r="W494" i="1" s="1"/>
  <c r="Y507" i="1"/>
  <c r="W509" i="1" a="1"/>
  <c r="W509" i="1" s="1"/>
  <c r="Y534" i="1"/>
  <c r="Y592" i="1"/>
  <c r="Y620" i="1"/>
  <c r="Z630" i="1"/>
  <c r="Z653" i="1"/>
  <c r="Y693" i="1"/>
  <c r="Y717" i="1"/>
  <c r="Y728" i="1"/>
  <c r="Y797" i="1"/>
  <c r="W799" i="1" a="1"/>
  <c r="W799" i="1" s="1"/>
  <c r="W818" i="1" a="1"/>
  <c r="W818" i="1" s="1"/>
  <c r="W839" i="1" a="1"/>
  <c r="W839" i="1" s="1"/>
  <c r="W855" i="1" a="1"/>
  <c r="W855" i="1" s="1"/>
  <c r="W875" i="1" a="1"/>
  <c r="W875" i="1" s="1"/>
  <c r="Y924" i="1"/>
  <c r="Y951" i="1"/>
  <c r="Y185" i="1"/>
  <c r="Z185" i="1"/>
  <c r="S185" i="1"/>
  <c r="Z466" i="1"/>
  <c r="T466" i="1"/>
  <c r="Z529" i="1"/>
  <c r="T529" i="1"/>
  <c r="T567" i="1"/>
  <c r="U567" i="1"/>
  <c r="U10" i="1"/>
  <c r="S21" i="1"/>
  <c r="X21" i="1"/>
  <c r="U26" i="1"/>
  <c r="U57" i="1"/>
  <c r="S59" i="1"/>
  <c r="U71" i="1"/>
  <c r="W73" i="1" a="1"/>
  <c r="W73" i="1" s="1"/>
  <c r="Y84" i="1"/>
  <c r="W89" i="1" a="1"/>
  <c r="W89" i="1" s="1"/>
  <c r="Y96" i="1"/>
  <c r="X115" i="1"/>
  <c r="Y234" i="1"/>
  <c r="T234" i="1"/>
  <c r="Z313" i="1"/>
  <c r="T313" i="1"/>
  <c r="Y367" i="1"/>
  <c r="U367" i="1"/>
  <c r="X491" i="1"/>
  <c r="U491" i="1"/>
  <c r="Y535" i="1"/>
  <c r="U535" i="1"/>
  <c r="W21" i="1" a="1"/>
  <c r="W21" i="1" s="1"/>
  <c r="Y5" i="1"/>
  <c r="U21" i="1"/>
  <c r="X25" i="1"/>
  <c r="Y41" i="1"/>
  <c r="Y45" i="1"/>
  <c r="W113" i="1" a="1"/>
  <c r="W113" i="1" s="1"/>
  <c r="W129" i="1" a="1"/>
  <c r="W129" i="1" s="1"/>
  <c r="X147" i="1"/>
  <c r="U163" i="1"/>
  <c r="X163" i="1"/>
  <c r="X287" i="1"/>
  <c r="T287" i="1"/>
  <c r="U287" i="1"/>
  <c r="W305" i="1" a="1"/>
  <c r="W305" i="1" s="1"/>
  <c r="X319" i="1"/>
  <c r="U319" i="1"/>
  <c r="Y319" i="1"/>
  <c r="Z357" i="1"/>
  <c r="T357" i="1"/>
  <c r="Z497" i="1"/>
  <c r="T497" i="1"/>
  <c r="Y501" i="1"/>
  <c r="T501" i="1"/>
  <c r="Z505" i="1"/>
  <c r="W505" i="1" a="1"/>
  <c r="W505" i="1" s="1"/>
  <c r="T524" i="1"/>
  <c r="U524" i="1"/>
  <c r="Y560" i="1"/>
  <c r="T560" i="1"/>
  <c r="X57" i="1"/>
  <c r="Y61" i="1"/>
  <c r="W69" i="1" a="1"/>
  <c r="W69" i="1" s="1"/>
  <c r="W97" i="1" a="1"/>
  <c r="W97" i="1" s="1"/>
  <c r="Y100" i="1"/>
  <c r="W137" i="1" a="1"/>
  <c r="W137" i="1" s="1"/>
  <c r="Y282" i="1"/>
  <c r="S282" i="1"/>
  <c r="T282" i="1"/>
  <c r="Z309" i="1"/>
  <c r="T309" i="1"/>
  <c r="X335" i="1"/>
  <c r="T335" i="1"/>
  <c r="U335" i="1"/>
  <c r="W133" i="1" a="1"/>
  <c r="W133" i="1" s="1"/>
  <c r="Y148" i="1"/>
  <c r="Y152" i="1"/>
  <c r="Z177" i="1"/>
  <c r="X186" i="1"/>
  <c r="Y195" i="1"/>
  <c r="Y214" i="1"/>
  <c r="W252" i="1" a="1"/>
  <c r="W252" i="1" s="1"/>
  <c r="S262" i="1"/>
  <c r="S266" i="1"/>
  <c r="W266" i="1" a="1"/>
  <c r="W266" i="1" s="1"/>
  <c r="U275" i="1"/>
  <c r="X286" i="1"/>
  <c r="S294" i="1"/>
  <c r="Y298" i="1"/>
  <c r="W298" i="1" a="1"/>
  <c r="W298" i="1" s="1"/>
  <c r="S326" i="1"/>
  <c r="Y330" i="1"/>
  <c r="W330" i="1" a="1"/>
  <c r="W330" i="1" s="1"/>
  <c r="Z333" i="1"/>
  <c r="Z338" i="1"/>
  <c r="U346" i="1"/>
  <c r="S419" i="1"/>
  <c r="U428" i="1"/>
  <c r="U435" i="1"/>
  <c r="S445" i="1"/>
  <c r="Y454" i="1"/>
  <c r="S483" i="1"/>
  <c r="W483" i="1" a="1"/>
  <c r="W483" i="1" s="1"/>
  <c r="U518" i="1"/>
  <c r="S530" i="1"/>
  <c r="S539" i="1"/>
  <c r="U545" i="1"/>
  <c r="U554" i="1"/>
  <c r="S557" i="1"/>
  <c r="W607" i="1" a="1"/>
  <c r="W607" i="1" s="1"/>
  <c r="T654" i="1"/>
  <c r="S654" i="1"/>
  <c r="Z765" i="1"/>
  <c r="T765" i="1"/>
  <c r="S765" i="1"/>
  <c r="S773" i="1"/>
  <c r="T773" i="1"/>
  <c r="S803" i="1"/>
  <c r="Z803" i="1"/>
  <c r="T803" i="1"/>
  <c r="Y942" i="1"/>
  <c r="T942" i="1"/>
  <c r="Y161" i="1"/>
  <c r="Y173" i="1"/>
  <c r="Z189" i="1"/>
  <c r="X190" i="1"/>
  <c r="X206" i="1"/>
  <c r="W225" i="1" a="1"/>
  <c r="W225" i="1" s="1"/>
  <c r="Y244" i="1"/>
  <c r="Y249" i="1"/>
  <c r="X250" i="1"/>
  <c r="Z258" i="1"/>
  <c r="W268" i="1" a="1"/>
  <c r="W268" i="1" s="1"/>
  <c r="S298" i="1"/>
  <c r="Y302" i="1"/>
  <c r="Y314" i="1"/>
  <c r="S330" i="1"/>
  <c r="S342" i="1"/>
  <c r="W348" i="1" a="1"/>
  <c r="W348" i="1" s="1"/>
  <c r="Y350" i="1"/>
  <c r="S358" i="1"/>
  <c r="Y362" i="1"/>
  <c r="W362" i="1" a="1"/>
  <c r="W362" i="1" s="1"/>
  <c r="X366" i="1"/>
  <c r="Y371" i="1"/>
  <c r="Z393" i="1"/>
  <c r="Z410" i="1"/>
  <c r="W447" i="1" a="1"/>
  <c r="W447" i="1" s="1"/>
  <c r="X451" i="1"/>
  <c r="Y455" i="1"/>
  <c r="T460" i="1"/>
  <c r="T483" i="1"/>
  <c r="X483" i="1"/>
  <c r="W510" i="1" a="1"/>
  <c r="W510" i="1" s="1"/>
  <c r="T530" i="1"/>
  <c r="Y539" i="1"/>
  <c r="W551" i="1" a="1"/>
  <c r="W551" i="1" s="1"/>
  <c r="W564" i="1" a="1"/>
  <c r="W564" i="1" s="1"/>
  <c r="T588" i="1"/>
  <c r="T592" i="1"/>
  <c r="Z612" i="1"/>
  <c r="W612" i="1" a="1"/>
  <c r="W612" i="1" s="1"/>
  <c r="X614" i="1"/>
  <c r="Z614" i="1"/>
  <c r="S614" i="1"/>
  <c r="W740" i="1" a="1"/>
  <c r="W740" i="1" s="1"/>
  <c r="X792" i="1"/>
  <c r="U792" i="1"/>
  <c r="T792" i="1"/>
  <c r="W435" i="1" a="1"/>
  <c r="W435" i="1" s="1"/>
  <c r="W518" i="1" a="1"/>
  <c r="W518" i="1" s="1"/>
  <c r="W545" i="1" a="1"/>
  <c r="W545" i="1" s="1"/>
  <c r="Z622" i="1"/>
  <c r="T622" i="1"/>
  <c r="S622" i="1"/>
  <c r="Y748" i="1"/>
  <c r="W748" i="1" a="1"/>
  <c r="W748" i="1" s="1"/>
  <c r="Y783" i="1"/>
  <c r="T783" i="1"/>
  <c r="S783" i="1"/>
  <c r="Z802" i="1"/>
  <c r="S802" i="1"/>
  <c r="T277" i="1"/>
  <c r="U366" i="1"/>
  <c r="T377" i="1"/>
  <c r="Y419" i="1"/>
  <c r="W419" i="1" a="1"/>
  <c r="W419" i="1" s="1"/>
  <c r="T428" i="1"/>
  <c r="Y433" i="1"/>
  <c r="S435" i="1"/>
  <c r="X435" i="1"/>
  <c r="Y445" i="1"/>
  <c r="T451" i="1"/>
  <c r="S477" i="1"/>
  <c r="U507" i="1"/>
  <c r="S518" i="1"/>
  <c r="X518" i="1"/>
  <c r="W537" i="1" a="1"/>
  <c r="W537" i="1" s="1"/>
  <c r="S545" i="1"/>
  <c r="X545" i="1"/>
  <c r="Y593" i="1"/>
  <c r="Y609" i="1"/>
  <c r="T609" i="1"/>
  <c r="Z638" i="1"/>
  <c r="T638" i="1"/>
  <c r="S638" i="1"/>
  <c r="S646" i="1"/>
  <c r="T646" i="1"/>
  <c r="Y688" i="1"/>
  <c r="X688" i="1"/>
  <c r="U789" i="1"/>
  <c r="S795" i="1"/>
  <c r="T795" i="1"/>
  <c r="W934" i="1" a="1"/>
  <c r="W934" i="1" s="1"/>
  <c r="Z989" i="1"/>
  <c r="W729" i="1" a="1"/>
  <c r="W729" i="1" s="1"/>
  <c r="Y828" i="1"/>
  <c r="W828" i="1" a="1"/>
  <c r="W828" i="1" s="1"/>
  <c r="W840" i="1" a="1"/>
  <c r="W840" i="1" s="1"/>
  <c r="S859" i="1"/>
  <c r="T860" i="1"/>
  <c r="T876" i="1"/>
  <c r="S885" i="1"/>
  <c r="U911" i="1"/>
  <c r="T943" i="1"/>
  <c r="W947" i="1" a="1"/>
  <c r="W947" i="1" s="1"/>
  <c r="T965" i="1"/>
  <c r="Z981" i="1"/>
  <c r="S989" i="1"/>
  <c r="S670" i="1"/>
  <c r="T757" i="1"/>
  <c r="Z795" i="1"/>
  <c r="Y816" i="1"/>
  <c r="S828" i="1"/>
  <c r="X828" i="1"/>
  <c r="Y844" i="1"/>
  <c r="T859" i="1"/>
  <c r="S864" i="1"/>
  <c r="W864" i="1" a="1"/>
  <c r="W864" i="1" s="1"/>
  <c r="S874" i="1"/>
  <c r="X882" i="1"/>
  <c r="T885" i="1"/>
  <c r="X914" i="1"/>
  <c r="S917" i="1"/>
  <c r="T922" i="1"/>
  <c r="W935" i="1" a="1"/>
  <c r="W935" i="1" s="1"/>
  <c r="U943" i="1"/>
  <c r="U951" i="1"/>
  <c r="Z971" i="1"/>
  <c r="U973" i="1"/>
  <c r="S981" i="1"/>
  <c r="U989" i="1"/>
  <c r="W999" i="1" a="1"/>
  <c r="W999" i="1" s="1"/>
  <c r="Y573" i="1"/>
  <c r="T670" i="1"/>
  <c r="Y672" i="1"/>
  <c r="W673" i="1" a="1"/>
  <c r="W673" i="1" s="1"/>
  <c r="S694" i="1"/>
  <c r="T702" i="1"/>
  <c r="T726" i="1"/>
  <c r="S741" i="1"/>
  <c r="T749" i="1"/>
  <c r="W777" i="1" a="1"/>
  <c r="W777" i="1" s="1"/>
  <c r="Y780" i="1"/>
  <c r="W791" i="1" a="1"/>
  <c r="W791" i="1" s="1"/>
  <c r="Y810" i="1"/>
  <c r="S812" i="1"/>
  <c r="T816" i="1"/>
  <c r="U821" i="1"/>
  <c r="T828" i="1"/>
  <c r="Y838" i="1"/>
  <c r="Y842" i="1"/>
  <c r="S844" i="1"/>
  <c r="W850" i="1" a="1"/>
  <c r="W850" i="1" s="1"/>
  <c r="Z858" i="1"/>
  <c r="T864" i="1"/>
  <c r="X864" i="1"/>
  <c r="X876" i="1"/>
  <c r="W881" i="1" a="1"/>
  <c r="W881" i="1" s="1"/>
  <c r="S893" i="1"/>
  <c r="S901" i="1"/>
  <c r="T917" i="1"/>
  <c r="Y919" i="1"/>
  <c r="U922" i="1"/>
  <c r="Y939" i="1"/>
  <c r="Z942" i="1"/>
  <c r="Z965" i="1"/>
  <c r="W975" i="1" a="1"/>
  <c r="W975" i="1" s="1"/>
  <c r="U981" i="1"/>
  <c r="Z20" i="1"/>
  <c r="S20" i="1"/>
  <c r="Y20" i="1"/>
  <c r="T20" i="1"/>
  <c r="Z36" i="1"/>
  <c r="S36" i="1"/>
  <c r="Y36" i="1"/>
  <c r="T36" i="1"/>
  <c r="Z16" i="1"/>
  <c r="S16" i="1"/>
  <c r="Z32" i="1"/>
  <c r="S32" i="1"/>
  <c r="T11" i="1"/>
  <c r="Y11" i="1"/>
  <c r="S11" i="1"/>
  <c r="X11" i="1"/>
  <c r="U11" i="1"/>
  <c r="T27" i="1"/>
  <c r="Y27" i="1"/>
  <c r="S27" i="1"/>
  <c r="X27" i="1"/>
  <c r="U27" i="1"/>
  <c r="T10" i="1"/>
  <c r="Y10" i="1"/>
  <c r="W17" i="1" a="1"/>
  <c r="W17" i="1" s="1"/>
  <c r="T26" i="1"/>
  <c r="Y26" i="1"/>
  <c r="W33" i="1" a="1"/>
  <c r="W33" i="1" s="1"/>
  <c r="Y37" i="1"/>
  <c r="X37" i="1"/>
  <c r="U37" i="1"/>
  <c r="W37" i="1" a="1"/>
  <c r="W37" i="1" s="1"/>
  <c r="S37" i="1"/>
  <c r="Y42" i="1"/>
  <c r="T42" i="1"/>
  <c r="T43" i="1"/>
  <c r="U43" i="1"/>
  <c r="X43" i="1"/>
  <c r="Y49" i="1"/>
  <c r="W49" i="1" a="1"/>
  <c r="W49" i="1" s="1"/>
  <c r="S49" i="1"/>
  <c r="Z52" i="1"/>
  <c r="T59" i="1"/>
  <c r="X59" i="1"/>
  <c r="U59" i="1"/>
  <c r="Y145" i="1"/>
  <c r="T145" i="1"/>
  <c r="Z145" i="1"/>
  <c r="S145" i="1"/>
  <c r="W145" i="1" a="1"/>
  <c r="W145" i="1" s="1"/>
  <c r="Y153" i="1"/>
  <c r="Z153" i="1"/>
  <c r="S153" i="1"/>
  <c r="W153" i="1" a="1"/>
  <c r="W153" i="1" s="1"/>
  <c r="T153" i="1"/>
  <c r="U191" i="1"/>
  <c r="Y191" i="1"/>
  <c r="T191" i="1"/>
  <c r="X191" i="1"/>
  <c r="Z201" i="1"/>
  <c r="S201" i="1"/>
  <c r="Y201" i="1"/>
  <c r="T201" i="1"/>
  <c r="U207" i="1"/>
  <c r="Y207" i="1"/>
  <c r="T207" i="1"/>
  <c r="X207" i="1"/>
  <c r="Z213" i="1"/>
  <c r="T213" i="1"/>
  <c r="S213" i="1"/>
  <c r="Y213" i="1"/>
  <c r="Y53" i="1"/>
  <c r="W53" i="1" a="1"/>
  <c r="W53" i="1" s="1"/>
  <c r="S53" i="1"/>
  <c r="X53" i="1"/>
  <c r="U53" i="1"/>
  <c r="U58" i="1"/>
  <c r="Y58" i="1"/>
  <c r="T58" i="1"/>
  <c r="Z64" i="1"/>
  <c r="S64" i="1"/>
  <c r="Y165" i="1"/>
  <c r="T165" i="1"/>
  <c r="Z165" i="1"/>
  <c r="S165" i="1"/>
  <c r="W165" i="1" a="1"/>
  <c r="W165" i="1" s="1"/>
  <c r="Y169" i="1"/>
  <c r="T169" i="1"/>
  <c r="Z169" i="1"/>
  <c r="S169" i="1"/>
  <c r="W169" i="1" a="1"/>
  <c r="W169" i="1" s="1"/>
  <c r="Y181" i="1"/>
  <c r="T181" i="1"/>
  <c r="Z181" i="1"/>
  <c r="S181" i="1"/>
  <c r="W181" i="1" a="1"/>
  <c r="W181" i="1" s="1"/>
  <c r="T217" i="1"/>
  <c r="Z217" i="1"/>
  <c r="S217" i="1"/>
  <c r="Y217" i="1"/>
  <c r="T224" i="1"/>
  <c r="X224" i="1"/>
  <c r="U224" i="1"/>
  <c r="Y224" i="1"/>
  <c r="S224" i="1"/>
  <c r="Z4" i="1"/>
  <c r="T5" i="1"/>
  <c r="Y9" i="1"/>
  <c r="S17" i="1"/>
  <c r="T21" i="1"/>
  <c r="S33" i="1"/>
  <c r="Z40" i="1"/>
  <c r="S48" i="1"/>
  <c r="T52" i="1"/>
  <c r="Y52" i="1"/>
  <c r="T53" i="1"/>
  <c r="T192" i="1"/>
  <c r="U192" i="1"/>
  <c r="Y192" i="1"/>
  <c r="S192" i="1"/>
  <c r="X192" i="1"/>
  <c r="T208" i="1"/>
  <c r="X208" i="1"/>
  <c r="U208" i="1"/>
  <c r="Y208" i="1"/>
  <c r="S208" i="1"/>
  <c r="U5" i="1"/>
  <c r="X5" i="1"/>
  <c r="Y141" i="1"/>
  <c r="T141" i="1"/>
  <c r="Z141" i="1"/>
  <c r="S141" i="1"/>
  <c r="W141" i="1" a="1"/>
  <c r="W141" i="1" s="1"/>
  <c r="Y149" i="1"/>
  <c r="Z149" i="1"/>
  <c r="S149" i="1"/>
  <c r="W149" i="1" a="1"/>
  <c r="W149" i="1" s="1"/>
  <c r="T149" i="1"/>
  <c r="U239" i="1"/>
  <c r="Y239" i="1"/>
  <c r="T239" i="1"/>
  <c r="X239" i="1"/>
  <c r="W157" i="1" a="1"/>
  <c r="W157" i="1" s="1"/>
  <c r="W161" i="1" a="1"/>
  <c r="W161" i="1" s="1"/>
  <c r="S197" i="1"/>
  <c r="Y198" i="1"/>
  <c r="W198" i="1" a="1"/>
  <c r="W198" i="1" s="1"/>
  <c r="U206" i="1"/>
  <c r="T214" i="1"/>
  <c r="T218" i="1"/>
  <c r="U222" i="1"/>
  <c r="X223" i="1"/>
  <c r="Y229" i="1"/>
  <c r="Y233" i="1"/>
  <c r="X240" i="1"/>
  <c r="Y245" i="1"/>
  <c r="Y254" i="1"/>
  <c r="U254" i="1"/>
  <c r="T255" i="1"/>
  <c r="T297" i="1"/>
  <c r="Z297" i="1"/>
  <c r="S297" i="1"/>
  <c r="Y297" i="1"/>
  <c r="T304" i="1"/>
  <c r="U304" i="1"/>
  <c r="Y304" i="1"/>
  <c r="S304" i="1"/>
  <c r="X304" i="1"/>
  <c r="T320" i="1"/>
  <c r="U320" i="1"/>
  <c r="Y320" i="1"/>
  <c r="S320" i="1"/>
  <c r="X320" i="1"/>
  <c r="T329" i="1"/>
  <c r="Z329" i="1"/>
  <c r="S329" i="1"/>
  <c r="Y329" i="1"/>
  <c r="Z341" i="1"/>
  <c r="T341" i="1"/>
  <c r="S341" i="1"/>
  <c r="Y341" i="1"/>
  <c r="T368" i="1"/>
  <c r="U368" i="1"/>
  <c r="Y368" i="1"/>
  <c r="S368" i="1"/>
  <c r="X368" i="1"/>
  <c r="X65" i="1"/>
  <c r="T70" i="1"/>
  <c r="U83" i="1"/>
  <c r="S89" i="1"/>
  <c r="W101" i="1" a="1"/>
  <c r="W101" i="1" s="1"/>
  <c r="U119" i="1"/>
  <c r="S133" i="1"/>
  <c r="S157" i="1"/>
  <c r="Z157" i="1"/>
  <c r="S161" i="1"/>
  <c r="Z161" i="1"/>
  <c r="T173" i="1"/>
  <c r="U175" i="1"/>
  <c r="T177" i="1"/>
  <c r="U179" i="1"/>
  <c r="T185" i="1"/>
  <c r="U190" i="1"/>
  <c r="T197" i="1"/>
  <c r="S202" i="1"/>
  <c r="W202" i="1" a="1"/>
  <c r="W202" i="1" s="1"/>
  <c r="U218" i="1"/>
  <c r="X218" i="1"/>
  <c r="T223" i="1"/>
  <c r="Y223" i="1"/>
  <c r="S229" i="1"/>
  <c r="Y230" i="1"/>
  <c r="W230" i="1" a="1"/>
  <c r="W230" i="1" s="1"/>
  <c r="S233" i="1"/>
  <c r="Z233" i="1"/>
  <c r="U234" i="1"/>
  <c r="X234" i="1"/>
  <c r="U238" i="1"/>
  <c r="S240" i="1"/>
  <c r="Y240" i="1"/>
  <c r="S245" i="1"/>
  <c r="Y246" i="1"/>
  <c r="W246" i="1" a="1"/>
  <c r="W246" i="1" s="1"/>
  <c r="T249" i="1"/>
  <c r="U255" i="1"/>
  <c r="T256" i="1"/>
  <c r="Y256" i="1"/>
  <c r="S256" i="1"/>
  <c r="Y259" i="1"/>
  <c r="U259" i="1"/>
  <c r="Y265" i="1"/>
  <c r="T265" i="1"/>
  <c r="U271" i="1"/>
  <c r="Y271" i="1"/>
  <c r="T271" i="1"/>
  <c r="X271" i="1"/>
  <c r="T288" i="1"/>
  <c r="U288" i="1"/>
  <c r="Y288" i="1"/>
  <c r="S288" i="1"/>
  <c r="X288" i="1"/>
  <c r="T336" i="1"/>
  <c r="U336" i="1"/>
  <c r="Y336" i="1"/>
  <c r="S336" i="1"/>
  <c r="X336" i="1"/>
  <c r="U351" i="1"/>
  <c r="Y351" i="1"/>
  <c r="T351" i="1"/>
  <c r="X351" i="1"/>
  <c r="T361" i="1"/>
  <c r="Z361" i="1"/>
  <c r="S361" i="1"/>
  <c r="Y361" i="1"/>
  <c r="U103" i="1"/>
  <c r="W121" i="1" a="1"/>
  <c r="W121" i="1" s="1"/>
  <c r="S137" i="1"/>
  <c r="T157" i="1"/>
  <c r="U159" i="1"/>
  <c r="T161" i="1"/>
  <c r="S186" i="1"/>
  <c r="W186" i="1" a="1"/>
  <c r="W186" i="1" s="1"/>
  <c r="T198" i="1"/>
  <c r="T202" i="1"/>
  <c r="U212" i="1"/>
  <c r="W214" i="1" a="1"/>
  <c r="W214" i="1" s="1"/>
  <c r="Z221" i="1"/>
  <c r="X222" i="1"/>
  <c r="T229" i="1"/>
  <c r="U240" i="1"/>
  <c r="T245" i="1"/>
  <c r="S246" i="1"/>
  <c r="S250" i="1"/>
  <c r="W250" i="1" a="1"/>
  <c r="W250" i="1" s="1"/>
  <c r="X254" i="1"/>
  <c r="U256" i="1"/>
  <c r="Z261" i="1"/>
  <c r="T261" i="1"/>
  <c r="S261" i="1"/>
  <c r="T281" i="1"/>
  <c r="S281" i="1"/>
  <c r="Y281" i="1"/>
  <c r="U303" i="1"/>
  <c r="Y303" i="1"/>
  <c r="T303" i="1"/>
  <c r="X303" i="1"/>
  <c r="S65" i="1"/>
  <c r="U87" i="1"/>
  <c r="W105" i="1" a="1"/>
  <c r="W105" i="1" s="1"/>
  <c r="Y116" i="1"/>
  <c r="U143" i="1"/>
  <c r="Y164" i="1"/>
  <c r="W173" i="1" a="1"/>
  <c r="W173" i="1" s="1"/>
  <c r="W177" i="1" a="1"/>
  <c r="W177" i="1" s="1"/>
  <c r="Y197" i="1"/>
  <c r="U211" i="1"/>
  <c r="S218" i="1"/>
  <c r="W218" i="1" a="1"/>
  <c r="W218" i="1" s="1"/>
  <c r="T230" i="1"/>
  <c r="S234" i="1"/>
  <c r="W234" i="1" a="1"/>
  <c r="W234" i="1" s="1"/>
  <c r="X238" i="1"/>
  <c r="T246" i="1"/>
  <c r="Y255" i="1"/>
  <c r="T272" i="1"/>
  <c r="U272" i="1"/>
  <c r="Y272" i="1"/>
  <c r="S272" i="1"/>
  <c r="X272" i="1"/>
  <c r="Z293" i="1"/>
  <c r="T293" i="1"/>
  <c r="S293" i="1"/>
  <c r="Y293" i="1"/>
  <c r="Z325" i="1"/>
  <c r="T325" i="1"/>
  <c r="S325" i="1"/>
  <c r="Y325" i="1"/>
  <c r="T352" i="1"/>
  <c r="X352" i="1"/>
  <c r="U352" i="1"/>
  <c r="Y352" i="1"/>
  <c r="S352" i="1"/>
  <c r="Z373" i="1"/>
  <c r="T373" i="1"/>
  <c r="S373" i="1"/>
  <c r="Y373" i="1"/>
  <c r="Z281" i="1"/>
  <c r="T294" i="1"/>
  <c r="T310" i="1"/>
  <c r="S314" i="1"/>
  <c r="W314" i="1" a="1"/>
  <c r="W314" i="1" s="1"/>
  <c r="T326" i="1"/>
  <c r="S345" i="1"/>
  <c r="U350" i="1"/>
  <c r="Z365" i="1"/>
  <c r="T374" i="1"/>
  <c r="Y377" i="1"/>
  <c r="Y382" i="1"/>
  <c r="U382" i="1"/>
  <c r="T384" i="1"/>
  <c r="Y384" i="1"/>
  <c r="S384" i="1"/>
  <c r="Z389" i="1"/>
  <c r="Y389" i="1"/>
  <c r="T389" i="1"/>
  <c r="T400" i="1"/>
  <c r="Y400" i="1"/>
  <c r="S400" i="1"/>
  <c r="W401" i="1" a="1"/>
  <c r="W401" i="1" s="1"/>
  <c r="Z405" i="1"/>
  <c r="Y405" i="1"/>
  <c r="T405" i="1"/>
  <c r="Z458" i="1"/>
  <c r="W458" i="1" a="1"/>
  <c r="W458" i="1" s="1"/>
  <c r="T486" i="1"/>
  <c r="Z486" i="1"/>
  <c r="Y486" i="1"/>
  <c r="T492" i="1"/>
  <c r="Y492" i="1"/>
  <c r="S492" i="1"/>
  <c r="X492" i="1"/>
  <c r="U492" i="1"/>
  <c r="S525" i="1"/>
  <c r="W525" i="1" a="1"/>
  <c r="W525" i="1" s="1"/>
  <c r="T540" i="1"/>
  <c r="S540" i="1"/>
  <c r="Y540" i="1"/>
  <c r="U566" i="1"/>
  <c r="Y566" i="1"/>
  <c r="T566" i="1"/>
  <c r="X566" i="1"/>
  <c r="T576" i="1"/>
  <c r="S576" i="1"/>
  <c r="Y576" i="1"/>
  <c r="Z649" i="1"/>
  <c r="S649" i="1"/>
  <c r="Z657" i="1"/>
  <c r="S657" i="1"/>
  <c r="Y262" i="1"/>
  <c r="W262" i="1" a="1"/>
  <c r="W262" i="1" s="1"/>
  <c r="U270" i="1"/>
  <c r="T278" i="1"/>
  <c r="U282" i="1"/>
  <c r="X282" i="1"/>
  <c r="U291" i="1"/>
  <c r="U292" i="1"/>
  <c r="U298" i="1"/>
  <c r="X298" i="1"/>
  <c r="U302" i="1"/>
  <c r="Y309" i="1"/>
  <c r="Y313" i="1"/>
  <c r="T314" i="1"/>
  <c r="Y318" i="1"/>
  <c r="U330" i="1"/>
  <c r="X330" i="1"/>
  <c r="Y334" i="1"/>
  <c r="W342" i="1" a="1"/>
  <c r="W342" i="1" s="1"/>
  <c r="T345" i="1"/>
  <c r="S346" i="1"/>
  <c r="W346" i="1" a="1"/>
  <c r="W346" i="1" s="1"/>
  <c r="T362" i="1"/>
  <c r="U371" i="1"/>
  <c r="U372" i="1"/>
  <c r="S377" i="1"/>
  <c r="Y378" i="1"/>
  <c r="X378" i="1"/>
  <c r="U378" i="1"/>
  <c r="W378" i="1" a="1"/>
  <c r="W378" i="1" s="1"/>
  <c r="U384" i="1"/>
  <c r="Y398" i="1"/>
  <c r="U398" i="1"/>
  <c r="X398" i="1"/>
  <c r="W446" i="1" a="1"/>
  <c r="W446" i="1" s="1"/>
  <c r="S446" i="1"/>
  <c r="W563" i="1" a="1"/>
  <c r="W563" i="1" s="1"/>
  <c r="S563" i="1"/>
  <c r="Y582" i="1"/>
  <c r="T582" i="1"/>
  <c r="X582" i="1"/>
  <c r="U582" i="1"/>
  <c r="S595" i="1"/>
  <c r="W595" i="1" a="1"/>
  <c r="W595" i="1" s="1"/>
  <c r="Z604" i="1"/>
  <c r="T604" i="1"/>
  <c r="S604" i="1"/>
  <c r="Y604" i="1"/>
  <c r="S641" i="1"/>
  <c r="Z641" i="1"/>
  <c r="Y276" i="1"/>
  <c r="Y277" i="1"/>
  <c r="W294" i="1" a="1"/>
  <c r="W294" i="1" s="1"/>
  <c r="S309" i="1"/>
  <c r="W310" i="1" a="1"/>
  <c r="W310" i="1" s="1"/>
  <c r="S313" i="1"/>
  <c r="U314" i="1"/>
  <c r="X314" i="1"/>
  <c r="U318" i="1"/>
  <c r="W326" i="1" a="1"/>
  <c r="W326" i="1" s="1"/>
  <c r="Z345" i="1"/>
  <c r="T346" i="1"/>
  <c r="X350" i="1"/>
  <c r="Y357" i="1"/>
  <c r="X367" i="1"/>
  <c r="W374" i="1" a="1"/>
  <c r="W374" i="1" s="1"/>
  <c r="Y394" i="1"/>
  <c r="X394" i="1"/>
  <c r="U394" i="1"/>
  <c r="W394" i="1" a="1"/>
  <c r="W394" i="1" s="1"/>
  <c r="S394" i="1"/>
  <c r="T410" i="1"/>
  <c r="S410" i="1"/>
  <c r="W425" i="1" a="1"/>
  <c r="W425" i="1" s="1"/>
  <c r="S425" i="1"/>
  <c r="W430" i="1" a="1"/>
  <c r="W430" i="1" s="1"/>
  <c r="S430" i="1"/>
  <c r="Z434" i="1"/>
  <c r="S434" i="1"/>
  <c r="Y434" i="1"/>
  <c r="T434" i="1"/>
  <c r="T450" i="1"/>
  <c r="S450" i="1"/>
  <c r="Y450" i="1"/>
  <c r="Z517" i="1"/>
  <c r="S517" i="1"/>
  <c r="Y517" i="1"/>
  <c r="T517" i="1"/>
  <c r="U523" i="1"/>
  <c r="Y523" i="1"/>
  <c r="T523" i="1"/>
  <c r="X523" i="1"/>
  <c r="T533" i="1"/>
  <c r="S533" i="1"/>
  <c r="Y533" i="1"/>
  <c r="Z536" i="1"/>
  <c r="S536" i="1"/>
  <c r="T544" i="1"/>
  <c r="Z544" i="1"/>
  <c r="S544" i="1"/>
  <c r="Y544" i="1"/>
  <c r="S568" i="1"/>
  <c r="W568" i="1" a="1"/>
  <c r="W568" i="1" s="1"/>
  <c r="Z572" i="1"/>
  <c r="S572" i="1"/>
  <c r="Y572" i="1"/>
  <c r="T572" i="1"/>
  <c r="T599" i="1"/>
  <c r="Y599" i="1"/>
  <c r="S599" i="1"/>
  <c r="X599" i="1"/>
  <c r="U599" i="1"/>
  <c r="S617" i="1"/>
  <c r="Y617" i="1"/>
  <c r="T617" i="1"/>
  <c r="Y656" i="1"/>
  <c r="X656" i="1"/>
  <c r="X270" i="1"/>
  <c r="U276" i="1"/>
  <c r="W278" i="1" a="1"/>
  <c r="W278" i="1" s="1"/>
  <c r="S357" i="1"/>
  <c r="Y358" i="1"/>
  <c r="W358" i="1" a="1"/>
  <c r="W358" i="1" s="1"/>
  <c r="T367" i="1"/>
  <c r="S374" i="1"/>
  <c r="T378" i="1"/>
  <c r="X383" i="1"/>
  <c r="U383" i="1"/>
  <c r="X384" i="1"/>
  <c r="Y390" i="1"/>
  <c r="S390" i="1"/>
  <c r="Y393" i="1"/>
  <c r="T393" i="1"/>
  <c r="T394" i="1"/>
  <c r="X399" i="1"/>
  <c r="U399" i="1"/>
  <c r="X400" i="1"/>
  <c r="Y406" i="1"/>
  <c r="S406" i="1"/>
  <c r="Y409" i="1"/>
  <c r="T409" i="1"/>
  <c r="Z413" i="1"/>
  <c r="S413" i="1"/>
  <c r="Z418" i="1"/>
  <c r="S418" i="1"/>
  <c r="Y418" i="1"/>
  <c r="T418" i="1"/>
  <c r="T422" i="1"/>
  <c r="Z422" i="1"/>
  <c r="Y422" i="1"/>
  <c r="S441" i="1"/>
  <c r="W441" i="1" a="1"/>
  <c r="W441" i="1" s="1"/>
  <c r="T482" i="1"/>
  <c r="Z482" i="1"/>
  <c r="S482" i="1"/>
  <c r="Y482" i="1"/>
  <c r="T508" i="1"/>
  <c r="U508" i="1"/>
  <c r="Y508" i="1"/>
  <c r="S508" i="1"/>
  <c r="X508" i="1"/>
  <c r="Z621" i="1"/>
  <c r="S621" i="1"/>
  <c r="Y621" i="1"/>
  <c r="T621" i="1"/>
  <c r="Y640" i="1"/>
  <c r="X640" i="1"/>
  <c r="Y417" i="1"/>
  <c r="T423" i="1"/>
  <c r="T438" i="1"/>
  <c r="Y439" i="1"/>
  <c r="X439" i="1"/>
  <c r="U451" i="1"/>
  <c r="Z454" i="1"/>
  <c r="S467" i="1"/>
  <c r="W467" i="1" a="1"/>
  <c r="W467" i="1" s="1"/>
  <c r="T470" i="1"/>
  <c r="Y471" i="1"/>
  <c r="X471" i="1"/>
  <c r="U475" i="1"/>
  <c r="T476" i="1"/>
  <c r="U480" i="1"/>
  <c r="U481" i="1"/>
  <c r="Z485" i="1"/>
  <c r="T487" i="1"/>
  <c r="T491" i="1"/>
  <c r="Y491" i="1"/>
  <c r="S497" i="1"/>
  <c r="Y498" i="1"/>
  <c r="W498" i="1" a="1"/>
  <c r="W498" i="1" s="1"/>
  <c r="S501" i="1"/>
  <c r="Z501" i="1"/>
  <c r="U502" i="1"/>
  <c r="X502" i="1"/>
  <c r="S513" i="1"/>
  <c r="Y514" i="1"/>
  <c r="W514" i="1" a="1"/>
  <c r="W514" i="1" s="1"/>
  <c r="U522" i="1"/>
  <c r="S524" i="1"/>
  <c r="Y524" i="1"/>
  <c r="S529" i="1"/>
  <c r="W530" i="1" a="1"/>
  <c r="W530" i="1" s="1"/>
  <c r="U534" i="1"/>
  <c r="U539" i="1"/>
  <c r="U543" i="1"/>
  <c r="T545" i="1"/>
  <c r="T554" i="1"/>
  <c r="T557" i="1"/>
  <c r="S560" i="1"/>
  <c r="Z560" i="1"/>
  <c r="U561" i="1"/>
  <c r="U565" i="1"/>
  <c r="S567" i="1"/>
  <c r="Y567" i="1"/>
  <c r="Y570" i="1"/>
  <c r="Y571" i="1"/>
  <c r="S573" i="1"/>
  <c r="U577" i="1"/>
  <c r="X577" i="1"/>
  <c r="S588" i="1"/>
  <c r="Y589" i="1"/>
  <c r="W589" i="1" a="1"/>
  <c r="W589" i="1" s="1"/>
  <c r="S592" i="1"/>
  <c r="Z592" i="1"/>
  <c r="U593" i="1"/>
  <c r="X593" i="1"/>
  <c r="W596" i="1" a="1"/>
  <c r="W596" i="1" s="1"/>
  <c r="T598" i="1"/>
  <c r="Y598" i="1"/>
  <c r="W600" i="1" a="1"/>
  <c r="W600" i="1" s="1"/>
  <c r="U602" i="1"/>
  <c r="U603" i="1"/>
  <c r="S608" i="1"/>
  <c r="Z608" i="1"/>
  <c r="U609" i="1"/>
  <c r="X609" i="1"/>
  <c r="U614" i="1"/>
  <c r="S616" i="1"/>
  <c r="Z616" i="1"/>
  <c r="S618" i="1"/>
  <c r="S625" i="1"/>
  <c r="U628" i="1"/>
  <c r="S629" i="1"/>
  <c r="S630" i="1"/>
  <c r="U636" i="1"/>
  <c r="W641" i="1" a="1"/>
  <c r="W641" i="1" s="1"/>
  <c r="U644" i="1"/>
  <c r="Z654" i="1"/>
  <c r="Z662" i="1"/>
  <c r="S665" i="1"/>
  <c r="U668" i="1"/>
  <c r="Z681" i="1"/>
  <c r="T686" i="1"/>
  <c r="S693" i="1"/>
  <c r="S697" i="1"/>
  <c r="Z697" i="1"/>
  <c r="Z798" i="1"/>
  <c r="W798" i="1" a="1"/>
  <c r="W798" i="1" s="1"/>
  <c r="W823" i="1" a="1"/>
  <c r="W823" i="1" s="1"/>
  <c r="S823" i="1"/>
  <c r="T827" i="1"/>
  <c r="S827" i="1"/>
  <c r="Y827" i="1"/>
  <c r="Y847" i="1"/>
  <c r="Z847" i="1"/>
  <c r="T847" i="1"/>
  <c r="S863" i="1"/>
  <c r="Z863" i="1"/>
  <c r="T863" i="1"/>
  <c r="S880" i="1"/>
  <c r="Z880" i="1"/>
  <c r="Z409" i="1"/>
  <c r="W413" i="1" a="1"/>
  <c r="W413" i="1" s="1"/>
  <c r="U423" i="1"/>
  <c r="W437" i="1" a="1"/>
  <c r="W437" i="1" s="1"/>
  <c r="X455" i="1"/>
  <c r="Y466" i="1"/>
  <c r="T467" i="1"/>
  <c r="X467" i="1"/>
  <c r="U487" i="1"/>
  <c r="Y495" i="1"/>
  <c r="X507" i="1"/>
  <c r="T513" i="1"/>
  <c r="X535" i="1"/>
  <c r="X553" i="1"/>
  <c r="X583" i="1"/>
  <c r="U598" i="1"/>
  <c r="W605" i="1" a="1"/>
  <c r="W605" i="1" s="1"/>
  <c r="T608" i="1"/>
  <c r="U616" i="1"/>
  <c r="T618" i="1"/>
  <c r="W625" i="1" a="1"/>
  <c r="W625" i="1" s="1"/>
  <c r="T630" i="1"/>
  <c r="Z646" i="1"/>
  <c r="X652" i="1"/>
  <c r="W665" i="1" a="1"/>
  <c r="W665" i="1" s="1"/>
  <c r="X672" i="1"/>
  <c r="T678" i="1"/>
  <c r="Z713" i="1"/>
  <c r="S713" i="1"/>
  <c r="Z776" i="1"/>
  <c r="S776" i="1"/>
  <c r="Z806" i="1"/>
  <c r="W806" i="1" a="1"/>
  <c r="W806" i="1" s="1"/>
  <c r="T811" i="1"/>
  <c r="S811" i="1"/>
  <c r="Y811" i="1"/>
  <c r="T815" i="1"/>
  <c r="Z815" i="1"/>
  <c r="Y815" i="1"/>
  <c r="Z835" i="1"/>
  <c r="W835" i="1" a="1"/>
  <c r="W835" i="1" s="1"/>
  <c r="T843" i="1"/>
  <c r="S843" i="1"/>
  <c r="Y843" i="1"/>
  <c r="T419" i="1"/>
  <c r="X419" i="1"/>
  <c r="T435" i="1"/>
  <c r="Y438" i="1"/>
  <c r="U439" i="1"/>
  <c r="S451" i="1"/>
  <c r="W451" i="1" a="1"/>
  <c r="W451" i="1" s="1"/>
  <c r="T455" i="1"/>
  <c r="Y464" i="1"/>
  <c r="U465" i="1"/>
  <c r="S466" i="1"/>
  <c r="U467" i="1"/>
  <c r="Y470" i="1"/>
  <c r="U471" i="1"/>
  <c r="X475" i="1"/>
  <c r="T498" i="1"/>
  <c r="S502" i="1"/>
  <c r="W502" i="1" a="1"/>
  <c r="W502" i="1" s="1"/>
  <c r="T507" i="1"/>
  <c r="T514" i="1"/>
  <c r="T518" i="1"/>
  <c r="S534" i="1"/>
  <c r="X534" i="1"/>
  <c r="S535" i="1"/>
  <c r="S553" i="1"/>
  <c r="Z553" i="1"/>
  <c r="S561" i="1"/>
  <c r="W561" i="1" a="1"/>
  <c r="W561" i="1" s="1"/>
  <c r="Z564" i="1"/>
  <c r="S577" i="1"/>
  <c r="W577" i="1" a="1"/>
  <c r="W577" i="1" s="1"/>
  <c r="S583" i="1"/>
  <c r="Y583" i="1"/>
  <c r="S593" i="1"/>
  <c r="W593" i="1" a="1"/>
  <c r="W593" i="1" s="1"/>
  <c r="S605" i="1"/>
  <c r="S609" i="1"/>
  <c r="W609" i="1" a="1"/>
  <c r="W609" i="1" s="1"/>
  <c r="W649" i="1" a="1"/>
  <c r="W649" i="1" s="1"/>
  <c r="U652" i="1"/>
  <c r="W657" i="1" a="1"/>
  <c r="W657" i="1" s="1"/>
  <c r="S662" i="1"/>
  <c r="X684" i="1"/>
  <c r="U684" i="1"/>
  <c r="Z686" i="1"/>
  <c r="S760" i="1"/>
  <c r="Z760" i="1"/>
  <c r="X423" i="1"/>
  <c r="Z450" i="1"/>
  <c r="X487" i="1"/>
  <c r="Y497" i="1"/>
  <c r="T502" i="1"/>
  <c r="Y513" i="1"/>
  <c r="X524" i="1"/>
  <c r="Y529" i="1"/>
  <c r="Z533" i="1"/>
  <c r="T534" i="1"/>
  <c r="Z548" i="1"/>
  <c r="T561" i="1"/>
  <c r="X561" i="1"/>
  <c r="X567" i="1"/>
  <c r="W573" i="1" a="1"/>
  <c r="W573" i="1" s="1"/>
  <c r="Z576" i="1"/>
  <c r="T577" i="1"/>
  <c r="U583" i="1"/>
  <c r="Y588" i="1"/>
  <c r="T593" i="1"/>
  <c r="T605" i="1"/>
  <c r="X676" i="1"/>
  <c r="U676" i="1"/>
  <c r="Z678" i="1"/>
  <c r="Y712" i="1"/>
  <c r="X712" i="1"/>
  <c r="Z744" i="1"/>
  <c r="S744" i="1"/>
  <c r="Z752" i="1"/>
  <c r="S752" i="1"/>
  <c r="T782" i="1"/>
  <c r="S782" i="1"/>
  <c r="Y782" i="1"/>
  <c r="Y794" i="1"/>
  <c r="Z794" i="1"/>
  <c r="X871" i="1"/>
  <c r="S871" i="1"/>
  <c r="W871" i="1" a="1"/>
  <c r="W871" i="1" s="1"/>
  <c r="T871" i="1"/>
  <c r="Z871" i="1"/>
  <c r="S896" i="1"/>
  <c r="W896" i="1" a="1"/>
  <c r="W896" i="1" s="1"/>
  <c r="Z896" i="1"/>
  <c r="Y701" i="1"/>
  <c r="Z710" i="1"/>
  <c r="S718" i="1"/>
  <c r="Y725" i="1"/>
  <c r="Z729" i="1"/>
  <c r="Y733" i="1"/>
  <c r="Z741" i="1"/>
  <c r="W760" i="1" a="1"/>
  <c r="W760" i="1" s="1"/>
  <c r="S768" i="1"/>
  <c r="U781" i="1"/>
  <c r="T787" i="1"/>
  <c r="W790" i="1" a="1"/>
  <c r="W790" i="1" s="1"/>
  <c r="U800" i="1"/>
  <c r="Y809" i="1"/>
  <c r="Z811" i="1"/>
  <c r="T812" i="1"/>
  <c r="U816" i="1"/>
  <c r="S818" i="1"/>
  <c r="Z827" i="1"/>
  <c r="T831" i="1"/>
  <c r="T832" i="1"/>
  <c r="U838" i="1"/>
  <c r="Z843" i="1"/>
  <c r="T844" i="1"/>
  <c r="X844" i="1"/>
  <c r="Y848" i="1"/>
  <c r="U848" i="1"/>
  <c r="S850" i="1"/>
  <c r="X852" i="1"/>
  <c r="S855" i="1"/>
  <c r="X866" i="1"/>
  <c r="S875" i="1"/>
  <c r="Y879" i="1"/>
  <c r="S884" i="1"/>
  <c r="T890" i="1"/>
  <c r="T898" i="1"/>
  <c r="X906" i="1"/>
  <c r="Z912" i="1"/>
  <c r="W920" i="1" a="1"/>
  <c r="W920" i="1" s="1"/>
  <c r="Y974" i="1"/>
  <c r="T974" i="1"/>
  <c r="W983" i="1" a="1"/>
  <c r="W983" i="1" s="1"/>
  <c r="S983" i="1"/>
  <c r="S991" i="1"/>
  <c r="W991" i="1" a="1"/>
  <c r="W991" i="1" s="1"/>
  <c r="Z702" i="1"/>
  <c r="T718" i="1"/>
  <c r="Z726" i="1"/>
  <c r="X734" i="1"/>
  <c r="Z749" i="1"/>
  <c r="Z757" i="1"/>
  <c r="W768" i="1" a="1"/>
  <c r="W768" i="1" s="1"/>
  <c r="Z773" i="1"/>
  <c r="W783" i="1" a="1"/>
  <c r="W783" i="1" s="1"/>
  <c r="W808" i="1" a="1"/>
  <c r="W808" i="1" s="1"/>
  <c r="U812" i="1"/>
  <c r="X812" i="1"/>
  <c r="Y822" i="1"/>
  <c r="U828" i="1"/>
  <c r="Z831" i="1"/>
  <c r="U832" i="1"/>
  <c r="U844" i="1"/>
  <c r="T848" i="1"/>
  <c r="X865" i="1"/>
  <c r="U882" i="1"/>
  <c r="U914" i="1"/>
  <c r="S924" i="1"/>
  <c r="X944" i="1"/>
  <c r="S946" i="1"/>
  <c r="Y946" i="1"/>
  <c r="S953" i="1"/>
  <c r="Z953" i="1"/>
  <c r="W681" i="1" a="1"/>
  <c r="W681" i="1" s="1"/>
  <c r="U700" i="1"/>
  <c r="U708" i="1"/>
  <c r="W713" i="1" a="1"/>
  <c r="W713" i="1" s="1"/>
  <c r="U716" i="1"/>
  <c r="U724" i="1"/>
  <c r="U732" i="1"/>
  <c r="W744" i="1" a="1"/>
  <c r="W744" i="1" s="1"/>
  <c r="W752" i="1" a="1"/>
  <c r="W752" i="1" s="1"/>
  <c r="W776" i="1" a="1"/>
  <c r="W776" i="1" s="1"/>
  <c r="Z787" i="1"/>
  <c r="X816" i="1"/>
  <c r="Y853" i="1"/>
  <c r="U853" i="1"/>
  <c r="Y863" i="1"/>
  <c r="X890" i="1"/>
  <c r="Z938" i="1"/>
  <c r="S938" i="1"/>
  <c r="Y938" i="1"/>
  <c r="S963" i="1"/>
  <c r="T963" i="1"/>
  <c r="U969" i="1"/>
  <c r="W969" i="1" a="1"/>
  <c r="W969" i="1" s="1"/>
  <c r="Z979" i="1"/>
  <c r="S979" i="1"/>
  <c r="U979" i="1"/>
  <c r="Z987" i="1"/>
  <c r="S987" i="1"/>
  <c r="U987" i="1"/>
  <c r="X832" i="1"/>
  <c r="X875" i="1"/>
  <c r="T875" i="1"/>
  <c r="Z875" i="1"/>
  <c r="W880" i="1" a="1"/>
  <c r="W880" i="1" s="1"/>
  <c r="S909" i="1"/>
  <c r="T909" i="1"/>
  <c r="W912" i="1" a="1"/>
  <c r="W912" i="1" s="1"/>
  <c r="W913" i="1" a="1"/>
  <c r="W913" i="1" s="1"/>
  <c r="S925" i="1"/>
  <c r="Z925" i="1"/>
  <c r="T938" i="1"/>
  <c r="S950" i="1"/>
  <c r="T950" i="1"/>
  <c r="W904" i="1" a="1"/>
  <c r="W904" i="1" s="1"/>
  <c r="W928" i="1" a="1"/>
  <c r="W928" i="1" s="1"/>
  <c r="T930" i="1"/>
  <c r="Z949" i="1"/>
  <c r="S951" i="1"/>
  <c r="W951" i="1" a="1"/>
  <c r="W951" i="1" s="1"/>
  <c r="S959" i="1"/>
  <c r="Z959" i="1"/>
  <c r="S973" i="1"/>
  <c r="Z973" i="1"/>
  <c r="S995" i="1"/>
  <c r="Z995" i="1"/>
  <c r="U930" i="1"/>
  <c r="Y933" i="1"/>
  <c r="W939" i="1" a="1"/>
  <c r="W939" i="1" s="1"/>
  <c r="W941" i="1" a="1"/>
  <c r="W941" i="1" s="1"/>
  <c r="X943" i="1"/>
  <c r="Y950" i="1"/>
  <c r="T951" i="1"/>
  <c r="Z954" i="1"/>
  <c r="U959" i="1"/>
  <c r="X965" i="1"/>
  <c r="X971" i="1"/>
  <c r="Y982" i="1"/>
  <c r="Y990" i="1"/>
  <c r="U995" i="1"/>
  <c r="Z997" i="1"/>
  <c r="T15" i="1"/>
  <c r="X15" i="1"/>
  <c r="S15" i="1"/>
  <c r="W15" i="1" a="1"/>
  <c r="W15" i="1" s="1"/>
  <c r="Z15" i="1"/>
  <c r="Y15" i="1"/>
  <c r="U15" i="1"/>
  <c r="T19" i="1"/>
  <c r="Y19" i="1"/>
  <c r="U19" i="1"/>
  <c r="X19" i="1"/>
  <c r="S19" i="1"/>
  <c r="W19" i="1" a="1"/>
  <c r="W19" i="1" s="1"/>
  <c r="Z19" i="1"/>
  <c r="T31" i="1"/>
  <c r="X31" i="1"/>
  <c r="S31" i="1"/>
  <c r="W31" i="1" a="1"/>
  <c r="W31" i="1" s="1"/>
  <c r="Z31" i="1"/>
  <c r="Y31" i="1"/>
  <c r="U31" i="1"/>
  <c r="T35" i="1"/>
  <c r="Y35" i="1"/>
  <c r="U35" i="1"/>
  <c r="X35" i="1"/>
  <c r="S35" i="1"/>
  <c r="W35" i="1" a="1"/>
  <c r="W35" i="1" s="1"/>
  <c r="Z35" i="1"/>
  <c r="T3" i="1"/>
  <c r="Y3" i="1"/>
  <c r="U3" i="1"/>
  <c r="X3" i="1"/>
  <c r="S3" i="1"/>
  <c r="W3" i="1" a="1"/>
  <c r="W3" i="1" s="1"/>
  <c r="Z3" i="1"/>
  <c r="Z46" i="1"/>
  <c r="W46" i="1" a="1"/>
  <c r="W46" i="1" s="1"/>
  <c r="S46" i="1"/>
  <c r="X46" i="1"/>
  <c r="T46" i="1"/>
  <c r="Y46" i="1"/>
  <c r="U46" i="1"/>
  <c r="Z50" i="1"/>
  <c r="W50" i="1" a="1"/>
  <c r="W50" i="1" s="1"/>
  <c r="S50" i="1"/>
  <c r="Y50" i="1"/>
  <c r="U50" i="1"/>
  <c r="X50" i="1"/>
  <c r="T50" i="1"/>
  <c r="T63" i="1"/>
  <c r="X63" i="1"/>
  <c r="S63" i="1"/>
  <c r="W63" i="1" a="1"/>
  <c r="W63" i="1" s="1"/>
  <c r="Z63" i="1"/>
  <c r="Y63" i="1"/>
  <c r="U63" i="1"/>
  <c r="Z14" i="1"/>
  <c r="W14" i="1" a="1"/>
  <c r="W14" i="1" s="1"/>
  <c r="S14" i="1"/>
  <c r="X14" i="1"/>
  <c r="T14" i="1"/>
  <c r="Y14" i="1"/>
  <c r="U14" i="1"/>
  <c r="Z18" i="1"/>
  <c r="W18" i="1" a="1"/>
  <c r="W18" i="1" s="1"/>
  <c r="S18" i="1"/>
  <c r="Y18" i="1"/>
  <c r="U18" i="1"/>
  <c r="X18" i="1"/>
  <c r="T18" i="1"/>
  <c r="Z30" i="1"/>
  <c r="W30" i="1" a="1"/>
  <c r="W30" i="1" s="1"/>
  <c r="S30" i="1"/>
  <c r="X30" i="1"/>
  <c r="T30" i="1"/>
  <c r="Y30" i="1"/>
  <c r="U30" i="1"/>
  <c r="Z34" i="1"/>
  <c r="W34" i="1" a="1"/>
  <c r="W34" i="1" s="1"/>
  <c r="S34" i="1"/>
  <c r="Y34" i="1"/>
  <c r="U34" i="1"/>
  <c r="X34" i="1"/>
  <c r="T34" i="1"/>
  <c r="Z2" i="1"/>
  <c r="W2" i="1" a="1"/>
  <c r="W2" i="1" s="1"/>
  <c r="S2" i="1"/>
  <c r="Y2" i="1"/>
  <c r="U2" i="1"/>
  <c r="X2" i="1"/>
  <c r="T2" i="1"/>
  <c r="T47" i="1"/>
  <c r="X47" i="1"/>
  <c r="S47" i="1"/>
  <c r="W47" i="1" a="1"/>
  <c r="W47" i="1" s="1"/>
  <c r="Z47" i="1"/>
  <c r="Y47" i="1"/>
  <c r="U47" i="1"/>
  <c r="T51" i="1"/>
  <c r="Y51" i="1"/>
  <c r="U51" i="1"/>
  <c r="X51" i="1"/>
  <c r="S51" i="1"/>
  <c r="W51" i="1" a="1"/>
  <c r="W51" i="1" s="1"/>
  <c r="Z51" i="1"/>
  <c r="Z62" i="1"/>
  <c r="W62" i="1" a="1"/>
  <c r="W62" i="1" s="1"/>
  <c r="S62" i="1"/>
  <c r="X62" i="1"/>
  <c r="T62" i="1"/>
  <c r="Y62" i="1"/>
  <c r="U62" i="1"/>
  <c r="Z6" i="1"/>
  <c r="W6" i="1" a="1"/>
  <c r="W6" i="1" s="1"/>
  <c r="S6" i="1"/>
  <c r="W7" i="1" a="1"/>
  <c r="W7" i="1" s="1"/>
  <c r="X12" i="1"/>
  <c r="U12" i="1"/>
  <c r="W12" i="1" a="1"/>
  <c r="W12" i="1" s="1"/>
  <c r="Z13" i="1"/>
  <c r="Z22" i="1"/>
  <c r="W22" i="1" a="1"/>
  <c r="W22" i="1" s="1"/>
  <c r="S22" i="1"/>
  <c r="W23" i="1" a="1"/>
  <c r="W23" i="1" s="1"/>
  <c r="X28" i="1"/>
  <c r="U28" i="1"/>
  <c r="W28" i="1" a="1"/>
  <c r="W28" i="1" s="1"/>
  <c r="Z29" i="1"/>
  <c r="Z38" i="1"/>
  <c r="W38" i="1" a="1"/>
  <c r="W38" i="1" s="1"/>
  <c r="S38" i="1"/>
  <c r="W39" i="1" a="1"/>
  <c r="W39" i="1" s="1"/>
  <c r="X44" i="1"/>
  <c r="U44" i="1"/>
  <c r="W44" i="1" a="1"/>
  <c r="W44" i="1" s="1"/>
  <c r="Z45" i="1"/>
  <c r="Z54" i="1"/>
  <c r="W54" i="1" a="1"/>
  <c r="W54" i="1" s="1"/>
  <c r="S54" i="1"/>
  <c r="W55" i="1" a="1"/>
  <c r="W55" i="1" s="1"/>
  <c r="X60" i="1"/>
  <c r="U60" i="1"/>
  <c r="W60" i="1" a="1"/>
  <c r="W60" i="1" s="1"/>
  <c r="Z61" i="1"/>
  <c r="T67" i="1"/>
  <c r="Z67" i="1"/>
  <c r="W67" i="1" a="1"/>
  <c r="W67" i="1" s="1"/>
  <c r="Y67" i="1"/>
  <c r="X67" i="1"/>
  <c r="X72" i="1"/>
  <c r="U72" i="1"/>
  <c r="T72" i="1"/>
  <c r="Z72" i="1"/>
  <c r="W72" i="1" a="1"/>
  <c r="W72" i="1" s="1"/>
  <c r="S72" i="1"/>
  <c r="Z74" i="1"/>
  <c r="W74" i="1" a="1"/>
  <c r="W74" i="1" s="1"/>
  <c r="S74" i="1"/>
  <c r="Y74" i="1"/>
  <c r="X74" i="1"/>
  <c r="U74" i="1"/>
  <c r="T75" i="1"/>
  <c r="Z75" i="1"/>
  <c r="W75" i="1" a="1"/>
  <c r="W75" i="1" s="1"/>
  <c r="S75" i="1"/>
  <c r="Y75" i="1"/>
  <c r="Y77" i="1"/>
  <c r="X77" i="1"/>
  <c r="U77" i="1"/>
  <c r="T77" i="1"/>
  <c r="Z77" i="1"/>
  <c r="X88" i="1"/>
  <c r="U88" i="1"/>
  <c r="T88" i="1"/>
  <c r="Z88" i="1"/>
  <c r="W88" i="1" a="1"/>
  <c r="W88" i="1" s="1"/>
  <c r="S88" i="1"/>
  <c r="Z90" i="1"/>
  <c r="W90" i="1" a="1"/>
  <c r="W90" i="1" s="1"/>
  <c r="S90" i="1"/>
  <c r="Y90" i="1"/>
  <c r="X90" i="1"/>
  <c r="U90" i="1"/>
  <c r="T91" i="1"/>
  <c r="Z91" i="1"/>
  <c r="W91" i="1" a="1"/>
  <c r="W91" i="1" s="1"/>
  <c r="S91" i="1"/>
  <c r="Y91" i="1"/>
  <c r="Y93" i="1"/>
  <c r="X93" i="1"/>
  <c r="U93" i="1"/>
  <c r="T93" i="1"/>
  <c r="Z93" i="1"/>
  <c r="X104" i="1"/>
  <c r="U104" i="1"/>
  <c r="T104" i="1"/>
  <c r="Z104" i="1"/>
  <c r="W104" i="1" a="1"/>
  <c r="W104" i="1" s="1"/>
  <c r="S104" i="1"/>
  <c r="Z106" i="1"/>
  <c r="W106" i="1" a="1"/>
  <c r="W106" i="1" s="1"/>
  <c r="S106" i="1"/>
  <c r="Y106" i="1"/>
  <c r="X106" i="1"/>
  <c r="U106" i="1"/>
  <c r="T107" i="1"/>
  <c r="Z107" i="1"/>
  <c r="W107" i="1" a="1"/>
  <c r="W107" i="1" s="1"/>
  <c r="S107" i="1"/>
  <c r="Y107" i="1"/>
  <c r="Y109" i="1"/>
  <c r="X109" i="1"/>
  <c r="U109" i="1"/>
  <c r="T109" i="1"/>
  <c r="Z109" i="1"/>
  <c r="X120" i="1"/>
  <c r="U120" i="1"/>
  <c r="T120" i="1"/>
  <c r="Z120" i="1"/>
  <c r="W120" i="1" a="1"/>
  <c r="W120" i="1" s="1"/>
  <c r="S120" i="1"/>
  <c r="Z122" i="1"/>
  <c r="W122" i="1" a="1"/>
  <c r="W122" i="1" s="1"/>
  <c r="S122" i="1"/>
  <c r="Y122" i="1"/>
  <c r="X122" i="1"/>
  <c r="U122" i="1"/>
  <c r="T123" i="1"/>
  <c r="Z123" i="1"/>
  <c r="W123" i="1" a="1"/>
  <c r="W123" i="1" s="1"/>
  <c r="S123" i="1"/>
  <c r="Y123" i="1"/>
  <c r="Y125" i="1"/>
  <c r="X125" i="1"/>
  <c r="U125" i="1"/>
  <c r="T125" i="1"/>
  <c r="Z125" i="1"/>
  <c r="X136" i="1"/>
  <c r="U136" i="1"/>
  <c r="T136" i="1"/>
  <c r="Z136" i="1"/>
  <c r="W136" i="1" a="1"/>
  <c r="W136" i="1" s="1"/>
  <c r="S136" i="1"/>
  <c r="Z138" i="1"/>
  <c r="W138" i="1" a="1"/>
  <c r="W138" i="1" s="1"/>
  <c r="S138" i="1"/>
  <c r="Y138" i="1"/>
  <c r="X138" i="1"/>
  <c r="U138" i="1"/>
  <c r="T139" i="1"/>
  <c r="Z139" i="1"/>
  <c r="W139" i="1" a="1"/>
  <c r="W139" i="1" s="1"/>
  <c r="S139" i="1"/>
  <c r="Y139" i="1"/>
  <c r="X144" i="1"/>
  <c r="U144" i="1"/>
  <c r="T144" i="1"/>
  <c r="Z144" i="1"/>
  <c r="W144" i="1" a="1"/>
  <c r="W144" i="1" s="1"/>
  <c r="S144" i="1"/>
  <c r="Z154" i="1"/>
  <c r="W154" i="1" a="1"/>
  <c r="W154" i="1" s="1"/>
  <c r="S154" i="1"/>
  <c r="Y154" i="1"/>
  <c r="X154" i="1"/>
  <c r="U154" i="1"/>
  <c r="T155" i="1"/>
  <c r="Z155" i="1"/>
  <c r="W155" i="1" a="1"/>
  <c r="W155" i="1" s="1"/>
  <c r="S155" i="1"/>
  <c r="Y155" i="1"/>
  <c r="X160" i="1"/>
  <c r="U160" i="1"/>
  <c r="T160" i="1"/>
  <c r="Z160" i="1"/>
  <c r="W160" i="1" a="1"/>
  <c r="W160" i="1" s="1"/>
  <c r="S160" i="1"/>
  <c r="Z170" i="1"/>
  <c r="W170" i="1" a="1"/>
  <c r="W170" i="1" s="1"/>
  <c r="S170" i="1"/>
  <c r="Y170" i="1"/>
  <c r="X170" i="1"/>
  <c r="U170" i="1"/>
  <c r="T171" i="1"/>
  <c r="Z171" i="1"/>
  <c r="W171" i="1" a="1"/>
  <c r="W171" i="1" s="1"/>
  <c r="S171" i="1"/>
  <c r="Y171" i="1"/>
  <c r="X176" i="1"/>
  <c r="U176" i="1"/>
  <c r="T176" i="1"/>
  <c r="Z176" i="1"/>
  <c r="W176" i="1" a="1"/>
  <c r="W176" i="1" s="1"/>
  <c r="S176" i="1"/>
  <c r="X193" i="1"/>
  <c r="U193" i="1"/>
  <c r="Z193" i="1"/>
  <c r="Y193" i="1"/>
  <c r="T193" i="1"/>
  <c r="S193" i="1"/>
  <c r="T200" i="1"/>
  <c r="Y200" i="1"/>
  <c r="U200" i="1"/>
  <c r="X200" i="1"/>
  <c r="S200" i="1"/>
  <c r="W200" i="1" a="1"/>
  <c r="W200" i="1" s="1"/>
  <c r="Y210" i="1"/>
  <c r="X210" i="1"/>
  <c r="U210" i="1"/>
  <c r="T210" i="1"/>
  <c r="W210" i="1" a="1"/>
  <c r="W210" i="1" s="1"/>
  <c r="S210" i="1"/>
  <c r="Z219" i="1"/>
  <c r="W219" i="1" a="1"/>
  <c r="W219" i="1" s="1"/>
  <c r="S219" i="1"/>
  <c r="Y219" i="1"/>
  <c r="U219" i="1"/>
  <c r="X219" i="1"/>
  <c r="T219" i="1"/>
  <c r="T220" i="1"/>
  <c r="Z220" i="1"/>
  <c r="Y220" i="1"/>
  <c r="U220" i="1"/>
  <c r="X220" i="1"/>
  <c r="S220" i="1"/>
  <c r="Z227" i="1"/>
  <c r="W227" i="1" a="1"/>
  <c r="W227" i="1" s="1"/>
  <c r="S227" i="1"/>
  <c r="X227" i="1"/>
  <c r="T227" i="1"/>
  <c r="T228" i="1"/>
  <c r="X228" i="1"/>
  <c r="S228" i="1"/>
  <c r="W228" i="1" a="1"/>
  <c r="W228" i="1" s="1"/>
  <c r="Z228" i="1"/>
  <c r="Z231" i="1"/>
  <c r="W231" i="1" a="1"/>
  <c r="W231" i="1" s="1"/>
  <c r="S231" i="1"/>
  <c r="Y231" i="1"/>
  <c r="U231" i="1"/>
  <c r="X231" i="1"/>
  <c r="T231" i="1"/>
  <c r="X257" i="1"/>
  <c r="U257" i="1"/>
  <c r="Z257" i="1"/>
  <c r="Y257" i="1"/>
  <c r="T257" i="1"/>
  <c r="S257" i="1"/>
  <c r="T264" i="1"/>
  <c r="Y264" i="1"/>
  <c r="U264" i="1"/>
  <c r="X264" i="1"/>
  <c r="S264" i="1"/>
  <c r="W264" i="1" a="1"/>
  <c r="W264" i="1" s="1"/>
  <c r="Y274" i="1"/>
  <c r="X274" i="1"/>
  <c r="U274" i="1"/>
  <c r="T274" i="1"/>
  <c r="W274" i="1" a="1"/>
  <c r="W274" i="1" s="1"/>
  <c r="S274" i="1"/>
  <c r="Y290" i="1"/>
  <c r="X290" i="1"/>
  <c r="U290" i="1"/>
  <c r="T290" i="1"/>
  <c r="W290" i="1" a="1"/>
  <c r="W290" i="1" s="1"/>
  <c r="S290" i="1"/>
  <c r="Z299" i="1"/>
  <c r="W299" i="1" a="1"/>
  <c r="W299" i="1" s="1"/>
  <c r="S299" i="1"/>
  <c r="Y299" i="1"/>
  <c r="U299" i="1"/>
  <c r="X299" i="1"/>
  <c r="T299" i="1"/>
  <c r="T300" i="1"/>
  <c r="Z300" i="1"/>
  <c r="Y300" i="1"/>
  <c r="U300" i="1"/>
  <c r="X300" i="1"/>
  <c r="S300" i="1"/>
  <c r="Z307" i="1"/>
  <c r="W307" i="1" a="1"/>
  <c r="W307" i="1" s="1"/>
  <c r="S307" i="1"/>
  <c r="X307" i="1"/>
  <c r="T307" i="1"/>
  <c r="T308" i="1"/>
  <c r="X308" i="1"/>
  <c r="S308" i="1"/>
  <c r="W308" i="1" a="1"/>
  <c r="W308" i="1" s="1"/>
  <c r="Z308" i="1"/>
  <c r="Z311" i="1"/>
  <c r="W311" i="1" a="1"/>
  <c r="W311" i="1" s="1"/>
  <c r="S311" i="1"/>
  <c r="Y311" i="1"/>
  <c r="U311" i="1"/>
  <c r="X311" i="1"/>
  <c r="T311" i="1"/>
  <c r="X337" i="1"/>
  <c r="U337" i="1"/>
  <c r="Z337" i="1"/>
  <c r="Y337" i="1"/>
  <c r="T337" i="1"/>
  <c r="S337" i="1"/>
  <c r="T344" i="1"/>
  <c r="Y344" i="1"/>
  <c r="U344" i="1"/>
  <c r="X344" i="1"/>
  <c r="S344" i="1"/>
  <c r="W344" i="1" a="1"/>
  <c r="W344" i="1" s="1"/>
  <c r="X353" i="1"/>
  <c r="U353" i="1"/>
  <c r="Z353" i="1"/>
  <c r="Y353" i="1"/>
  <c r="T353" i="1"/>
  <c r="S353" i="1"/>
  <c r="T360" i="1"/>
  <c r="Y360" i="1"/>
  <c r="U360" i="1"/>
  <c r="X360" i="1"/>
  <c r="S360" i="1"/>
  <c r="W360" i="1" a="1"/>
  <c r="W360" i="1" s="1"/>
  <c r="Y370" i="1"/>
  <c r="X370" i="1"/>
  <c r="U370" i="1"/>
  <c r="T370" i="1"/>
  <c r="W370" i="1" a="1"/>
  <c r="W370" i="1" s="1"/>
  <c r="S370" i="1"/>
  <c r="Z379" i="1"/>
  <c r="W379" i="1" a="1"/>
  <c r="W379" i="1" s="1"/>
  <c r="S379" i="1"/>
  <c r="Y379" i="1"/>
  <c r="U379" i="1"/>
  <c r="X379" i="1"/>
  <c r="T379" i="1"/>
  <c r="T380" i="1"/>
  <c r="Z380" i="1"/>
  <c r="Y380" i="1"/>
  <c r="U380" i="1"/>
  <c r="X380" i="1"/>
  <c r="S380" i="1"/>
  <c r="Z387" i="1"/>
  <c r="W387" i="1" a="1"/>
  <c r="W387" i="1" s="1"/>
  <c r="S387" i="1"/>
  <c r="X387" i="1"/>
  <c r="T387" i="1"/>
  <c r="T388" i="1"/>
  <c r="X388" i="1"/>
  <c r="S388" i="1"/>
  <c r="W388" i="1" a="1"/>
  <c r="W388" i="1" s="1"/>
  <c r="Z388" i="1"/>
  <c r="Z391" i="1"/>
  <c r="W391" i="1" a="1"/>
  <c r="W391" i="1" s="1"/>
  <c r="S391" i="1"/>
  <c r="Y391" i="1"/>
  <c r="U391" i="1"/>
  <c r="X391" i="1"/>
  <c r="T391" i="1"/>
  <c r="Z395" i="1"/>
  <c r="W395" i="1" a="1"/>
  <c r="W395" i="1" s="1"/>
  <c r="S395" i="1"/>
  <c r="Y395" i="1"/>
  <c r="U395" i="1"/>
  <c r="X395" i="1"/>
  <c r="T395" i="1"/>
  <c r="T396" i="1"/>
  <c r="Z396" i="1"/>
  <c r="Y396" i="1"/>
  <c r="U396" i="1"/>
  <c r="X396" i="1"/>
  <c r="S396" i="1"/>
  <c r="Z403" i="1"/>
  <c r="W403" i="1" a="1"/>
  <c r="W403" i="1" s="1"/>
  <c r="S403" i="1"/>
  <c r="X403" i="1"/>
  <c r="T403" i="1"/>
  <c r="T404" i="1"/>
  <c r="X404" i="1"/>
  <c r="S404" i="1"/>
  <c r="W404" i="1" a="1"/>
  <c r="W404" i="1" s="1"/>
  <c r="Z404" i="1"/>
  <c r="Z407" i="1"/>
  <c r="W407" i="1" a="1"/>
  <c r="W407" i="1" s="1"/>
  <c r="S407" i="1"/>
  <c r="Y407" i="1"/>
  <c r="U407" i="1"/>
  <c r="X407" i="1"/>
  <c r="T407" i="1"/>
  <c r="T421" i="1"/>
  <c r="Y421" i="1"/>
  <c r="U421" i="1"/>
  <c r="X421" i="1"/>
  <c r="S421" i="1"/>
  <c r="Z421" i="1"/>
  <c r="W421" i="1" a="1"/>
  <c r="W421" i="1" s="1"/>
  <c r="Y431" i="1"/>
  <c r="X431" i="1"/>
  <c r="U431" i="1"/>
  <c r="T431" i="1"/>
  <c r="W431" i="1" a="1"/>
  <c r="W431" i="1" s="1"/>
  <c r="S431" i="1"/>
  <c r="Z452" i="1"/>
  <c r="W452" i="1" a="1"/>
  <c r="W452" i="1" s="1"/>
  <c r="S452" i="1"/>
  <c r="Y452" i="1"/>
  <c r="U452" i="1"/>
  <c r="X452" i="1"/>
  <c r="T452" i="1"/>
  <c r="T6" i="1"/>
  <c r="X6" i="1"/>
  <c r="S7" i="1"/>
  <c r="X7" i="1"/>
  <c r="X8" i="1"/>
  <c r="U8" i="1"/>
  <c r="W8" i="1" a="1"/>
  <c r="W8" i="1" s="1"/>
  <c r="Z9" i="1"/>
  <c r="S12" i="1"/>
  <c r="S13" i="1"/>
  <c r="W13" i="1" a="1"/>
  <c r="W13" i="1" s="1"/>
  <c r="T16" i="1"/>
  <c r="Y16" i="1"/>
  <c r="T17" i="1"/>
  <c r="T22" i="1"/>
  <c r="X22" i="1"/>
  <c r="S23" i="1"/>
  <c r="X23" i="1"/>
  <c r="X24" i="1"/>
  <c r="U24" i="1"/>
  <c r="W24" i="1" a="1"/>
  <c r="W24" i="1" s="1"/>
  <c r="Z25" i="1"/>
  <c r="S28" i="1"/>
  <c r="S29" i="1"/>
  <c r="W29" i="1" a="1"/>
  <c r="W29" i="1" s="1"/>
  <c r="T32" i="1"/>
  <c r="Y32" i="1"/>
  <c r="T33" i="1"/>
  <c r="T38" i="1"/>
  <c r="X38" i="1"/>
  <c r="S39" i="1"/>
  <c r="X39" i="1"/>
  <c r="X40" i="1"/>
  <c r="U40" i="1"/>
  <c r="W40" i="1" a="1"/>
  <c r="W40" i="1" s="1"/>
  <c r="Z41" i="1"/>
  <c r="S44" i="1"/>
  <c r="S45" i="1"/>
  <c r="W45" i="1" a="1"/>
  <c r="W45" i="1" s="1"/>
  <c r="T48" i="1"/>
  <c r="Y48" i="1"/>
  <c r="T49" i="1"/>
  <c r="T54" i="1"/>
  <c r="X54" i="1"/>
  <c r="S55" i="1"/>
  <c r="X55" i="1"/>
  <c r="X56" i="1"/>
  <c r="U56" i="1"/>
  <c r="W56" i="1" a="1"/>
  <c r="W56" i="1" s="1"/>
  <c r="Z57" i="1"/>
  <c r="S60" i="1"/>
  <c r="S61" i="1"/>
  <c r="W61" i="1" a="1"/>
  <c r="W61" i="1" s="1"/>
  <c r="T64" i="1"/>
  <c r="Y64" i="1"/>
  <c r="U65" i="1"/>
  <c r="S67" i="1"/>
  <c r="Y69" i="1"/>
  <c r="X69" i="1"/>
  <c r="U69" i="1"/>
  <c r="T69" i="1"/>
  <c r="Z69" i="1"/>
  <c r="T74" i="1"/>
  <c r="U75" i="1"/>
  <c r="X76" i="1"/>
  <c r="U76" i="1"/>
  <c r="T76" i="1"/>
  <c r="Z76" i="1"/>
  <c r="W76" i="1" a="1"/>
  <c r="W76" i="1" s="1"/>
  <c r="S76" i="1"/>
  <c r="S77" i="1"/>
  <c r="Z78" i="1"/>
  <c r="W78" i="1" a="1"/>
  <c r="W78" i="1" s="1"/>
  <c r="S78" i="1"/>
  <c r="Y78" i="1"/>
  <c r="X78" i="1"/>
  <c r="U78" i="1"/>
  <c r="T79" i="1"/>
  <c r="Z79" i="1"/>
  <c r="W79" i="1" a="1"/>
  <c r="W79" i="1" s="1"/>
  <c r="S79" i="1"/>
  <c r="Y79" i="1"/>
  <c r="Y81" i="1"/>
  <c r="X81" i="1"/>
  <c r="U81" i="1"/>
  <c r="T81" i="1"/>
  <c r="Z81" i="1"/>
  <c r="T90" i="1"/>
  <c r="U91" i="1"/>
  <c r="X92" i="1"/>
  <c r="U92" i="1"/>
  <c r="T92" i="1"/>
  <c r="Z92" i="1"/>
  <c r="W92" i="1" a="1"/>
  <c r="W92" i="1" s="1"/>
  <c r="S92" i="1"/>
  <c r="S93" i="1"/>
  <c r="Z94" i="1"/>
  <c r="W94" i="1" a="1"/>
  <c r="W94" i="1" s="1"/>
  <c r="S94" i="1"/>
  <c r="Y94" i="1"/>
  <c r="X94" i="1"/>
  <c r="U94" i="1"/>
  <c r="T95" i="1"/>
  <c r="Z95" i="1"/>
  <c r="W95" i="1" a="1"/>
  <c r="W95" i="1" s="1"/>
  <c r="S95" i="1"/>
  <c r="Y95" i="1"/>
  <c r="Y97" i="1"/>
  <c r="X97" i="1"/>
  <c r="U97" i="1"/>
  <c r="T97" i="1"/>
  <c r="Z97" i="1"/>
  <c r="T106" i="1"/>
  <c r="U107" i="1"/>
  <c r="X108" i="1"/>
  <c r="U108" i="1"/>
  <c r="T108" i="1"/>
  <c r="Z108" i="1"/>
  <c r="W108" i="1" a="1"/>
  <c r="W108" i="1" s="1"/>
  <c r="S108" i="1"/>
  <c r="S109" i="1"/>
  <c r="Z110" i="1"/>
  <c r="W110" i="1" a="1"/>
  <c r="W110" i="1" s="1"/>
  <c r="S110" i="1"/>
  <c r="Y110" i="1"/>
  <c r="X110" i="1"/>
  <c r="U110" i="1"/>
  <c r="T111" i="1"/>
  <c r="Z111" i="1"/>
  <c r="W111" i="1" a="1"/>
  <c r="W111" i="1" s="1"/>
  <c r="S111" i="1"/>
  <c r="Y111" i="1"/>
  <c r="Y113" i="1"/>
  <c r="X113" i="1"/>
  <c r="U113" i="1"/>
  <c r="T113" i="1"/>
  <c r="Z113" i="1"/>
  <c r="T122" i="1"/>
  <c r="U123" i="1"/>
  <c r="X124" i="1"/>
  <c r="U124" i="1"/>
  <c r="T124" i="1"/>
  <c r="Z124" i="1"/>
  <c r="W124" i="1" a="1"/>
  <c r="W124" i="1" s="1"/>
  <c r="S124" i="1"/>
  <c r="S125" i="1"/>
  <c r="Z126" i="1"/>
  <c r="W126" i="1" a="1"/>
  <c r="W126" i="1" s="1"/>
  <c r="S126" i="1"/>
  <c r="Y126" i="1"/>
  <c r="X126" i="1"/>
  <c r="U126" i="1"/>
  <c r="T127" i="1"/>
  <c r="Z127" i="1"/>
  <c r="W127" i="1" a="1"/>
  <c r="W127" i="1" s="1"/>
  <c r="S127" i="1"/>
  <c r="Y127" i="1"/>
  <c r="Y129" i="1"/>
  <c r="X129" i="1"/>
  <c r="U129" i="1"/>
  <c r="T129" i="1"/>
  <c r="Z129" i="1"/>
  <c r="T138" i="1"/>
  <c r="U139" i="1"/>
  <c r="X140" i="1"/>
  <c r="U140" i="1"/>
  <c r="T140" i="1"/>
  <c r="Z140" i="1"/>
  <c r="W140" i="1" a="1"/>
  <c r="W140" i="1" s="1"/>
  <c r="S140" i="1"/>
  <c r="Z150" i="1"/>
  <c r="W150" i="1" a="1"/>
  <c r="W150" i="1" s="1"/>
  <c r="S150" i="1"/>
  <c r="Y150" i="1"/>
  <c r="X150" i="1"/>
  <c r="U150" i="1"/>
  <c r="T151" i="1"/>
  <c r="Z151" i="1"/>
  <c r="W151" i="1" a="1"/>
  <c r="W151" i="1" s="1"/>
  <c r="S151" i="1"/>
  <c r="Y151" i="1"/>
  <c r="T154" i="1"/>
  <c r="U155" i="1"/>
  <c r="X156" i="1"/>
  <c r="U156" i="1"/>
  <c r="T156" i="1"/>
  <c r="Z156" i="1"/>
  <c r="W156" i="1" a="1"/>
  <c r="W156" i="1" s="1"/>
  <c r="S156" i="1"/>
  <c r="Z166" i="1"/>
  <c r="W166" i="1" a="1"/>
  <c r="W166" i="1" s="1"/>
  <c r="S166" i="1"/>
  <c r="Y166" i="1"/>
  <c r="X166" i="1"/>
  <c r="U166" i="1"/>
  <c r="T167" i="1"/>
  <c r="Z167" i="1"/>
  <c r="W167" i="1" a="1"/>
  <c r="W167" i="1" s="1"/>
  <c r="S167" i="1"/>
  <c r="Y167" i="1"/>
  <c r="T170" i="1"/>
  <c r="U171" i="1"/>
  <c r="X172" i="1"/>
  <c r="U172" i="1"/>
  <c r="T172" i="1"/>
  <c r="Z172" i="1"/>
  <c r="W172" i="1" a="1"/>
  <c r="W172" i="1" s="1"/>
  <c r="S172" i="1"/>
  <c r="Z182" i="1"/>
  <c r="W182" i="1" a="1"/>
  <c r="W182" i="1" s="1"/>
  <c r="S182" i="1"/>
  <c r="Y182" i="1"/>
  <c r="X182" i="1"/>
  <c r="U182" i="1"/>
  <c r="Z183" i="1"/>
  <c r="W183" i="1" a="1"/>
  <c r="W183" i="1" s="1"/>
  <c r="S183" i="1"/>
  <c r="Y183" i="1"/>
  <c r="U183" i="1"/>
  <c r="X183" i="1"/>
  <c r="T183" i="1"/>
  <c r="X209" i="1"/>
  <c r="U209" i="1"/>
  <c r="Z209" i="1"/>
  <c r="Y209" i="1"/>
  <c r="T209" i="1"/>
  <c r="S209" i="1"/>
  <c r="T216" i="1"/>
  <c r="Y216" i="1"/>
  <c r="U216" i="1"/>
  <c r="X216" i="1"/>
  <c r="S216" i="1"/>
  <c r="W216" i="1" a="1"/>
  <c r="W216" i="1" s="1"/>
  <c r="Y226" i="1"/>
  <c r="X226" i="1"/>
  <c r="U226" i="1"/>
  <c r="T226" i="1"/>
  <c r="W226" i="1" a="1"/>
  <c r="W226" i="1" s="1"/>
  <c r="S226" i="1"/>
  <c r="U227" i="1"/>
  <c r="U228" i="1"/>
  <c r="Z235" i="1"/>
  <c r="W235" i="1" a="1"/>
  <c r="W235" i="1" s="1"/>
  <c r="S235" i="1"/>
  <c r="Y235" i="1"/>
  <c r="U235" i="1"/>
  <c r="X235" i="1"/>
  <c r="T235" i="1"/>
  <c r="T236" i="1"/>
  <c r="Z236" i="1"/>
  <c r="Y236" i="1"/>
  <c r="U236" i="1"/>
  <c r="X236" i="1"/>
  <c r="S236" i="1"/>
  <c r="Z243" i="1"/>
  <c r="W243" i="1" a="1"/>
  <c r="W243" i="1" s="1"/>
  <c r="S243" i="1"/>
  <c r="X243" i="1"/>
  <c r="T243" i="1"/>
  <c r="T244" i="1"/>
  <c r="X244" i="1"/>
  <c r="S244" i="1"/>
  <c r="W244" i="1" a="1"/>
  <c r="W244" i="1" s="1"/>
  <c r="Z244" i="1"/>
  <c r="Z247" i="1"/>
  <c r="W247" i="1" a="1"/>
  <c r="W247" i="1" s="1"/>
  <c r="S247" i="1"/>
  <c r="Y247" i="1"/>
  <c r="U247" i="1"/>
  <c r="X247" i="1"/>
  <c r="T247" i="1"/>
  <c r="X273" i="1"/>
  <c r="U273" i="1"/>
  <c r="Z273" i="1"/>
  <c r="Y273" i="1"/>
  <c r="T273" i="1"/>
  <c r="S273" i="1"/>
  <c r="T280" i="1"/>
  <c r="Y280" i="1"/>
  <c r="U280" i="1"/>
  <c r="X280" i="1"/>
  <c r="S280" i="1"/>
  <c r="W280" i="1" a="1"/>
  <c r="W280" i="1" s="1"/>
  <c r="X289" i="1"/>
  <c r="U289" i="1"/>
  <c r="Z289" i="1"/>
  <c r="Y289" i="1"/>
  <c r="T289" i="1"/>
  <c r="S289" i="1"/>
  <c r="T296" i="1"/>
  <c r="Y296" i="1"/>
  <c r="U296" i="1"/>
  <c r="X296" i="1"/>
  <c r="S296" i="1"/>
  <c r="W296" i="1" a="1"/>
  <c r="W296" i="1" s="1"/>
  <c r="Y306" i="1"/>
  <c r="X306" i="1"/>
  <c r="U306" i="1"/>
  <c r="T306" i="1"/>
  <c r="W306" i="1" a="1"/>
  <c r="W306" i="1" s="1"/>
  <c r="S306" i="1"/>
  <c r="U307" i="1"/>
  <c r="U308" i="1"/>
  <c r="Z315" i="1"/>
  <c r="W315" i="1" a="1"/>
  <c r="W315" i="1" s="1"/>
  <c r="S315" i="1"/>
  <c r="Y315" i="1"/>
  <c r="U315" i="1"/>
  <c r="X315" i="1"/>
  <c r="T315" i="1"/>
  <c r="T316" i="1"/>
  <c r="Z316" i="1"/>
  <c r="Y316" i="1"/>
  <c r="U316" i="1"/>
  <c r="X316" i="1"/>
  <c r="S316" i="1"/>
  <c r="Z323" i="1"/>
  <c r="W323" i="1" a="1"/>
  <c r="W323" i="1" s="1"/>
  <c r="S323" i="1"/>
  <c r="X323" i="1"/>
  <c r="T323" i="1"/>
  <c r="T324" i="1"/>
  <c r="X324" i="1"/>
  <c r="S324" i="1"/>
  <c r="W324" i="1" a="1"/>
  <c r="W324" i="1" s="1"/>
  <c r="Z324" i="1"/>
  <c r="Z327" i="1"/>
  <c r="W327" i="1" a="1"/>
  <c r="W327" i="1" s="1"/>
  <c r="S327" i="1"/>
  <c r="Y327" i="1"/>
  <c r="U327" i="1"/>
  <c r="X327" i="1"/>
  <c r="T327" i="1"/>
  <c r="X369" i="1"/>
  <c r="U369" i="1"/>
  <c r="Z369" i="1"/>
  <c r="Y369" i="1"/>
  <c r="T369" i="1"/>
  <c r="S369" i="1"/>
  <c r="T376" i="1"/>
  <c r="Y376" i="1"/>
  <c r="U376" i="1"/>
  <c r="X376" i="1"/>
  <c r="S376" i="1"/>
  <c r="W376" i="1" a="1"/>
  <c r="W376" i="1" s="1"/>
  <c r="Y386" i="1"/>
  <c r="X386" i="1"/>
  <c r="U386" i="1"/>
  <c r="T386" i="1"/>
  <c r="W386" i="1" a="1"/>
  <c r="W386" i="1" s="1"/>
  <c r="S386" i="1"/>
  <c r="U387" i="1"/>
  <c r="U388" i="1"/>
  <c r="Y402" i="1"/>
  <c r="X402" i="1"/>
  <c r="U402" i="1"/>
  <c r="T402" i="1"/>
  <c r="W402" i="1" a="1"/>
  <c r="W402" i="1" s="1"/>
  <c r="S402" i="1"/>
  <c r="U403" i="1"/>
  <c r="U404" i="1"/>
  <c r="Z420" i="1"/>
  <c r="W420" i="1" a="1"/>
  <c r="W420" i="1" s="1"/>
  <c r="S420" i="1"/>
  <c r="Y420" i="1"/>
  <c r="U420" i="1"/>
  <c r="X420" i="1"/>
  <c r="T420" i="1"/>
  <c r="T429" i="1"/>
  <c r="W429" i="1" a="1"/>
  <c r="W429" i="1" s="1"/>
  <c r="Z429" i="1"/>
  <c r="U429" i="1"/>
  <c r="Y429" i="1"/>
  <c r="S429" i="1"/>
  <c r="Y443" i="1"/>
  <c r="T443" i="1"/>
  <c r="W443" i="1" a="1"/>
  <c r="W443" i="1" s="1"/>
  <c r="S443" i="1"/>
  <c r="X443" i="1"/>
  <c r="U443" i="1"/>
  <c r="T449" i="1"/>
  <c r="X449" i="1"/>
  <c r="S449" i="1"/>
  <c r="W449" i="1" a="1"/>
  <c r="W449" i="1" s="1"/>
  <c r="Y449" i="1"/>
  <c r="U449" i="1"/>
  <c r="Z449" i="1"/>
  <c r="X4" i="1"/>
  <c r="U4" i="1"/>
  <c r="W4" i="1" a="1"/>
  <c r="W4" i="1" s="1"/>
  <c r="Z5" i="1"/>
  <c r="U6" i="1"/>
  <c r="Y6" i="1"/>
  <c r="U7" i="1"/>
  <c r="Y7" i="1"/>
  <c r="S8" i="1"/>
  <c r="S9" i="1"/>
  <c r="W9" i="1" a="1"/>
  <c r="W9" i="1" s="1"/>
  <c r="Z11" i="1"/>
  <c r="T12" i="1"/>
  <c r="Y12" i="1"/>
  <c r="T13" i="1"/>
  <c r="U17" i="1"/>
  <c r="X17" i="1"/>
  <c r="X20" i="1"/>
  <c r="U20" i="1"/>
  <c r="W20" i="1" a="1"/>
  <c r="W20" i="1" s="1"/>
  <c r="Z21" i="1"/>
  <c r="U22" i="1"/>
  <c r="Y22" i="1"/>
  <c r="U23" i="1"/>
  <c r="Y23" i="1"/>
  <c r="S24" i="1"/>
  <c r="S25" i="1"/>
  <c r="W25" i="1" a="1"/>
  <c r="W25" i="1" s="1"/>
  <c r="Z27" i="1"/>
  <c r="T28" i="1"/>
  <c r="Y28" i="1"/>
  <c r="T29" i="1"/>
  <c r="U33" i="1"/>
  <c r="X33" i="1"/>
  <c r="X36" i="1"/>
  <c r="U36" i="1"/>
  <c r="W36" i="1" a="1"/>
  <c r="W36" i="1" s="1"/>
  <c r="Z37" i="1"/>
  <c r="U38" i="1"/>
  <c r="Y38" i="1"/>
  <c r="U39" i="1"/>
  <c r="Y39" i="1"/>
  <c r="S40" i="1"/>
  <c r="S41" i="1"/>
  <c r="W41" i="1" a="1"/>
  <c r="W41" i="1" s="1"/>
  <c r="Z43" i="1"/>
  <c r="T44" i="1"/>
  <c r="Y44" i="1"/>
  <c r="T45" i="1"/>
  <c r="U49" i="1"/>
  <c r="X49" i="1"/>
  <c r="X52" i="1"/>
  <c r="U52" i="1"/>
  <c r="W52" i="1" a="1"/>
  <c r="W52" i="1" s="1"/>
  <c r="Z53" i="1"/>
  <c r="U54" i="1"/>
  <c r="Y54" i="1"/>
  <c r="U55" i="1"/>
  <c r="Y55" i="1"/>
  <c r="S56" i="1"/>
  <c r="S57" i="1"/>
  <c r="W57" i="1" a="1"/>
  <c r="W57" i="1" s="1"/>
  <c r="Z59" i="1"/>
  <c r="T60" i="1"/>
  <c r="Y60" i="1"/>
  <c r="T61" i="1"/>
  <c r="U67" i="1"/>
  <c r="X68" i="1"/>
  <c r="U68" i="1"/>
  <c r="T68" i="1"/>
  <c r="Z68" i="1"/>
  <c r="W68" i="1" a="1"/>
  <c r="W68" i="1" s="1"/>
  <c r="S68" i="1"/>
  <c r="S69" i="1"/>
  <c r="Y72" i="1"/>
  <c r="T78" i="1"/>
  <c r="U79" i="1"/>
  <c r="X80" i="1"/>
  <c r="U80" i="1"/>
  <c r="T80" i="1"/>
  <c r="Z80" i="1"/>
  <c r="W80" i="1" a="1"/>
  <c r="W80" i="1" s="1"/>
  <c r="S80" i="1"/>
  <c r="S81" i="1"/>
  <c r="Z82" i="1"/>
  <c r="W82" i="1" a="1"/>
  <c r="W82" i="1" s="1"/>
  <c r="S82" i="1"/>
  <c r="Y82" i="1"/>
  <c r="X82" i="1"/>
  <c r="U82" i="1"/>
  <c r="T83" i="1"/>
  <c r="Z83" i="1"/>
  <c r="W83" i="1" a="1"/>
  <c r="W83" i="1" s="1"/>
  <c r="S83" i="1"/>
  <c r="Y83" i="1"/>
  <c r="Y85" i="1"/>
  <c r="X85" i="1"/>
  <c r="U85" i="1"/>
  <c r="T85" i="1"/>
  <c r="Z85" i="1"/>
  <c r="Y88" i="1"/>
  <c r="T94" i="1"/>
  <c r="U95" i="1"/>
  <c r="X96" i="1"/>
  <c r="U96" i="1"/>
  <c r="T96" i="1"/>
  <c r="Z96" i="1"/>
  <c r="W96" i="1" a="1"/>
  <c r="W96" i="1" s="1"/>
  <c r="S96" i="1"/>
  <c r="S97" i="1"/>
  <c r="Z98" i="1"/>
  <c r="W98" i="1" a="1"/>
  <c r="W98" i="1" s="1"/>
  <c r="S98" i="1"/>
  <c r="Y98" i="1"/>
  <c r="X98" i="1"/>
  <c r="U98" i="1"/>
  <c r="T99" i="1"/>
  <c r="Z99" i="1"/>
  <c r="W99" i="1" a="1"/>
  <c r="W99" i="1" s="1"/>
  <c r="S99" i="1"/>
  <c r="Y99" i="1"/>
  <c r="Y101" i="1"/>
  <c r="X101" i="1"/>
  <c r="U101" i="1"/>
  <c r="T101" i="1"/>
  <c r="Z101" i="1"/>
  <c r="Y104" i="1"/>
  <c r="T110" i="1"/>
  <c r="U111" i="1"/>
  <c r="X112" i="1"/>
  <c r="U112" i="1"/>
  <c r="T112" i="1"/>
  <c r="Z112" i="1"/>
  <c r="W112" i="1" a="1"/>
  <c r="W112" i="1" s="1"/>
  <c r="S112" i="1"/>
  <c r="S113" i="1"/>
  <c r="Z114" i="1"/>
  <c r="W114" i="1" a="1"/>
  <c r="W114" i="1" s="1"/>
  <c r="S114" i="1"/>
  <c r="Y114" i="1"/>
  <c r="X114" i="1"/>
  <c r="U114" i="1"/>
  <c r="T115" i="1"/>
  <c r="Z115" i="1"/>
  <c r="W115" i="1" a="1"/>
  <c r="W115" i="1" s="1"/>
  <c r="S115" i="1"/>
  <c r="Y115" i="1"/>
  <c r="Y117" i="1"/>
  <c r="X117" i="1"/>
  <c r="U117" i="1"/>
  <c r="T117" i="1"/>
  <c r="Z117" i="1"/>
  <c r="Y120" i="1"/>
  <c r="T126" i="1"/>
  <c r="U127" i="1"/>
  <c r="X128" i="1"/>
  <c r="U128" i="1"/>
  <c r="T128" i="1"/>
  <c r="Z128" i="1"/>
  <c r="W128" i="1" a="1"/>
  <c r="W128" i="1" s="1"/>
  <c r="S128" i="1"/>
  <c r="S129" i="1"/>
  <c r="Z130" i="1"/>
  <c r="W130" i="1" a="1"/>
  <c r="W130" i="1" s="1"/>
  <c r="S130" i="1"/>
  <c r="Y130" i="1"/>
  <c r="X130" i="1"/>
  <c r="U130" i="1"/>
  <c r="T131" i="1"/>
  <c r="Z131" i="1"/>
  <c r="W131" i="1" a="1"/>
  <c r="W131" i="1" s="1"/>
  <c r="S131" i="1"/>
  <c r="Y131" i="1"/>
  <c r="Y133" i="1"/>
  <c r="X133" i="1"/>
  <c r="U133" i="1"/>
  <c r="T133" i="1"/>
  <c r="Z133" i="1"/>
  <c r="Y136" i="1"/>
  <c r="Y144" i="1"/>
  <c r="Z146" i="1"/>
  <c r="W146" i="1" a="1"/>
  <c r="W146" i="1" s="1"/>
  <c r="S146" i="1"/>
  <c r="Y146" i="1"/>
  <c r="X146" i="1"/>
  <c r="U146" i="1"/>
  <c r="T147" i="1"/>
  <c r="Z147" i="1"/>
  <c r="W147" i="1" a="1"/>
  <c r="W147" i="1" s="1"/>
  <c r="S147" i="1"/>
  <c r="Y147" i="1"/>
  <c r="T150" i="1"/>
  <c r="U151" i="1"/>
  <c r="X152" i="1"/>
  <c r="U152" i="1"/>
  <c r="T152" i="1"/>
  <c r="Z152" i="1"/>
  <c r="W152" i="1" a="1"/>
  <c r="W152" i="1" s="1"/>
  <c r="S152" i="1"/>
  <c r="Y160" i="1"/>
  <c r="Z162" i="1"/>
  <c r="W162" i="1" a="1"/>
  <c r="W162" i="1" s="1"/>
  <c r="S162" i="1"/>
  <c r="Y162" i="1"/>
  <c r="X162" i="1"/>
  <c r="U162" i="1"/>
  <c r="T163" i="1"/>
  <c r="Z163" i="1"/>
  <c r="W163" i="1" a="1"/>
  <c r="W163" i="1" s="1"/>
  <c r="S163" i="1"/>
  <c r="Y163" i="1"/>
  <c r="T166" i="1"/>
  <c r="U167" i="1"/>
  <c r="X168" i="1"/>
  <c r="U168" i="1"/>
  <c r="T168" i="1"/>
  <c r="Z168" i="1"/>
  <c r="W168" i="1" a="1"/>
  <c r="W168" i="1" s="1"/>
  <c r="S168" i="1"/>
  <c r="Y176" i="1"/>
  <c r="Z178" i="1"/>
  <c r="W178" i="1" a="1"/>
  <c r="W178" i="1" s="1"/>
  <c r="S178" i="1"/>
  <c r="Y178" i="1"/>
  <c r="X178" i="1"/>
  <c r="U178" i="1"/>
  <c r="T179" i="1"/>
  <c r="Z179" i="1"/>
  <c r="W179" i="1" a="1"/>
  <c r="W179" i="1" s="1"/>
  <c r="S179" i="1"/>
  <c r="Y179" i="1"/>
  <c r="T182" i="1"/>
  <c r="Z187" i="1"/>
  <c r="W187" i="1" a="1"/>
  <c r="W187" i="1" s="1"/>
  <c r="S187" i="1"/>
  <c r="Y187" i="1"/>
  <c r="U187" i="1"/>
  <c r="X187" i="1"/>
  <c r="T187" i="1"/>
  <c r="T188" i="1"/>
  <c r="Z188" i="1"/>
  <c r="Y188" i="1"/>
  <c r="U188" i="1"/>
  <c r="X188" i="1"/>
  <c r="S188" i="1"/>
  <c r="W193" i="1" a="1"/>
  <c r="W193" i="1" s="1"/>
  <c r="Z195" i="1"/>
  <c r="W195" i="1" a="1"/>
  <c r="W195" i="1" s="1"/>
  <c r="S195" i="1"/>
  <c r="X195" i="1"/>
  <c r="T195" i="1"/>
  <c r="T196" i="1"/>
  <c r="X196" i="1"/>
  <c r="S196" i="1"/>
  <c r="W196" i="1" a="1"/>
  <c r="W196" i="1" s="1"/>
  <c r="Z196" i="1"/>
  <c r="Z199" i="1"/>
  <c r="W199" i="1" a="1"/>
  <c r="W199" i="1" s="1"/>
  <c r="S199" i="1"/>
  <c r="Y199" i="1"/>
  <c r="U199" i="1"/>
  <c r="X199" i="1"/>
  <c r="T199" i="1"/>
  <c r="Z200" i="1"/>
  <c r="Z210" i="1"/>
  <c r="W220" i="1" a="1"/>
  <c r="W220" i="1" s="1"/>
  <c r="X225" i="1"/>
  <c r="U225" i="1"/>
  <c r="Z225" i="1"/>
  <c r="Y225" i="1"/>
  <c r="T225" i="1"/>
  <c r="S225" i="1"/>
  <c r="T232" i="1"/>
  <c r="Y232" i="1"/>
  <c r="U232" i="1"/>
  <c r="X232" i="1"/>
  <c r="S232" i="1"/>
  <c r="W232" i="1" a="1"/>
  <c r="W232" i="1" s="1"/>
  <c r="Y242" i="1"/>
  <c r="X242" i="1"/>
  <c r="U242" i="1"/>
  <c r="T242" i="1"/>
  <c r="W242" i="1" a="1"/>
  <c r="W242" i="1" s="1"/>
  <c r="S242" i="1"/>
  <c r="U243" i="1"/>
  <c r="U244" i="1"/>
  <c r="Z251" i="1"/>
  <c r="W251" i="1" a="1"/>
  <c r="W251" i="1" s="1"/>
  <c r="S251" i="1"/>
  <c r="Y251" i="1"/>
  <c r="U251" i="1"/>
  <c r="X251" i="1"/>
  <c r="T251" i="1"/>
  <c r="T252" i="1"/>
  <c r="Z252" i="1"/>
  <c r="Y252" i="1"/>
  <c r="U252" i="1"/>
  <c r="X252" i="1"/>
  <c r="S252" i="1"/>
  <c r="W257" i="1" a="1"/>
  <c r="W257" i="1" s="1"/>
  <c r="Z259" i="1"/>
  <c r="W259" i="1" a="1"/>
  <c r="W259" i="1" s="1"/>
  <c r="S259" i="1"/>
  <c r="X259" i="1"/>
  <c r="T259" i="1"/>
  <c r="T260" i="1"/>
  <c r="X260" i="1"/>
  <c r="S260" i="1"/>
  <c r="W260" i="1" a="1"/>
  <c r="W260" i="1" s="1"/>
  <c r="Z260" i="1"/>
  <c r="Z263" i="1"/>
  <c r="W263" i="1" a="1"/>
  <c r="W263" i="1" s="1"/>
  <c r="S263" i="1"/>
  <c r="Y263" i="1"/>
  <c r="U263" i="1"/>
  <c r="X263" i="1"/>
  <c r="T263" i="1"/>
  <c r="Z264" i="1"/>
  <c r="Z274" i="1"/>
  <c r="Z290" i="1"/>
  <c r="W300" i="1" a="1"/>
  <c r="W300" i="1" s="1"/>
  <c r="X305" i="1"/>
  <c r="U305" i="1"/>
  <c r="Z305" i="1"/>
  <c r="Y305" i="1"/>
  <c r="T305" i="1"/>
  <c r="S305" i="1"/>
  <c r="T312" i="1"/>
  <c r="Y312" i="1"/>
  <c r="U312" i="1"/>
  <c r="X312" i="1"/>
  <c r="S312" i="1"/>
  <c r="W312" i="1" a="1"/>
  <c r="W312" i="1" s="1"/>
  <c r="Y322" i="1"/>
  <c r="X322" i="1"/>
  <c r="U322" i="1"/>
  <c r="T322" i="1"/>
  <c r="W322" i="1" a="1"/>
  <c r="W322" i="1" s="1"/>
  <c r="S322" i="1"/>
  <c r="U323" i="1"/>
  <c r="U324" i="1"/>
  <c r="Z331" i="1"/>
  <c r="W331" i="1" a="1"/>
  <c r="W331" i="1" s="1"/>
  <c r="S331" i="1"/>
  <c r="Y331" i="1"/>
  <c r="U331" i="1"/>
  <c r="X331" i="1"/>
  <c r="T331" i="1"/>
  <c r="T332" i="1"/>
  <c r="Z332" i="1"/>
  <c r="Y332" i="1"/>
  <c r="U332" i="1"/>
  <c r="X332" i="1"/>
  <c r="S332" i="1"/>
  <c r="W337" i="1" a="1"/>
  <c r="W337" i="1" s="1"/>
  <c r="Z339" i="1"/>
  <c r="W339" i="1" a="1"/>
  <c r="W339" i="1" s="1"/>
  <c r="S339" i="1"/>
  <c r="X339" i="1"/>
  <c r="T339" i="1"/>
  <c r="T340" i="1"/>
  <c r="X340" i="1"/>
  <c r="S340" i="1"/>
  <c r="W340" i="1" a="1"/>
  <c r="W340" i="1" s="1"/>
  <c r="Z340" i="1"/>
  <c r="Z343" i="1"/>
  <c r="W343" i="1" a="1"/>
  <c r="W343" i="1" s="1"/>
  <c r="S343" i="1"/>
  <c r="Y343" i="1"/>
  <c r="U343" i="1"/>
  <c r="X343" i="1"/>
  <c r="T343" i="1"/>
  <c r="Z344" i="1"/>
  <c r="Z347" i="1"/>
  <c r="W347" i="1" a="1"/>
  <c r="W347" i="1" s="1"/>
  <c r="S347" i="1"/>
  <c r="Y347" i="1"/>
  <c r="U347" i="1"/>
  <c r="X347" i="1"/>
  <c r="T347" i="1"/>
  <c r="T348" i="1"/>
  <c r="Z348" i="1"/>
  <c r="Y348" i="1"/>
  <c r="U348" i="1"/>
  <c r="X348" i="1"/>
  <c r="S348" i="1"/>
  <c r="W353" i="1" a="1"/>
  <c r="W353" i="1" s="1"/>
  <c r="Z355" i="1"/>
  <c r="W355" i="1" a="1"/>
  <c r="W355" i="1" s="1"/>
  <c r="S355" i="1"/>
  <c r="X355" i="1"/>
  <c r="T355" i="1"/>
  <c r="T356" i="1"/>
  <c r="X356" i="1"/>
  <c r="S356" i="1"/>
  <c r="W356" i="1" a="1"/>
  <c r="W356" i="1" s="1"/>
  <c r="Z356" i="1"/>
  <c r="Z359" i="1"/>
  <c r="W359" i="1" a="1"/>
  <c r="W359" i="1" s="1"/>
  <c r="S359" i="1"/>
  <c r="Y359" i="1"/>
  <c r="U359" i="1"/>
  <c r="X359" i="1"/>
  <c r="T359" i="1"/>
  <c r="Z360" i="1"/>
  <c r="Z370" i="1"/>
  <c r="W380" i="1" a="1"/>
  <c r="W380" i="1" s="1"/>
  <c r="X385" i="1"/>
  <c r="U385" i="1"/>
  <c r="Z385" i="1"/>
  <c r="Y385" i="1"/>
  <c r="T385" i="1"/>
  <c r="S385" i="1"/>
  <c r="T392" i="1"/>
  <c r="Y392" i="1"/>
  <c r="U392" i="1"/>
  <c r="X392" i="1"/>
  <c r="S392" i="1"/>
  <c r="W392" i="1" a="1"/>
  <c r="W392" i="1" s="1"/>
  <c r="W396" i="1" a="1"/>
  <c r="W396" i="1" s="1"/>
  <c r="X401" i="1"/>
  <c r="U401" i="1"/>
  <c r="Z401" i="1"/>
  <c r="Y401" i="1"/>
  <c r="T401" i="1"/>
  <c r="S401" i="1"/>
  <c r="T408" i="1"/>
  <c r="Y408" i="1"/>
  <c r="U408" i="1"/>
  <c r="X408" i="1"/>
  <c r="S408" i="1"/>
  <c r="W408" i="1" a="1"/>
  <c r="W408" i="1" s="1"/>
  <c r="Z431" i="1"/>
  <c r="Z440" i="1"/>
  <c r="W440" i="1" a="1"/>
  <c r="W440" i="1" s="1"/>
  <c r="S440" i="1"/>
  <c r="Y440" i="1"/>
  <c r="U440" i="1"/>
  <c r="T440" i="1"/>
  <c r="T453" i="1"/>
  <c r="Y453" i="1"/>
  <c r="U453" i="1"/>
  <c r="X453" i="1"/>
  <c r="S453" i="1"/>
  <c r="W453" i="1" a="1"/>
  <c r="W453" i="1" s="1"/>
  <c r="Z453" i="1"/>
  <c r="Z7" i="1"/>
  <c r="T8" i="1"/>
  <c r="Y8" i="1"/>
  <c r="T9" i="1"/>
  <c r="Z10" i="1"/>
  <c r="W10" i="1" a="1"/>
  <c r="W10" i="1" s="1"/>
  <c r="S10" i="1"/>
  <c r="W11" i="1" a="1"/>
  <c r="W11" i="1" s="1"/>
  <c r="Z12" i="1"/>
  <c r="U13" i="1"/>
  <c r="X13" i="1"/>
  <c r="X16" i="1"/>
  <c r="U16" i="1"/>
  <c r="W16" i="1" a="1"/>
  <c r="W16" i="1" s="1"/>
  <c r="Z17" i="1"/>
  <c r="Z23" i="1"/>
  <c r="T24" i="1"/>
  <c r="Y24" i="1"/>
  <c r="T25" i="1"/>
  <c r="Z26" i="1"/>
  <c r="W26" i="1" a="1"/>
  <c r="W26" i="1" s="1"/>
  <c r="S26" i="1"/>
  <c r="W27" i="1" a="1"/>
  <c r="W27" i="1" s="1"/>
  <c r="Z28" i="1"/>
  <c r="U29" i="1"/>
  <c r="X29" i="1"/>
  <c r="X32" i="1"/>
  <c r="U32" i="1"/>
  <c r="W32" i="1" a="1"/>
  <c r="W32" i="1" s="1"/>
  <c r="Z33" i="1"/>
  <c r="Z39" i="1"/>
  <c r="T40" i="1"/>
  <c r="Y40" i="1"/>
  <c r="T41" i="1"/>
  <c r="Z42" i="1"/>
  <c r="W42" i="1" a="1"/>
  <c r="W42" i="1" s="1"/>
  <c r="S42" i="1"/>
  <c r="W43" i="1" a="1"/>
  <c r="W43" i="1" s="1"/>
  <c r="Z44" i="1"/>
  <c r="U45" i="1"/>
  <c r="X45" i="1"/>
  <c r="X48" i="1"/>
  <c r="U48" i="1"/>
  <c r="W48" i="1" a="1"/>
  <c r="W48" i="1" s="1"/>
  <c r="Z49" i="1"/>
  <c r="Z55" i="1"/>
  <c r="T56" i="1"/>
  <c r="Y56" i="1"/>
  <c r="T57" i="1"/>
  <c r="Z58" i="1"/>
  <c r="W58" i="1" a="1"/>
  <c r="W58" i="1" s="1"/>
  <c r="S58" i="1"/>
  <c r="W59" i="1" a="1"/>
  <c r="W59" i="1" s="1"/>
  <c r="Z60" i="1"/>
  <c r="U61" i="1"/>
  <c r="X61" i="1"/>
  <c r="X64" i="1"/>
  <c r="U64" i="1"/>
  <c r="W64" i="1" a="1"/>
  <c r="W64" i="1" s="1"/>
  <c r="Y65" i="1"/>
  <c r="T65" i="1"/>
  <c r="W65" i="1" a="1"/>
  <c r="W65" i="1" s="1"/>
  <c r="Z66" i="1"/>
  <c r="W66" i="1" a="1"/>
  <c r="W66" i="1" s="1"/>
  <c r="S66" i="1"/>
  <c r="X66" i="1"/>
  <c r="U66" i="1"/>
  <c r="Y66" i="1"/>
  <c r="T71" i="1"/>
  <c r="Z71" i="1"/>
  <c r="W71" i="1" a="1"/>
  <c r="W71" i="1" s="1"/>
  <c r="S71" i="1"/>
  <c r="Y71" i="1"/>
  <c r="Y73" i="1"/>
  <c r="X73" i="1"/>
  <c r="U73" i="1"/>
  <c r="T73" i="1"/>
  <c r="Z73" i="1"/>
  <c r="X75" i="1"/>
  <c r="Y76" i="1"/>
  <c r="W77" i="1" a="1"/>
  <c r="W77" i="1" s="1"/>
  <c r="X84" i="1"/>
  <c r="U84" i="1"/>
  <c r="T84" i="1"/>
  <c r="Z84" i="1"/>
  <c r="W84" i="1" a="1"/>
  <c r="W84" i="1" s="1"/>
  <c r="S84" i="1"/>
  <c r="Z86" i="1"/>
  <c r="W86" i="1" a="1"/>
  <c r="W86" i="1" s="1"/>
  <c r="S86" i="1"/>
  <c r="Y86" i="1"/>
  <c r="X86" i="1"/>
  <c r="U86" i="1"/>
  <c r="T87" i="1"/>
  <c r="Z87" i="1"/>
  <c r="W87" i="1" a="1"/>
  <c r="W87" i="1" s="1"/>
  <c r="S87" i="1"/>
  <c r="Y87" i="1"/>
  <c r="Y89" i="1"/>
  <c r="X89" i="1"/>
  <c r="U89" i="1"/>
  <c r="T89" i="1"/>
  <c r="Z89" i="1"/>
  <c r="X91" i="1"/>
  <c r="Y92" i="1"/>
  <c r="W93" i="1" a="1"/>
  <c r="W93" i="1" s="1"/>
  <c r="X100" i="1"/>
  <c r="U100" i="1"/>
  <c r="T100" i="1"/>
  <c r="Z100" i="1"/>
  <c r="W100" i="1" a="1"/>
  <c r="W100" i="1" s="1"/>
  <c r="S100" i="1"/>
  <c r="Z102" i="1"/>
  <c r="W102" i="1" a="1"/>
  <c r="W102" i="1" s="1"/>
  <c r="S102" i="1"/>
  <c r="Y102" i="1"/>
  <c r="X102" i="1"/>
  <c r="U102" i="1"/>
  <c r="T103" i="1"/>
  <c r="Z103" i="1"/>
  <c r="W103" i="1" a="1"/>
  <c r="W103" i="1" s="1"/>
  <c r="S103" i="1"/>
  <c r="Y103" i="1"/>
  <c r="Y105" i="1"/>
  <c r="X105" i="1"/>
  <c r="U105" i="1"/>
  <c r="T105" i="1"/>
  <c r="Z105" i="1"/>
  <c r="X107" i="1"/>
  <c r="Y108" i="1"/>
  <c r="W109" i="1" a="1"/>
  <c r="W109" i="1" s="1"/>
  <c r="X116" i="1"/>
  <c r="U116" i="1"/>
  <c r="T116" i="1"/>
  <c r="Z116" i="1"/>
  <c r="W116" i="1" a="1"/>
  <c r="W116" i="1" s="1"/>
  <c r="S116" i="1"/>
  <c r="Z118" i="1"/>
  <c r="W118" i="1" a="1"/>
  <c r="W118" i="1" s="1"/>
  <c r="S118" i="1"/>
  <c r="Y118" i="1"/>
  <c r="X118" i="1"/>
  <c r="U118" i="1"/>
  <c r="T119" i="1"/>
  <c r="Z119" i="1"/>
  <c r="W119" i="1" a="1"/>
  <c r="W119" i="1" s="1"/>
  <c r="S119" i="1"/>
  <c r="Y119" i="1"/>
  <c r="Y121" i="1"/>
  <c r="X121" i="1"/>
  <c r="U121" i="1"/>
  <c r="T121" i="1"/>
  <c r="Z121" i="1"/>
  <c r="X123" i="1"/>
  <c r="Y124" i="1"/>
  <c r="W125" i="1" a="1"/>
  <c r="W125" i="1" s="1"/>
  <c r="X132" i="1"/>
  <c r="U132" i="1"/>
  <c r="T132" i="1"/>
  <c r="Z132" i="1"/>
  <c r="W132" i="1" a="1"/>
  <c r="W132" i="1" s="1"/>
  <c r="S132" i="1"/>
  <c r="Z134" i="1"/>
  <c r="W134" i="1" a="1"/>
  <c r="W134" i="1" s="1"/>
  <c r="S134" i="1"/>
  <c r="Y134" i="1"/>
  <c r="X134" i="1"/>
  <c r="U134" i="1"/>
  <c r="T135" i="1"/>
  <c r="Z135" i="1"/>
  <c r="W135" i="1" a="1"/>
  <c r="W135" i="1" s="1"/>
  <c r="S135" i="1"/>
  <c r="Y135" i="1"/>
  <c r="Y137" i="1"/>
  <c r="X137" i="1"/>
  <c r="U137" i="1"/>
  <c r="T137" i="1"/>
  <c r="Z137" i="1"/>
  <c r="X139" i="1"/>
  <c r="Z142" i="1"/>
  <c r="W142" i="1" a="1"/>
  <c r="W142" i="1" s="1"/>
  <c r="S142" i="1"/>
  <c r="Y142" i="1"/>
  <c r="X142" i="1"/>
  <c r="U142" i="1"/>
  <c r="T143" i="1"/>
  <c r="Z143" i="1"/>
  <c r="W143" i="1" a="1"/>
  <c r="W143" i="1" s="1"/>
  <c r="S143" i="1"/>
  <c r="Y143" i="1"/>
  <c r="X148" i="1"/>
  <c r="U148" i="1"/>
  <c r="T148" i="1"/>
  <c r="Z148" i="1"/>
  <c r="W148" i="1" a="1"/>
  <c r="W148" i="1" s="1"/>
  <c r="S148" i="1"/>
  <c r="X155" i="1"/>
  <c r="Y156" i="1"/>
  <c r="Z158" i="1"/>
  <c r="W158" i="1" a="1"/>
  <c r="W158" i="1" s="1"/>
  <c r="S158" i="1"/>
  <c r="Y158" i="1"/>
  <c r="X158" i="1"/>
  <c r="U158" i="1"/>
  <c r="T159" i="1"/>
  <c r="Z159" i="1"/>
  <c r="W159" i="1" a="1"/>
  <c r="W159" i="1" s="1"/>
  <c r="S159" i="1"/>
  <c r="Y159" i="1"/>
  <c r="X164" i="1"/>
  <c r="U164" i="1"/>
  <c r="T164" i="1"/>
  <c r="Z164" i="1"/>
  <c r="W164" i="1" a="1"/>
  <c r="W164" i="1" s="1"/>
  <c r="S164" i="1"/>
  <c r="X171" i="1"/>
  <c r="Y172" i="1"/>
  <c r="Z174" i="1"/>
  <c r="W174" i="1" a="1"/>
  <c r="W174" i="1" s="1"/>
  <c r="S174" i="1"/>
  <c r="Y174" i="1"/>
  <c r="X174" i="1"/>
  <c r="U174" i="1"/>
  <c r="T175" i="1"/>
  <c r="Z175" i="1"/>
  <c r="W175" i="1" a="1"/>
  <c r="W175" i="1" s="1"/>
  <c r="S175" i="1"/>
  <c r="Y175" i="1"/>
  <c r="X180" i="1"/>
  <c r="U180" i="1"/>
  <c r="T180" i="1"/>
  <c r="Z180" i="1"/>
  <c r="W180" i="1" a="1"/>
  <c r="W180" i="1" s="1"/>
  <c r="S180" i="1"/>
  <c r="T184" i="1"/>
  <c r="Y184" i="1"/>
  <c r="U184" i="1"/>
  <c r="X184" i="1"/>
  <c r="S184" i="1"/>
  <c r="W184" i="1" a="1"/>
  <c r="W184" i="1" s="1"/>
  <c r="Y194" i="1"/>
  <c r="X194" i="1"/>
  <c r="U194" i="1"/>
  <c r="T194" i="1"/>
  <c r="W194" i="1" a="1"/>
  <c r="W194" i="1" s="1"/>
  <c r="S194" i="1"/>
  <c r="U195" i="1"/>
  <c r="U196" i="1"/>
  <c r="Z203" i="1"/>
  <c r="W203" i="1" a="1"/>
  <c r="W203" i="1" s="1"/>
  <c r="S203" i="1"/>
  <c r="Y203" i="1"/>
  <c r="U203" i="1"/>
  <c r="X203" i="1"/>
  <c r="T203" i="1"/>
  <c r="T204" i="1"/>
  <c r="Z204" i="1"/>
  <c r="Y204" i="1"/>
  <c r="U204" i="1"/>
  <c r="X204" i="1"/>
  <c r="S204" i="1"/>
  <c r="W209" i="1" a="1"/>
  <c r="W209" i="1" s="1"/>
  <c r="Z211" i="1"/>
  <c r="W211" i="1" a="1"/>
  <c r="W211" i="1" s="1"/>
  <c r="S211" i="1"/>
  <c r="X211" i="1"/>
  <c r="T211" i="1"/>
  <c r="T212" i="1"/>
  <c r="X212" i="1"/>
  <c r="S212" i="1"/>
  <c r="W212" i="1" a="1"/>
  <c r="W212" i="1" s="1"/>
  <c r="Z212" i="1"/>
  <c r="Z215" i="1"/>
  <c r="W215" i="1" a="1"/>
  <c r="W215" i="1" s="1"/>
  <c r="S215" i="1"/>
  <c r="Y215" i="1"/>
  <c r="U215" i="1"/>
  <c r="X215" i="1"/>
  <c r="T215" i="1"/>
  <c r="Z216" i="1"/>
  <c r="Z226" i="1"/>
  <c r="Y227" i="1"/>
  <c r="Y228" i="1"/>
  <c r="W236" i="1" a="1"/>
  <c r="W236" i="1" s="1"/>
  <c r="X241" i="1"/>
  <c r="U241" i="1"/>
  <c r="Z241" i="1"/>
  <c r="Y241" i="1"/>
  <c r="T241" i="1"/>
  <c r="S241" i="1"/>
  <c r="T248" i="1"/>
  <c r="Y248" i="1"/>
  <c r="U248" i="1"/>
  <c r="X248" i="1"/>
  <c r="S248" i="1"/>
  <c r="W248" i="1" a="1"/>
  <c r="W248" i="1" s="1"/>
  <c r="Y258" i="1"/>
  <c r="X258" i="1"/>
  <c r="U258" i="1"/>
  <c r="T258" i="1"/>
  <c r="W258" i="1" a="1"/>
  <c r="W258" i="1" s="1"/>
  <c r="S258" i="1"/>
  <c r="U260" i="1"/>
  <c r="Z267" i="1"/>
  <c r="W267" i="1" a="1"/>
  <c r="W267" i="1" s="1"/>
  <c r="S267" i="1"/>
  <c r="Y267" i="1"/>
  <c r="U267" i="1"/>
  <c r="X267" i="1"/>
  <c r="T267" i="1"/>
  <c r="T268" i="1"/>
  <c r="Z268" i="1"/>
  <c r="Y268" i="1"/>
  <c r="U268" i="1"/>
  <c r="X268" i="1"/>
  <c r="S268" i="1"/>
  <c r="W273" i="1" a="1"/>
  <c r="W273" i="1" s="1"/>
  <c r="Z275" i="1"/>
  <c r="W275" i="1" a="1"/>
  <c r="W275" i="1" s="1"/>
  <c r="S275" i="1"/>
  <c r="X275" i="1"/>
  <c r="T275" i="1"/>
  <c r="T276" i="1"/>
  <c r="X276" i="1"/>
  <c r="S276" i="1"/>
  <c r="W276" i="1" a="1"/>
  <c r="W276" i="1" s="1"/>
  <c r="Z276" i="1"/>
  <c r="Z279" i="1"/>
  <c r="W279" i="1" a="1"/>
  <c r="W279" i="1" s="1"/>
  <c r="S279" i="1"/>
  <c r="Y279" i="1"/>
  <c r="U279" i="1"/>
  <c r="X279" i="1"/>
  <c r="T279" i="1"/>
  <c r="Z280" i="1"/>
  <c r="Z283" i="1"/>
  <c r="W283" i="1" a="1"/>
  <c r="W283" i="1" s="1"/>
  <c r="S283" i="1"/>
  <c r="Y283" i="1"/>
  <c r="U283" i="1"/>
  <c r="X283" i="1"/>
  <c r="T283" i="1"/>
  <c r="T284" i="1"/>
  <c r="Z284" i="1"/>
  <c r="Y284" i="1"/>
  <c r="U284" i="1"/>
  <c r="X284" i="1"/>
  <c r="S284" i="1"/>
  <c r="W289" i="1" a="1"/>
  <c r="W289" i="1" s="1"/>
  <c r="Z291" i="1"/>
  <c r="W291" i="1" a="1"/>
  <c r="W291" i="1" s="1"/>
  <c r="S291" i="1"/>
  <c r="X291" i="1"/>
  <c r="T291" i="1"/>
  <c r="T292" i="1"/>
  <c r="X292" i="1"/>
  <c r="S292" i="1"/>
  <c r="W292" i="1" a="1"/>
  <c r="W292" i="1" s="1"/>
  <c r="Z292" i="1"/>
  <c r="Z295" i="1"/>
  <c r="W295" i="1" a="1"/>
  <c r="W295" i="1" s="1"/>
  <c r="S295" i="1"/>
  <c r="Y295" i="1"/>
  <c r="U295" i="1"/>
  <c r="X295" i="1"/>
  <c r="T295" i="1"/>
  <c r="Z296" i="1"/>
  <c r="Z306" i="1"/>
  <c r="Y307" i="1"/>
  <c r="Y308" i="1"/>
  <c r="W316" i="1" a="1"/>
  <c r="W316" i="1" s="1"/>
  <c r="X321" i="1"/>
  <c r="U321" i="1"/>
  <c r="Z321" i="1"/>
  <c r="Y321" i="1"/>
  <c r="T321" i="1"/>
  <c r="S321" i="1"/>
  <c r="T328" i="1"/>
  <c r="Y328" i="1"/>
  <c r="U328" i="1"/>
  <c r="X328" i="1"/>
  <c r="S328" i="1"/>
  <c r="W328" i="1" a="1"/>
  <c r="W328" i="1" s="1"/>
  <c r="Y338" i="1"/>
  <c r="X338" i="1"/>
  <c r="U338" i="1"/>
  <c r="T338" i="1"/>
  <c r="W338" i="1" a="1"/>
  <c r="W338" i="1" s="1"/>
  <c r="S338" i="1"/>
  <c r="U339" i="1"/>
  <c r="U340" i="1"/>
  <c r="Y354" i="1"/>
  <c r="X354" i="1"/>
  <c r="U354" i="1"/>
  <c r="T354" i="1"/>
  <c r="W354" i="1" a="1"/>
  <c r="W354" i="1" s="1"/>
  <c r="S354" i="1"/>
  <c r="U355" i="1"/>
  <c r="U356" i="1"/>
  <c r="Z363" i="1"/>
  <c r="W363" i="1" a="1"/>
  <c r="W363" i="1" s="1"/>
  <c r="S363" i="1"/>
  <c r="Y363" i="1"/>
  <c r="U363" i="1"/>
  <c r="X363" i="1"/>
  <c r="T363" i="1"/>
  <c r="T364" i="1"/>
  <c r="Z364" i="1"/>
  <c r="Y364" i="1"/>
  <c r="U364" i="1"/>
  <c r="X364" i="1"/>
  <c r="S364" i="1"/>
  <c r="W369" i="1" a="1"/>
  <c r="W369" i="1" s="1"/>
  <c r="Z371" i="1"/>
  <c r="W371" i="1" a="1"/>
  <c r="W371" i="1" s="1"/>
  <c r="S371" i="1"/>
  <c r="X371" i="1"/>
  <c r="T371" i="1"/>
  <c r="T372" i="1"/>
  <c r="X372" i="1"/>
  <c r="S372" i="1"/>
  <c r="W372" i="1" a="1"/>
  <c r="W372" i="1" s="1"/>
  <c r="Z372" i="1"/>
  <c r="Z375" i="1"/>
  <c r="W375" i="1" a="1"/>
  <c r="W375" i="1" s="1"/>
  <c r="S375" i="1"/>
  <c r="Y375" i="1"/>
  <c r="U375" i="1"/>
  <c r="X375" i="1"/>
  <c r="T375" i="1"/>
  <c r="Z376" i="1"/>
  <c r="Z386" i="1"/>
  <c r="Y387" i="1"/>
  <c r="Y388" i="1"/>
  <c r="Z402" i="1"/>
  <c r="Y403" i="1"/>
  <c r="Y404" i="1"/>
  <c r="T412" i="1"/>
  <c r="Z412" i="1"/>
  <c r="W412" i="1" a="1"/>
  <c r="W412" i="1" s="1"/>
  <c r="S412" i="1"/>
  <c r="X412" i="1"/>
  <c r="U412" i="1"/>
  <c r="Y414" i="1"/>
  <c r="X414" i="1"/>
  <c r="U414" i="1"/>
  <c r="Z414" i="1"/>
  <c r="T414" i="1"/>
  <c r="S414" i="1"/>
  <c r="Z416" i="1"/>
  <c r="W416" i="1" a="1"/>
  <c r="W416" i="1" s="1"/>
  <c r="X416" i="1"/>
  <c r="T416" i="1"/>
  <c r="S416" i="1"/>
  <c r="U416" i="1"/>
  <c r="Y416" i="1"/>
  <c r="X429" i="1"/>
  <c r="X442" i="1"/>
  <c r="U442" i="1"/>
  <c r="Y442" i="1"/>
  <c r="T442" i="1"/>
  <c r="S442" i="1"/>
  <c r="Z442" i="1"/>
  <c r="W442" i="1" a="1"/>
  <c r="W442" i="1" s="1"/>
  <c r="Z448" i="1"/>
  <c r="W448" i="1" a="1"/>
  <c r="W448" i="1" s="1"/>
  <c r="S448" i="1"/>
  <c r="X448" i="1"/>
  <c r="T448" i="1"/>
  <c r="Y448" i="1"/>
  <c r="U448" i="1"/>
  <c r="T457" i="1"/>
  <c r="Z457" i="1"/>
  <c r="Y457" i="1"/>
  <c r="U457" i="1"/>
  <c r="X457" i="1"/>
  <c r="X462" i="1"/>
  <c r="U462" i="1"/>
  <c r="Z462" i="1"/>
  <c r="Y462" i="1"/>
  <c r="T462" i="1"/>
  <c r="Y463" i="1"/>
  <c r="X463" i="1"/>
  <c r="U463" i="1"/>
  <c r="T463" i="1"/>
  <c r="W463" i="1" a="1"/>
  <c r="W463" i="1" s="1"/>
  <c r="S463" i="1"/>
  <c r="T469" i="1"/>
  <c r="Y469" i="1"/>
  <c r="U469" i="1"/>
  <c r="X469" i="1"/>
  <c r="S469" i="1"/>
  <c r="W469" i="1" a="1"/>
  <c r="W469" i="1" s="1"/>
  <c r="Z472" i="1"/>
  <c r="W472" i="1" a="1"/>
  <c r="W472" i="1" s="1"/>
  <c r="S472" i="1"/>
  <c r="Y472" i="1"/>
  <c r="U472" i="1"/>
  <c r="X472" i="1"/>
  <c r="T472" i="1"/>
  <c r="T473" i="1"/>
  <c r="Z473" i="1"/>
  <c r="Y473" i="1"/>
  <c r="U473" i="1"/>
  <c r="X473" i="1"/>
  <c r="S473" i="1"/>
  <c r="X478" i="1"/>
  <c r="U478" i="1"/>
  <c r="Z478" i="1"/>
  <c r="Y478" i="1"/>
  <c r="T478" i="1"/>
  <c r="S478" i="1"/>
  <c r="T500" i="1"/>
  <c r="Y500" i="1"/>
  <c r="U500" i="1"/>
  <c r="X500" i="1"/>
  <c r="S500" i="1"/>
  <c r="Z500" i="1"/>
  <c r="Z521" i="1"/>
  <c r="W521" i="1" a="1"/>
  <c r="W521" i="1" s="1"/>
  <c r="Y526" i="1"/>
  <c r="X526" i="1"/>
  <c r="U526" i="1"/>
  <c r="T526" i="1"/>
  <c r="W526" i="1" a="1"/>
  <c r="W526" i="1" s="1"/>
  <c r="S526" i="1"/>
  <c r="T532" i="1"/>
  <c r="Y532" i="1"/>
  <c r="U532" i="1"/>
  <c r="X532" i="1"/>
  <c r="S532" i="1"/>
  <c r="Z532" i="1"/>
  <c r="W532" i="1" a="1"/>
  <c r="W532" i="1" s="1"/>
  <c r="T559" i="1"/>
  <c r="X559" i="1"/>
  <c r="S559" i="1"/>
  <c r="Z559" i="1"/>
  <c r="U559" i="1"/>
  <c r="Y559" i="1"/>
  <c r="W559" i="1" a="1"/>
  <c r="W559" i="1" s="1"/>
  <c r="Z679" i="1"/>
  <c r="W679" i="1" a="1"/>
  <c r="W679" i="1" s="1"/>
  <c r="S679" i="1"/>
  <c r="Y679" i="1"/>
  <c r="X679" i="1"/>
  <c r="T679" i="1"/>
  <c r="U679" i="1"/>
  <c r="Z751" i="1"/>
  <c r="W751" i="1" a="1"/>
  <c r="W751" i="1" s="1"/>
  <c r="S751" i="1"/>
  <c r="T751" i="1"/>
  <c r="U751" i="1"/>
  <c r="X751" i="1"/>
  <c r="Y751" i="1"/>
  <c r="Z775" i="1"/>
  <c r="W775" i="1" a="1"/>
  <c r="W775" i="1" s="1"/>
  <c r="S775" i="1"/>
  <c r="T775" i="1"/>
  <c r="U775" i="1"/>
  <c r="X775" i="1"/>
  <c r="Y775" i="1"/>
  <c r="T834" i="1"/>
  <c r="Z834" i="1"/>
  <c r="Y834" i="1"/>
  <c r="U834" i="1"/>
  <c r="S834" i="1"/>
  <c r="W834" i="1" a="1"/>
  <c r="W834" i="1" s="1"/>
  <c r="X834" i="1"/>
  <c r="U70" i="1"/>
  <c r="X70" i="1"/>
  <c r="X189" i="1"/>
  <c r="U189" i="1"/>
  <c r="W189" i="1" a="1"/>
  <c r="W189" i="1" s="1"/>
  <c r="Z190" i="1"/>
  <c r="X205" i="1"/>
  <c r="U205" i="1"/>
  <c r="W205" i="1" a="1"/>
  <c r="W205" i="1" s="1"/>
  <c r="Z206" i="1"/>
  <c r="X221" i="1"/>
  <c r="U221" i="1"/>
  <c r="W221" i="1" a="1"/>
  <c r="W221" i="1" s="1"/>
  <c r="Z222" i="1"/>
  <c r="X237" i="1"/>
  <c r="U237" i="1"/>
  <c r="W237" i="1" a="1"/>
  <c r="W237" i="1" s="1"/>
  <c r="Z238" i="1"/>
  <c r="X253" i="1"/>
  <c r="U253" i="1"/>
  <c r="W253" i="1" a="1"/>
  <c r="W253" i="1" s="1"/>
  <c r="Z254" i="1"/>
  <c r="X269" i="1"/>
  <c r="U269" i="1"/>
  <c r="W269" i="1" a="1"/>
  <c r="W269" i="1" s="1"/>
  <c r="Z270" i="1"/>
  <c r="X285" i="1"/>
  <c r="U285" i="1"/>
  <c r="W285" i="1" a="1"/>
  <c r="W285" i="1" s="1"/>
  <c r="Z286" i="1"/>
  <c r="X301" i="1"/>
  <c r="U301" i="1"/>
  <c r="W301" i="1" a="1"/>
  <c r="W301" i="1" s="1"/>
  <c r="Z302" i="1"/>
  <c r="X317" i="1"/>
  <c r="U317" i="1"/>
  <c r="W317" i="1" a="1"/>
  <c r="W317" i="1" s="1"/>
  <c r="Z318" i="1"/>
  <c r="X333" i="1"/>
  <c r="U333" i="1"/>
  <c r="W333" i="1" a="1"/>
  <c r="W333" i="1" s="1"/>
  <c r="Z334" i="1"/>
  <c r="X349" i="1"/>
  <c r="U349" i="1"/>
  <c r="W349" i="1" a="1"/>
  <c r="W349" i="1" s="1"/>
  <c r="Z350" i="1"/>
  <c r="X365" i="1"/>
  <c r="U365" i="1"/>
  <c r="W365" i="1" a="1"/>
  <c r="W365" i="1" s="1"/>
  <c r="Z366" i="1"/>
  <c r="X381" i="1"/>
  <c r="U381" i="1"/>
  <c r="W381" i="1" a="1"/>
  <c r="W381" i="1" s="1"/>
  <c r="Z382" i="1"/>
  <c r="X397" i="1"/>
  <c r="U397" i="1"/>
  <c r="W397" i="1" a="1"/>
  <c r="W397" i="1" s="1"/>
  <c r="Z398" i="1"/>
  <c r="Z411" i="1"/>
  <c r="W411" i="1" a="1"/>
  <c r="W411" i="1" s="1"/>
  <c r="S411" i="1"/>
  <c r="Y411" i="1"/>
  <c r="Z424" i="1"/>
  <c r="W424" i="1" a="1"/>
  <c r="W424" i="1" s="1"/>
  <c r="S424" i="1"/>
  <c r="Y424" i="1"/>
  <c r="U424" i="1"/>
  <c r="X424" i="1"/>
  <c r="X426" i="1"/>
  <c r="U426" i="1"/>
  <c r="Y426" i="1"/>
  <c r="T426" i="1"/>
  <c r="S426" i="1"/>
  <c r="Y427" i="1"/>
  <c r="T427" i="1"/>
  <c r="W427" i="1" a="1"/>
  <c r="W427" i="1" s="1"/>
  <c r="S427" i="1"/>
  <c r="Z427" i="1"/>
  <c r="Z432" i="1"/>
  <c r="W432" i="1" a="1"/>
  <c r="W432" i="1" s="1"/>
  <c r="S432" i="1"/>
  <c r="X432" i="1"/>
  <c r="T432" i="1"/>
  <c r="T433" i="1"/>
  <c r="X433" i="1"/>
  <c r="S433" i="1"/>
  <c r="W433" i="1" a="1"/>
  <c r="W433" i="1" s="1"/>
  <c r="Z433" i="1"/>
  <c r="Z444" i="1"/>
  <c r="W444" i="1" a="1"/>
  <c r="W444" i="1" s="1"/>
  <c r="S444" i="1"/>
  <c r="X444" i="1"/>
  <c r="S457" i="1"/>
  <c r="T461" i="1"/>
  <c r="W461" i="1" a="1"/>
  <c r="W461" i="1" s="1"/>
  <c r="Z461" i="1"/>
  <c r="X461" i="1"/>
  <c r="S462" i="1"/>
  <c r="Z484" i="1"/>
  <c r="W484" i="1" a="1"/>
  <c r="W484" i="1" s="1"/>
  <c r="S484" i="1"/>
  <c r="Y484" i="1"/>
  <c r="U484" i="1"/>
  <c r="X484" i="1"/>
  <c r="T484" i="1"/>
  <c r="Z499" i="1"/>
  <c r="W499" i="1" a="1"/>
  <c r="W499" i="1" s="1"/>
  <c r="S499" i="1"/>
  <c r="Y499" i="1"/>
  <c r="U499" i="1"/>
  <c r="X499" i="1"/>
  <c r="T499" i="1"/>
  <c r="T512" i="1"/>
  <c r="X512" i="1"/>
  <c r="S512" i="1"/>
  <c r="W512" i="1" a="1"/>
  <c r="W512" i="1" s="1"/>
  <c r="Y512" i="1"/>
  <c r="U512" i="1"/>
  <c r="T516" i="1"/>
  <c r="Y516" i="1"/>
  <c r="U516" i="1"/>
  <c r="X516" i="1"/>
  <c r="S516" i="1"/>
  <c r="Z516" i="1"/>
  <c r="W516" i="1" a="1"/>
  <c r="W516" i="1" s="1"/>
  <c r="Z531" i="1"/>
  <c r="W531" i="1" a="1"/>
  <c r="W531" i="1" s="1"/>
  <c r="S531" i="1"/>
  <c r="Y531" i="1"/>
  <c r="U531" i="1"/>
  <c r="X531" i="1"/>
  <c r="T531" i="1"/>
  <c r="Z699" i="1"/>
  <c r="W699" i="1" a="1"/>
  <c r="W699" i="1" s="1"/>
  <c r="S699" i="1"/>
  <c r="Y699" i="1"/>
  <c r="U699" i="1"/>
  <c r="X699" i="1"/>
  <c r="T699" i="1"/>
  <c r="Z705" i="1"/>
  <c r="W705" i="1" a="1"/>
  <c r="W705" i="1" s="1"/>
  <c r="Y70" i="1"/>
  <c r="U141" i="1"/>
  <c r="X141" i="1"/>
  <c r="U145" i="1"/>
  <c r="X145" i="1"/>
  <c r="U149" i="1"/>
  <c r="X149" i="1"/>
  <c r="U153" i="1"/>
  <c r="X153" i="1"/>
  <c r="U157" i="1"/>
  <c r="X157" i="1"/>
  <c r="U161" i="1"/>
  <c r="X161" i="1"/>
  <c r="U165" i="1"/>
  <c r="X165" i="1"/>
  <c r="U169" i="1"/>
  <c r="X169" i="1"/>
  <c r="U173" i="1"/>
  <c r="X173" i="1"/>
  <c r="U177" i="1"/>
  <c r="X177" i="1"/>
  <c r="U181" i="1"/>
  <c r="X181" i="1"/>
  <c r="X185" i="1"/>
  <c r="U185" i="1"/>
  <c r="W185" i="1" a="1"/>
  <c r="W185" i="1" s="1"/>
  <c r="Z186" i="1"/>
  <c r="S189" i="1"/>
  <c r="S190" i="1"/>
  <c r="W190" i="1" a="1"/>
  <c r="W190" i="1" s="1"/>
  <c r="Z192" i="1"/>
  <c r="U198" i="1"/>
  <c r="X198" i="1"/>
  <c r="X201" i="1"/>
  <c r="U201" i="1"/>
  <c r="W201" i="1" a="1"/>
  <c r="W201" i="1" s="1"/>
  <c r="Z202" i="1"/>
  <c r="S205" i="1"/>
  <c r="S206" i="1"/>
  <c r="W206" i="1" a="1"/>
  <c r="W206" i="1" s="1"/>
  <c r="Z208" i="1"/>
  <c r="U214" i="1"/>
  <c r="X214" i="1"/>
  <c r="X217" i="1"/>
  <c r="U217" i="1"/>
  <c r="W217" i="1" a="1"/>
  <c r="W217" i="1" s="1"/>
  <c r="Z218" i="1"/>
  <c r="S221" i="1"/>
  <c r="S222" i="1"/>
  <c r="W222" i="1" a="1"/>
  <c r="W222" i="1" s="1"/>
  <c r="Z224" i="1"/>
  <c r="U230" i="1"/>
  <c r="X230" i="1"/>
  <c r="X233" i="1"/>
  <c r="U233" i="1"/>
  <c r="W233" i="1" a="1"/>
  <c r="W233" i="1" s="1"/>
  <c r="Z234" i="1"/>
  <c r="S237" i="1"/>
  <c r="S238" i="1"/>
  <c r="W238" i="1" a="1"/>
  <c r="W238" i="1" s="1"/>
  <c r="Z240" i="1"/>
  <c r="U246" i="1"/>
  <c r="X246" i="1"/>
  <c r="X249" i="1"/>
  <c r="U249" i="1"/>
  <c r="W249" i="1" a="1"/>
  <c r="W249" i="1" s="1"/>
  <c r="Z250" i="1"/>
  <c r="S253" i="1"/>
  <c r="S254" i="1"/>
  <c r="W254" i="1" a="1"/>
  <c r="W254" i="1" s="1"/>
  <c r="Z256" i="1"/>
  <c r="U262" i="1"/>
  <c r="X262" i="1"/>
  <c r="X265" i="1"/>
  <c r="U265" i="1"/>
  <c r="W265" i="1" a="1"/>
  <c r="W265" i="1" s="1"/>
  <c r="Z266" i="1"/>
  <c r="S269" i="1"/>
  <c r="S270" i="1"/>
  <c r="W270" i="1" a="1"/>
  <c r="W270" i="1" s="1"/>
  <c r="Z272" i="1"/>
  <c r="U278" i="1"/>
  <c r="X278" i="1"/>
  <c r="X281" i="1"/>
  <c r="U281" i="1"/>
  <c r="W281" i="1" a="1"/>
  <c r="W281" i="1" s="1"/>
  <c r="Z282" i="1"/>
  <c r="S285" i="1"/>
  <c r="S286" i="1"/>
  <c r="W286" i="1" a="1"/>
  <c r="W286" i="1" s="1"/>
  <c r="Z288" i="1"/>
  <c r="U294" i="1"/>
  <c r="X294" i="1"/>
  <c r="X297" i="1"/>
  <c r="U297" i="1"/>
  <c r="W297" i="1" a="1"/>
  <c r="W297" i="1" s="1"/>
  <c r="Z298" i="1"/>
  <c r="S301" i="1"/>
  <c r="S302" i="1"/>
  <c r="W302" i="1" a="1"/>
  <c r="W302" i="1" s="1"/>
  <c r="Z304" i="1"/>
  <c r="U310" i="1"/>
  <c r="X310" i="1"/>
  <c r="X313" i="1"/>
  <c r="U313" i="1"/>
  <c r="W313" i="1" a="1"/>
  <c r="W313" i="1" s="1"/>
  <c r="Z314" i="1"/>
  <c r="S317" i="1"/>
  <c r="S318" i="1"/>
  <c r="W318" i="1" a="1"/>
  <c r="W318" i="1" s="1"/>
  <c r="Z320" i="1"/>
  <c r="U326" i="1"/>
  <c r="X326" i="1"/>
  <c r="X329" i="1"/>
  <c r="U329" i="1"/>
  <c r="W329" i="1" a="1"/>
  <c r="W329" i="1" s="1"/>
  <c r="Z330" i="1"/>
  <c r="S333" i="1"/>
  <c r="S334" i="1"/>
  <c r="W334" i="1" a="1"/>
  <c r="W334" i="1" s="1"/>
  <c r="Z336" i="1"/>
  <c r="U342" i="1"/>
  <c r="X342" i="1"/>
  <c r="X345" i="1"/>
  <c r="U345" i="1"/>
  <c r="W345" i="1" a="1"/>
  <c r="W345" i="1" s="1"/>
  <c r="Z346" i="1"/>
  <c r="S349" i="1"/>
  <c r="S350" i="1"/>
  <c r="W350" i="1" a="1"/>
  <c r="W350" i="1" s="1"/>
  <c r="Z352" i="1"/>
  <c r="U358" i="1"/>
  <c r="X358" i="1"/>
  <c r="X361" i="1"/>
  <c r="U361" i="1"/>
  <c r="W361" i="1" a="1"/>
  <c r="W361" i="1" s="1"/>
  <c r="Z362" i="1"/>
  <c r="S365" i="1"/>
  <c r="S366" i="1"/>
  <c r="W366" i="1" a="1"/>
  <c r="W366" i="1" s="1"/>
  <c r="Z368" i="1"/>
  <c r="U374" i="1"/>
  <c r="X374" i="1"/>
  <c r="X377" i="1"/>
  <c r="U377" i="1"/>
  <c r="W377" i="1" a="1"/>
  <c r="W377" i="1" s="1"/>
  <c r="Z378" i="1"/>
  <c r="S381" i="1"/>
  <c r="S382" i="1"/>
  <c r="W382" i="1" a="1"/>
  <c r="W382" i="1" s="1"/>
  <c r="Z384" i="1"/>
  <c r="U390" i="1"/>
  <c r="X390" i="1"/>
  <c r="X393" i="1"/>
  <c r="U393" i="1"/>
  <c r="W393" i="1" a="1"/>
  <c r="W393" i="1" s="1"/>
  <c r="Z394" i="1"/>
  <c r="S397" i="1"/>
  <c r="S398" i="1"/>
  <c r="W398" i="1" a="1"/>
  <c r="W398" i="1" s="1"/>
  <c r="Z400" i="1"/>
  <c r="U406" i="1"/>
  <c r="X406" i="1"/>
  <c r="X409" i="1"/>
  <c r="U409" i="1"/>
  <c r="W409" i="1" a="1"/>
  <c r="W409" i="1" s="1"/>
  <c r="Y410" i="1"/>
  <c r="X410" i="1"/>
  <c r="U410" i="1"/>
  <c r="W410" i="1" a="1"/>
  <c r="W410" i="1" s="1"/>
  <c r="T411" i="1"/>
  <c r="X411" i="1"/>
  <c r="X413" i="1"/>
  <c r="U413" i="1"/>
  <c r="T413" i="1"/>
  <c r="Y413" i="1"/>
  <c r="T417" i="1"/>
  <c r="X417" i="1"/>
  <c r="S417" i="1"/>
  <c r="W417" i="1" a="1"/>
  <c r="W417" i="1" s="1"/>
  <c r="Z417" i="1"/>
  <c r="T424" i="1"/>
  <c r="U427" i="1"/>
  <c r="Z428" i="1"/>
  <c r="W428" i="1" a="1"/>
  <c r="W428" i="1" s="1"/>
  <c r="S428" i="1"/>
  <c r="X428" i="1"/>
  <c r="U432" i="1"/>
  <c r="U433" i="1"/>
  <c r="T441" i="1"/>
  <c r="Z441" i="1"/>
  <c r="Y441" i="1"/>
  <c r="U441" i="1"/>
  <c r="X441" i="1"/>
  <c r="T444" i="1"/>
  <c r="Y444" i="1"/>
  <c r="X446" i="1"/>
  <c r="U446" i="1"/>
  <c r="Z446" i="1"/>
  <c r="Y446" i="1"/>
  <c r="T446" i="1"/>
  <c r="Z456" i="1"/>
  <c r="W456" i="1" a="1"/>
  <c r="W456" i="1" s="1"/>
  <c r="S456" i="1"/>
  <c r="Y456" i="1"/>
  <c r="U456" i="1"/>
  <c r="X456" i="1"/>
  <c r="X458" i="1"/>
  <c r="U458" i="1"/>
  <c r="Y458" i="1"/>
  <c r="T458" i="1"/>
  <c r="S458" i="1"/>
  <c r="Y459" i="1"/>
  <c r="T459" i="1"/>
  <c r="W459" i="1" a="1"/>
  <c r="W459" i="1" s="1"/>
  <c r="S459" i="1"/>
  <c r="Z459" i="1"/>
  <c r="S461" i="1"/>
  <c r="Y461" i="1"/>
  <c r="Z463" i="1"/>
  <c r="Z468" i="1"/>
  <c r="W468" i="1" a="1"/>
  <c r="W468" i="1" s="1"/>
  <c r="S468" i="1"/>
  <c r="Y468" i="1"/>
  <c r="U468" i="1"/>
  <c r="X468" i="1"/>
  <c r="T468" i="1"/>
  <c r="Z469" i="1"/>
  <c r="W473" i="1" a="1"/>
  <c r="W473" i="1" s="1"/>
  <c r="W478" i="1" a="1"/>
  <c r="W478" i="1" s="1"/>
  <c r="Z480" i="1"/>
  <c r="W480" i="1" a="1"/>
  <c r="W480" i="1" s="1"/>
  <c r="S480" i="1"/>
  <c r="X480" i="1"/>
  <c r="T480" i="1"/>
  <c r="T481" i="1"/>
  <c r="X481" i="1"/>
  <c r="S481" i="1"/>
  <c r="W481" i="1" a="1"/>
  <c r="W481" i="1" s="1"/>
  <c r="Z481" i="1"/>
  <c r="W500" i="1" a="1"/>
  <c r="W500" i="1" s="1"/>
  <c r="T504" i="1"/>
  <c r="Z504" i="1"/>
  <c r="Y504" i="1"/>
  <c r="U504" i="1"/>
  <c r="W504" i="1" a="1"/>
  <c r="W504" i="1" s="1"/>
  <c r="S504" i="1"/>
  <c r="Z526" i="1"/>
  <c r="Z542" i="1"/>
  <c r="W542" i="1" a="1"/>
  <c r="W542" i="1" s="1"/>
  <c r="S542" i="1"/>
  <c r="X542" i="1"/>
  <c r="T542" i="1"/>
  <c r="U542" i="1"/>
  <c r="T664" i="1"/>
  <c r="Z664" i="1"/>
  <c r="W664" i="1" a="1"/>
  <c r="W664" i="1" s="1"/>
  <c r="S664" i="1"/>
  <c r="U664" i="1"/>
  <c r="Y664" i="1"/>
  <c r="X664" i="1"/>
  <c r="S70" i="1"/>
  <c r="W70" i="1" a="1"/>
  <c r="W70" i="1" s="1"/>
  <c r="T189" i="1"/>
  <c r="Y189" i="1"/>
  <c r="T190" i="1"/>
  <c r="Z191" i="1"/>
  <c r="W191" i="1" a="1"/>
  <c r="W191" i="1" s="1"/>
  <c r="S191" i="1"/>
  <c r="W192" i="1" a="1"/>
  <c r="W192" i="1" s="1"/>
  <c r="X197" i="1"/>
  <c r="U197" i="1"/>
  <c r="W197" i="1" a="1"/>
  <c r="W197" i="1" s="1"/>
  <c r="Z198" i="1"/>
  <c r="T205" i="1"/>
  <c r="Y205" i="1"/>
  <c r="T206" i="1"/>
  <c r="Z207" i="1"/>
  <c r="W207" i="1" a="1"/>
  <c r="W207" i="1" s="1"/>
  <c r="S207" i="1"/>
  <c r="W208" i="1" a="1"/>
  <c r="W208" i="1" s="1"/>
  <c r="X213" i="1"/>
  <c r="U213" i="1"/>
  <c r="W213" i="1" a="1"/>
  <c r="W213" i="1" s="1"/>
  <c r="Z214" i="1"/>
  <c r="T221" i="1"/>
  <c r="Y221" i="1"/>
  <c r="T222" i="1"/>
  <c r="Z223" i="1"/>
  <c r="W223" i="1" a="1"/>
  <c r="W223" i="1" s="1"/>
  <c r="S223" i="1"/>
  <c r="W224" i="1" a="1"/>
  <c r="W224" i="1" s="1"/>
  <c r="X229" i="1"/>
  <c r="U229" i="1"/>
  <c r="W229" i="1" a="1"/>
  <c r="W229" i="1" s="1"/>
  <c r="Z230" i="1"/>
  <c r="T237" i="1"/>
  <c r="Y237" i="1"/>
  <c r="T238" i="1"/>
  <c r="Z239" i="1"/>
  <c r="W239" i="1" a="1"/>
  <c r="W239" i="1" s="1"/>
  <c r="S239" i="1"/>
  <c r="W240" i="1" a="1"/>
  <c r="W240" i="1" s="1"/>
  <c r="X245" i="1"/>
  <c r="U245" i="1"/>
  <c r="W245" i="1" a="1"/>
  <c r="W245" i="1" s="1"/>
  <c r="Z246" i="1"/>
  <c r="T253" i="1"/>
  <c r="Y253" i="1"/>
  <c r="T254" i="1"/>
  <c r="Z255" i="1"/>
  <c r="W255" i="1" a="1"/>
  <c r="W255" i="1" s="1"/>
  <c r="S255" i="1"/>
  <c r="W256" i="1" a="1"/>
  <c r="W256" i="1" s="1"/>
  <c r="X261" i="1"/>
  <c r="U261" i="1"/>
  <c r="W261" i="1" a="1"/>
  <c r="W261" i="1" s="1"/>
  <c r="Z262" i="1"/>
  <c r="T269" i="1"/>
  <c r="Y269" i="1"/>
  <c r="T270" i="1"/>
  <c r="Z271" i="1"/>
  <c r="W271" i="1" a="1"/>
  <c r="W271" i="1" s="1"/>
  <c r="S271" i="1"/>
  <c r="W272" i="1" a="1"/>
  <c r="W272" i="1" s="1"/>
  <c r="X277" i="1"/>
  <c r="U277" i="1"/>
  <c r="W277" i="1" a="1"/>
  <c r="W277" i="1" s="1"/>
  <c r="Z278" i="1"/>
  <c r="T285" i="1"/>
  <c r="Y285" i="1"/>
  <c r="T286" i="1"/>
  <c r="Z287" i="1"/>
  <c r="W287" i="1" a="1"/>
  <c r="W287" i="1" s="1"/>
  <c r="S287" i="1"/>
  <c r="W288" i="1" a="1"/>
  <c r="W288" i="1" s="1"/>
  <c r="X293" i="1"/>
  <c r="U293" i="1"/>
  <c r="W293" i="1" a="1"/>
  <c r="W293" i="1" s="1"/>
  <c r="Z294" i="1"/>
  <c r="T301" i="1"/>
  <c r="Y301" i="1"/>
  <c r="T302" i="1"/>
  <c r="Z303" i="1"/>
  <c r="W303" i="1" a="1"/>
  <c r="W303" i="1" s="1"/>
  <c r="S303" i="1"/>
  <c r="W304" i="1" a="1"/>
  <c r="W304" i="1" s="1"/>
  <c r="X309" i="1"/>
  <c r="U309" i="1"/>
  <c r="W309" i="1" a="1"/>
  <c r="W309" i="1" s="1"/>
  <c r="Z310" i="1"/>
  <c r="T317" i="1"/>
  <c r="Y317" i="1"/>
  <c r="T318" i="1"/>
  <c r="Z319" i="1"/>
  <c r="W319" i="1" a="1"/>
  <c r="W319" i="1" s="1"/>
  <c r="S319" i="1"/>
  <c r="W320" i="1" a="1"/>
  <c r="W320" i="1" s="1"/>
  <c r="X325" i="1"/>
  <c r="U325" i="1"/>
  <c r="W325" i="1" a="1"/>
  <c r="W325" i="1" s="1"/>
  <c r="Z326" i="1"/>
  <c r="T333" i="1"/>
  <c r="Y333" i="1"/>
  <c r="T334" i="1"/>
  <c r="Z335" i="1"/>
  <c r="W335" i="1" a="1"/>
  <c r="W335" i="1" s="1"/>
  <c r="S335" i="1"/>
  <c r="W336" i="1" a="1"/>
  <c r="W336" i="1" s="1"/>
  <c r="X341" i="1"/>
  <c r="U341" i="1"/>
  <c r="W341" i="1" a="1"/>
  <c r="W341" i="1" s="1"/>
  <c r="Z342" i="1"/>
  <c r="T349" i="1"/>
  <c r="Y349" i="1"/>
  <c r="T350" i="1"/>
  <c r="Z351" i="1"/>
  <c r="W351" i="1" a="1"/>
  <c r="W351" i="1" s="1"/>
  <c r="S351" i="1"/>
  <c r="W352" i="1" a="1"/>
  <c r="W352" i="1" s="1"/>
  <c r="X357" i="1"/>
  <c r="U357" i="1"/>
  <c r="W357" i="1" a="1"/>
  <c r="W357" i="1" s="1"/>
  <c r="Z358" i="1"/>
  <c r="T365" i="1"/>
  <c r="Y365" i="1"/>
  <c r="T366" i="1"/>
  <c r="Z367" i="1"/>
  <c r="W367" i="1" a="1"/>
  <c r="W367" i="1" s="1"/>
  <c r="S367" i="1"/>
  <c r="W368" i="1" a="1"/>
  <c r="W368" i="1" s="1"/>
  <c r="X373" i="1"/>
  <c r="U373" i="1"/>
  <c r="W373" i="1" a="1"/>
  <c r="W373" i="1" s="1"/>
  <c r="Z374" i="1"/>
  <c r="T381" i="1"/>
  <c r="Y381" i="1"/>
  <c r="T382" i="1"/>
  <c r="Z383" i="1"/>
  <c r="W383" i="1" a="1"/>
  <c r="W383" i="1" s="1"/>
  <c r="S383" i="1"/>
  <c r="W384" i="1" a="1"/>
  <c r="W384" i="1" s="1"/>
  <c r="X389" i="1"/>
  <c r="U389" i="1"/>
  <c r="W389" i="1" a="1"/>
  <c r="W389" i="1" s="1"/>
  <c r="Z390" i="1"/>
  <c r="T397" i="1"/>
  <c r="Y397" i="1"/>
  <c r="T398" i="1"/>
  <c r="Z399" i="1"/>
  <c r="W399" i="1" a="1"/>
  <c r="W399" i="1" s="1"/>
  <c r="S399" i="1"/>
  <c r="W400" i="1" a="1"/>
  <c r="W400" i="1" s="1"/>
  <c r="X405" i="1"/>
  <c r="U405" i="1"/>
  <c r="W405" i="1" a="1"/>
  <c r="W405" i="1" s="1"/>
  <c r="Z406" i="1"/>
  <c r="U411" i="1"/>
  <c r="Z415" i="1"/>
  <c r="W415" i="1" a="1"/>
  <c r="W415" i="1" s="1"/>
  <c r="S415" i="1"/>
  <c r="Y415" i="1"/>
  <c r="T425" i="1"/>
  <c r="Z425" i="1"/>
  <c r="Y425" i="1"/>
  <c r="U425" i="1"/>
  <c r="X425" i="1"/>
  <c r="W426" i="1" a="1"/>
  <c r="W426" i="1" s="1"/>
  <c r="X430" i="1"/>
  <c r="U430" i="1"/>
  <c r="Z430" i="1"/>
  <c r="Y430" i="1"/>
  <c r="T430" i="1"/>
  <c r="Z436" i="1"/>
  <c r="W436" i="1" a="1"/>
  <c r="W436" i="1" s="1"/>
  <c r="S436" i="1"/>
  <c r="Y436" i="1"/>
  <c r="U436" i="1"/>
  <c r="X436" i="1"/>
  <c r="T436" i="1"/>
  <c r="T437" i="1"/>
  <c r="Y437" i="1"/>
  <c r="U437" i="1"/>
  <c r="X437" i="1"/>
  <c r="S437" i="1"/>
  <c r="U444" i="1"/>
  <c r="T445" i="1"/>
  <c r="W445" i="1" a="1"/>
  <c r="W445" i="1" s="1"/>
  <c r="Z445" i="1"/>
  <c r="X445" i="1"/>
  <c r="Y447" i="1"/>
  <c r="X447" i="1"/>
  <c r="U447" i="1"/>
  <c r="T447" i="1"/>
  <c r="Z447" i="1"/>
  <c r="W457" i="1" a="1"/>
  <c r="W457" i="1" s="1"/>
  <c r="Z460" i="1"/>
  <c r="W460" i="1" a="1"/>
  <c r="W460" i="1" s="1"/>
  <c r="S460" i="1"/>
  <c r="X460" i="1"/>
  <c r="U461" i="1"/>
  <c r="W462" i="1" a="1"/>
  <c r="W462" i="1" s="1"/>
  <c r="Z464" i="1"/>
  <c r="W464" i="1" a="1"/>
  <c r="W464" i="1" s="1"/>
  <c r="S464" i="1"/>
  <c r="X464" i="1"/>
  <c r="T464" i="1"/>
  <c r="T465" i="1"/>
  <c r="X465" i="1"/>
  <c r="S465" i="1"/>
  <c r="W465" i="1" a="1"/>
  <c r="W465" i="1" s="1"/>
  <c r="Z465" i="1"/>
  <c r="Z476" i="1"/>
  <c r="W476" i="1" a="1"/>
  <c r="W476" i="1" s="1"/>
  <c r="S476" i="1"/>
  <c r="Y476" i="1"/>
  <c r="U476" i="1"/>
  <c r="T477" i="1"/>
  <c r="W477" i="1" a="1"/>
  <c r="W477" i="1" s="1"/>
  <c r="Z477" i="1"/>
  <c r="Y477" i="1"/>
  <c r="U477" i="1"/>
  <c r="Y479" i="1"/>
  <c r="X479" i="1"/>
  <c r="U479" i="1"/>
  <c r="T479" i="1"/>
  <c r="W479" i="1" a="1"/>
  <c r="W479" i="1" s="1"/>
  <c r="S479" i="1"/>
  <c r="T485" i="1"/>
  <c r="Y485" i="1"/>
  <c r="U485" i="1"/>
  <c r="X485" i="1"/>
  <c r="S485" i="1"/>
  <c r="W485" i="1" a="1"/>
  <c r="W485" i="1" s="1"/>
  <c r="Z488" i="1"/>
  <c r="W488" i="1" a="1"/>
  <c r="W488" i="1" s="1"/>
  <c r="S488" i="1"/>
  <c r="Y488" i="1"/>
  <c r="U488" i="1"/>
  <c r="X488" i="1"/>
  <c r="T488" i="1"/>
  <c r="X489" i="1"/>
  <c r="Y489" i="1"/>
  <c r="U489" i="1"/>
  <c r="T489" i="1"/>
  <c r="W489" i="1" a="1"/>
  <c r="W489" i="1" s="1"/>
  <c r="S489" i="1"/>
  <c r="Z511" i="1"/>
  <c r="W511" i="1" a="1"/>
  <c r="W511" i="1" s="1"/>
  <c r="S511" i="1"/>
  <c r="X511" i="1"/>
  <c r="T511" i="1"/>
  <c r="Y511" i="1"/>
  <c r="U511" i="1"/>
  <c r="Z512" i="1"/>
  <c r="Z515" i="1"/>
  <c r="W515" i="1" a="1"/>
  <c r="W515" i="1" s="1"/>
  <c r="S515" i="1"/>
  <c r="Y515" i="1"/>
  <c r="U515" i="1"/>
  <c r="X515" i="1"/>
  <c r="T515" i="1"/>
  <c r="X556" i="1"/>
  <c r="U556" i="1"/>
  <c r="Z556" i="1"/>
  <c r="Y556" i="1"/>
  <c r="T556" i="1"/>
  <c r="W556" i="1" a="1"/>
  <c r="W556" i="1" s="1"/>
  <c r="S556" i="1"/>
  <c r="Y581" i="1"/>
  <c r="T581" i="1"/>
  <c r="W581" i="1" a="1"/>
  <c r="W581" i="1" s="1"/>
  <c r="S581" i="1"/>
  <c r="X581" i="1"/>
  <c r="U581" i="1"/>
  <c r="Z581" i="1"/>
  <c r="Z627" i="1"/>
  <c r="W627" i="1" a="1"/>
  <c r="W627" i="1" s="1"/>
  <c r="S627" i="1"/>
  <c r="Y627" i="1"/>
  <c r="U627" i="1"/>
  <c r="X627" i="1"/>
  <c r="T627" i="1"/>
  <c r="Z633" i="1"/>
  <c r="W633" i="1" a="1"/>
  <c r="W633" i="1" s="1"/>
  <c r="X685" i="1"/>
  <c r="U685" i="1"/>
  <c r="T685" i="1"/>
  <c r="W685" i="1" a="1"/>
  <c r="W685" i="1" s="1"/>
  <c r="Y685" i="1"/>
  <c r="S685" i="1"/>
  <c r="Z685" i="1"/>
  <c r="X474" i="1"/>
  <c r="U474" i="1"/>
  <c r="W474" i="1" a="1"/>
  <c r="W474" i="1" s="1"/>
  <c r="Z475" i="1"/>
  <c r="Y490" i="1"/>
  <c r="T490" i="1"/>
  <c r="W490" i="1" a="1"/>
  <c r="W490" i="1" s="1"/>
  <c r="S490" i="1"/>
  <c r="Z490" i="1"/>
  <c r="X493" i="1"/>
  <c r="U493" i="1"/>
  <c r="Z493" i="1"/>
  <c r="Y493" i="1"/>
  <c r="T493" i="1"/>
  <c r="T520" i="1"/>
  <c r="Z520" i="1"/>
  <c r="Y520" i="1"/>
  <c r="U520" i="1"/>
  <c r="X520" i="1"/>
  <c r="Z527" i="1"/>
  <c r="W527" i="1" a="1"/>
  <c r="W527" i="1" s="1"/>
  <c r="S527" i="1"/>
  <c r="X527" i="1"/>
  <c r="T527" i="1"/>
  <c r="T528" i="1"/>
  <c r="X528" i="1"/>
  <c r="S528" i="1"/>
  <c r="W528" i="1" a="1"/>
  <c r="W528" i="1" s="1"/>
  <c r="Z528" i="1"/>
  <c r="Z538" i="1"/>
  <c r="W538" i="1" a="1"/>
  <c r="W538" i="1" s="1"/>
  <c r="S538" i="1"/>
  <c r="U538" i="1"/>
  <c r="Y538" i="1"/>
  <c r="Y541" i="1"/>
  <c r="X541" i="1"/>
  <c r="U541" i="1"/>
  <c r="Z541" i="1"/>
  <c r="T541" i="1"/>
  <c r="S541" i="1"/>
  <c r="Z546" i="1"/>
  <c r="W546" i="1" a="1"/>
  <c r="W546" i="1" s="1"/>
  <c r="S546" i="1"/>
  <c r="Y546" i="1"/>
  <c r="U546" i="1"/>
  <c r="T546" i="1"/>
  <c r="X546" i="1"/>
  <c r="T547" i="1"/>
  <c r="Y547" i="1"/>
  <c r="U547" i="1"/>
  <c r="W547" i="1" a="1"/>
  <c r="W547" i="1" s="1"/>
  <c r="Z547" i="1"/>
  <c r="Z562" i="1"/>
  <c r="W562" i="1" a="1"/>
  <c r="W562" i="1" s="1"/>
  <c r="S562" i="1"/>
  <c r="Y562" i="1"/>
  <c r="U562" i="1"/>
  <c r="X562" i="1"/>
  <c r="Z590" i="1"/>
  <c r="W590" i="1" a="1"/>
  <c r="W590" i="1" s="1"/>
  <c r="S590" i="1"/>
  <c r="Y590" i="1"/>
  <c r="U590" i="1"/>
  <c r="X590" i="1"/>
  <c r="T590" i="1"/>
  <c r="T648" i="1"/>
  <c r="Z648" i="1"/>
  <c r="W648" i="1" a="1"/>
  <c r="W648" i="1" s="1"/>
  <c r="S648" i="1"/>
  <c r="U648" i="1"/>
  <c r="Y648" i="1"/>
  <c r="X648" i="1"/>
  <c r="Z663" i="1"/>
  <c r="W663" i="1" a="1"/>
  <c r="W663" i="1" s="1"/>
  <c r="S663" i="1"/>
  <c r="Y663" i="1"/>
  <c r="X663" i="1"/>
  <c r="T663" i="1"/>
  <c r="U663" i="1"/>
  <c r="X669" i="1"/>
  <c r="U669" i="1"/>
  <c r="T669" i="1"/>
  <c r="W669" i="1" a="1"/>
  <c r="W669" i="1" s="1"/>
  <c r="Y669" i="1"/>
  <c r="S669" i="1"/>
  <c r="T720" i="1"/>
  <c r="Z720" i="1"/>
  <c r="W720" i="1" a="1"/>
  <c r="W720" i="1" s="1"/>
  <c r="S720" i="1"/>
  <c r="U720" i="1"/>
  <c r="Y720" i="1"/>
  <c r="X720" i="1"/>
  <c r="Z723" i="1"/>
  <c r="W723" i="1" a="1"/>
  <c r="W723" i="1" s="1"/>
  <c r="S723" i="1"/>
  <c r="Y723" i="1"/>
  <c r="U723" i="1"/>
  <c r="X723" i="1"/>
  <c r="T723" i="1"/>
  <c r="Y754" i="1"/>
  <c r="Z754" i="1"/>
  <c r="W754" i="1" a="1"/>
  <c r="W754" i="1" s="1"/>
  <c r="S754" i="1"/>
  <c r="U754" i="1"/>
  <c r="X754" i="1"/>
  <c r="T754" i="1"/>
  <c r="T764" i="1"/>
  <c r="X764" i="1"/>
  <c r="U764" i="1"/>
  <c r="Z764" i="1"/>
  <c r="S764" i="1"/>
  <c r="W764" i="1" a="1"/>
  <c r="W764" i="1" s="1"/>
  <c r="Y764" i="1"/>
  <c r="X422" i="1"/>
  <c r="U422" i="1"/>
  <c r="W422" i="1" a="1"/>
  <c r="W422" i="1" s="1"/>
  <c r="Z423" i="1"/>
  <c r="X438" i="1"/>
  <c r="U438" i="1"/>
  <c r="W438" i="1" a="1"/>
  <c r="W438" i="1" s="1"/>
  <c r="Z439" i="1"/>
  <c r="X454" i="1"/>
  <c r="U454" i="1"/>
  <c r="W454" i="1" a="1"/>
  <c r="W454" i="1" s="1"/>
  <c r="Z455" i="1"/>
  <c r="X470" i="1"/>
  <c r="U470" i="1"/>
  <c r="W470" i="1" a="1"/>
  <c r="W470" i="1" s="1"/>
  <c r="Z471" i="1"/>
  <c r="S474" i="1"/>
  <c r="S475" i="1"/>
  <c r="W475" i="1" a="1"/>
  <c r="W475" i="1" s="1"/>
  <c r="X486" i="1"/>
  <c r="U486" i="1"/>
  <c r="W486" i="1" a="1"/>
  <c r="W486" i="1" s="1"/>
  <c r="Z487" i="1"/>
  <c r="U490" i="1"/>
  <c r="S493" i="1"/>
  <c r="Y494" i="1"/>
  <c r="X494" i="1"/>
  <c r="U494" i="1"/>
  <c r="T494" i="1"/>
  <c r="Z494" i="1"/>
  <c r="Z503" i="1"/>
  <c r="W503" i="1" a="1"/>
  <c r="W503" i="1" s="1"/>
  <c r="S503" i="1"/>
  <c r="Y503" i="1"/>
  <c r="U503" i="1"/>
  <c r="X503" i="1"/>
  <c r="X505" i="1"/>
  <c r="U505" i="1"/>
  <c r="Y505" i="1"/>
  <c r="T505" i="1"/>
  <c r="S505" i="1"/>
  <c r="Y506" i="1"/>
  <c r="T506" i="1"/>
  <c r="W506" i="1" a="1"/>
  <c r="W506" i="1" s="1"/>
  <c r="S506" i="1"/>
  <c r="Z506" i="1"/>
  <c r="X509" i="1"/>
  <c r="U509" i="1"/>
  <c r="Z509" i="1"/>
  <c r="Y509" i="1"/>
  <c r="T509" i="1"/>
  <c r="S520" i="1"/>
  <c r="U527" i="1"/>
  <c r="U528" i="1"/>
  <c r="W536" i="1" a="1"/>
  <c r="W536" i="1" s="1"/>
  <c r="Y537" i="1"/>
  <c r="T537" i="1"/>
  <c r="Z537" i="1"/>
  <c r="U537" i="1"/>
  <c r="X537" i="1"/>
  <c r="S537" i="1"/>
  <c r="T538" i="1"/>
  <c r="W543" i="1" a="1"/>
  <c r="W543" i="1" s="1"/>
  <c r="S547" i="1"/>
  <c r="T555" i="1"/>
  <c r="W555" i="1" a="1"/>
  <c r="W555" i="1" s="1"/>
  <c r="Z555" i="1"/>
  <c r="U555" i="1"/>
  <c r="Y555" i="1"/>
  <c r="T562" i="1"/>
  <c r="T575" i="1"/>
  <c r="Y575" i="1"/>
  <c r="U575" i="1"/>
  <c r="X575" i="1"/>
  <c r="S575" i="1"/>
  <c r="Z575" i="1"/>
  <c r="W575" i="1" a="1"/>
  <c r="W575" i="1" s="1"/>
  <c r="X580" i="1"/>
  <c r="U580" i="1"/>
  <c r="Y580" i="1"/>
  <c r="T580" i="1"/>
  <c r="S580" i="1"/>
  <c r="Z580" i="1"/>
  <c r="W580" i="1" a="1"/>
  <c r="W580" i="1" s="1"/>
  <c r="X584" i="1"/>
  <c r="U584" i="1"/>
  <c r="Z584" i="1"/>
  <c r="Y584" i="1"/>
  <c r="T584" i="1"/>
  <c r="W584" i="1" a="1"/>
  <c r="W584" i="1" s="1"/>
  <c r="S584" i="1"/>
  <c r="Y626" i="1"/>
  <c r="X626" i="1"/>
  <c r="U626" i="1"/>
  <c r="Z626" i="1"/>
  <c r="T626" i="1"/>
  <c r="W626" i="1" a="1"/>
  <c r="W626" i="1" s="1"/>
  <c r="S626" i="1"/>
  <c r="T632" i="1"/>
  <c r="Z632" i="1"/>
  <c r="W632" i="1" a="1"/>
  <c r="W632" i="1" s="1"/>
  <c r="S632" i="1"/>
  <c r="U632" i="1"/>
  <c r="X632" i="1"/>
  <c r="Z647" i="1"/>
  <c r="W647" i="1" a="1"/>
  <c r="W647" i="1" s="1"/>
  <c r="S647" i="1"/>
  <c r="Y647" i="1"/>
  <c r="X647" i="1"/>
  <c r="T647" i="1"/>
  <c r="U647" i="1"/>
  <c r="X653" i="1"/>
  <c r="U653" i="1"/>
  <c r="T653" i="1"/>
  <c r="W653" i="1" a="1"/>
  <c r="W653" i="1" s="1"/>
  <c r="Y653" i="1"/>
  <c r="S653" i="1"/>
  <c r="Y698" i="1"/>
  <c r="X698" i="1"/>
  <c r="U698" i="1"/>
  <c r="Z698" i="1"/>
  <c r="T698" i="1"/>
  <c r="W698" i="1" a="1"/>
  <c r="W698" i="1" s="1"/>
  <c r="S698" i="1"/>
  <c r="T704" i="1"/>
  <c r="Z704" i="1"/>
  <c r="W704" i="1" a="1"/>
  <c r="W704" i="1" s="1"/>
  <c r="S704" i="1"/>
  <c r="U704" i="1"/>
  <c r="X704" i="1"/>
  <c r="Z719" i="1"/>
  <c r="W719" i="1" a="1"/>
  <c r="W719" i="1" s="1"/>
  <c r="S719" i="1"/>
  <c r="Y719" i="1"/>
  <c r="X719" i="1"/>
  <c r="T719" i="1"/>
  <c r="U719" i="1"/>
  <c r="T735" i="1"/>
  <c r="Z735" i="1"/>
  <c r="Y735" i="1"/>
  <c r="U735" i="1"/>
  <c r="S735" i="1"/>
  <c r="X735" i="1"/>
  <c r="W735" i="1" a="1"/>
  <c r="W735" i="1" s="1"/>
  <c r="Y746" i="1"/>
  <c r="Z746" i="1"/>
  <c r="W746" i="1" a="1"/>
  <c r="W746" i="1" s="1"/>
  <c r="S746" i="1"/>
  <c r="U746" i="1"/>
  <c r="T746" i="1"/>
  <c r="X746" i="1"/>
  <c r="Z763" i="1"/>
  <c r="W763" i="1" a="1"/>
  <c r="W763" i="1" s="1"/>
  <c r="S763" i="1"/>
  <c r="T763" i="1"/>
  <c r="Y763" i="1"/>
  <c r="X763" i="1"/>
  <c r="U763" i="1"/>
  <c r="Y778" i="1"/>
  <c r="Z778" i="1"/>
  <c r="W778" i="1" a="1"/>
  <c r="W778" i="1" s="1"/>
  <c r="S778" i="1"/>
  <c r="U778" i="1"/>
  <c r="T778" i="1"/>
  <c r="X778" i="1"/>
  <c r="X418" i="1"/>
  <c r="U418" i="1"/>
  <c r="W418" i="1" a="1"/>
  <c r="W418" i="1" s="1"/>
  <c r="Z419" i="1"/>
  <c r="S422" i="1"/>
  <c r="S423" i="1"/>
  <c r="W423" i="1" a="1"/>
  <c r="W423" i="1" s="1"/>
  <c r="X434" i="1"/>
  <c r="U434" i="1"/>
  <c r="W434" i="1" a="1"/>
  <c r="W434" i="1" s="1"/>
  <c r="Z435" i="1"/>
  <c r="S438" i="1"/>
  <c r="S439" i="1"/>
  <c r="W439" i="1" a="1"/>
  <c r="W439" i="1" s="1"/>
  <c r="X450" i="1"/>
  <c r="U450" i="1"/>
  <c r="W450" i="1" a="1"/>
  <c r="W450" i="1" s="1"/>
  <c r="Z451" i="1"/>
  <c r="S454" i="1"/>
  <c r="S455" i="1"/>
  <c r="W455" i="1" a="1"/>
  <c r="W455" i="1" s="1"/>
  <c r="X466" i="1"/>
  <c r="U466" i="1"/>
  <c r="W466" i="1" a="1"/>
  <c r="W466" i="1" s="1"/>
  <c r="Z467" i="1"/>
  <c r="S470" i="1"/>
  <c r="S471" i="1"/>
  <c r="W471" i="1" a="1"/>
  <c r="W471" i="1" s="1"/>
  <c r="T474" i="1"/>
  <c r="Y474" i="1"/>
  <c r="T475" i="1"/>
  <c r="X482" i="1"/>
  <c r="U482" i="1"/>
  <c r="W482" i="1" a="1"/>
  <c r="W482" i="1" s="1"/>
  <c r="Z483" i="1"/>
  <c r="S486" i="1"/>
  <c r="S487" i="1"/>
  <c r="W487" i="1" a="1"/>
  <c r="W487" i="1" s="1"/>
  <c r="S494" i="1"/>
  <c r="Z495" i="1"/>
  <c r="W495" i="1" a="1"/>
  <c r="W495" i="1" s="1"/>
  <c r="S495" i="1"/>
  <c r="X495" i="1"/>
  <c r="T495" i="1"/>
  <c r="T496" i="1"/>
  <c r="X496" i="1"/>
  <c r="S496" i="1"/>
  <c r="W496" i="1" a="1"/>
  <c r="W496" i="1" s="1"/>
  <c r="Z496" i="1"/>
  <c r="T503" i="1"/>
  <c r="U506" i="1"/>
  <c r="S509" i="1"/>
  <c r="Y510" i="1"/>
  <c r="X510" i="1"/>
  <c r="U510" i="1"/>
  <c r="T510" i="1"/>
  <c r="Z510" i="1"/>
  <c r="Z519" i="1"/>
  <c r="W519" i="1" a="1"/>
  <c r="W519" i="1" s="1"/>
  <c r="S519" i="1"/>
  <c r="Y519" i="1"/>
  <c r="U519" i="1"/>
  <c r="X519" i="1"/>
  <c r="X521" i="1"/>
  <c r="U521" i="1"/>
  <c r="Y521" i="1"/>
  <c r="T521" i="1"/>
  <c r="S521" i="1"/>
  <c r="Y522" i="1"/>
  <c r="T522" i="1"/>
  <c r="W522" i="1" a="1"/>
  <c r="W522" i="1" s="1"/>
  <c r="S522" i="1"/>
  <c r="Z522" i="1"/>
  <c r="X525" i="1"/>
  <c r="U525" i="1"/>
  <c r="Z525" i="1"/>
  <c r="Y525" i="1"/>
  <c r="T525" i="1"/>
  <c r="W541" i="1" a="1"/>
  <c r="W541" i="1" s="1"/>
  <c r="W548" i="1" a="1"/>
  <c r="W548" i="1" s="1"/>
  <c r="Y549" i="1"/>
  <c r="W549" i="1" a="1"/>
  <c r="W549" i="1" s="1"/>
  <c r="S549" i="1"/>
  <c r="Z549" i="1"/>
  <c r="U549" i="1"/>
  <c r="X549" i="1"/>
  <c r="T549" i="1"/>
  <c r="Z550" i="1"/>
  <c r="W550" i="1" a="1"/>
  <c r="W550" i="1" s="1"/>
  <c r="S550" i="1"/>
  <c r="Y550" i="1"/>
  <c r="U550" i="1"/>
  <c r="X550" i="1"/>
  <c r="T550" i="1"/>
  <c r="T551" i="1"/>
  <c r="Z551" i="1"/>
  <c r="Y551" i="1"/>
  <c r="U551" i="1"/>
  <c r="X551" i="1"/>
  <c r="S551" i="1"/>
  <c r="X552" i="1"/>
  <c r="U552" i="1"/>
  <c r="Y552" i="1"/>
  <c r="T552" i="1"/>
  <c r="Z552" i="1"/>
  <c r="S552" i="1"/>
  <c r="S555" i="1"/>
  <c r="Y569" i="1"/>
  <c r="X569" i="1"/>
  <c r="U569" i="1"/>
  <c r="T569" i="1"/>
  <c r="W569" i="1" a="1"/>
  <c r="W569" i="1" s="1"/>
  <c r="S569" i="1"/>
  <c r="Z574" i="1"/>
  <c r="W574" i="1" a="1"/>
  <c r="W574" i="1" s="1"/>
  <c r="S574" i="1"/>
  <c r="Y574" i="1"/>
  <c r="U574" i="1"/>
  <c r="X574" i="1"/>
  <c r="T574" i="1"/>
  <c r="Z578" i="1"/>
  <c r="W578" i="1" a="1"/>
  <c r="W578" i="1" s="1"/>
  <c r="S578" i="1"/>
  <c r="Y578" i="1"/>
  <c r="U578" i="1"/>
  <c r="T578" i="1"/>
  <c r="Y587" i="1"/>
  <c r="T591" i="1"/>
  <c r="Y591" i="1"/>
  <c r="U591" i="1"/>
  <c r="X591" i="1"/>
  <c r="S591" i="1"/>
  <c r="W591" i="1" a="1"/>
  <c r="W591" i="1" s="1"/>
  <c r="T611" i="1"/>
  <c r="Z611" i="1"/>
  <c r="Y611" i="1"/>
  <c r="U611" i="1"/>
  <c r="W611" i="1" a="1"/>
  <c r="W611" i="1" s="1"/>
  <c r="S611" i="1"/>
  <c r="T624" i="1"/>
  <c r="Z624" i="1"/>
  <c r="W624" i="1" a="1"/>
  <c r="W624" i="1" s="1"/>
  <c r="S624" i="1"/>
  <c r="U624" i="1"/>
  <c r="Y624" i="1"/>
  <c r="X624" i="1"/>
  <c r="X637" i="1"/>
  <c r="U637" i="1"/>
  <c r="T637" i="1"/>
  <c r="W637" i="1" a="1"/>
  <c r="W637" i="1" s="1"/>
  <c r="Y637" i="1"/>
  <c r="S637" i="1"/>
  <c r="Z669" i="1"/>
  <c r="T680" i="1"/>
  <c r="Z680" i="1"/>
  <c r="W680" i="1" a="1"/>
  <c r="W680" i="1" s="1"/>
  <c r="S680" i="1"/>
  <c r="U680" i="1"/>
  <c r="Y680" i="1"/>
  <c r="X680" i="1"/>
  <c r="T696" i="1"/>
  <c r="Z696" i="1"/>
  <c r="W696" i="1" a="1"/>
  <c r="W696" i="1" s="1"/>
  <c r="S696" i="1"/>
  <c r="U696" i="1"/>
  <c r="Y696" i="1"/>
  <c r="X696" i="1"/>
  <c r="X709" i="1"/>
  <c r="U709" i="1"/>
  <c r="T709" i="1"/>
  <c r="W709" i="1" a="1"/>
  <c r="W709" i="1" s="1"/>
  <c r="Y709" i="1"/>
  <c r="S709" i="1"/>
  <c r="Y722" i="1"/>
  <c r="X722" i="1"/>
  <c r="U722" i="1"/>
  <c r="Z722" i="1"/>
  <c r="T722" i="1"/>
  <c r="W722" i="1" a="1"/>
  <c r="W722" i="1" s="1"/>
  <c r="S722" i="1"/>
  <c r="T728" i="1"/>
  <c r="Z728" i="1"/>
  <c r="W728" i="1" a="1"/>
  <c r="W728" i="1" s="1"/>
  <c r="S728" i="1"/>
  <c r="U728" i="1"/>
  <c r="X728" i="1"/>
  <c r="Z755" i="1"/>
  <c r="W755" i="1" a="1"/>
  <c r="W755" i="1" s="1"/>
  <c r="S755" i="1"/>
  <c r="T755" i="1"/>
  <c r="Y755" i="1"/>
  <c r="X755" i="1"/>
  <c r="U755" i="1"/>
  <c r="Z492" i="1"/>
  <c r="U498" i="1"/>
  <c r="X498" i="1"/>
  <c r="X501" i="1"/>
  <c r="U501" i="1"/>
  <c r="W501" i="1" a="1"/>
  <c r="W501" i="1" s="1"/>
  <c r="Z502" i="1"/>
  <c r="Z508" i="1"/>
  <c r="U514" i="1"/>
  <c r="X514" i="1"/>
  <c r="X517" i="1"/>
  <c r="U517" i="1"/>
  <c r="W517" i="1" a="1"/>
  <c r="W517" i="1" s="1"/>
  <c r="Z518" i="1"/>
  <c r="Z524" i="1"/>
  <c r="U530" i="1"/>
  <c r="X530" i="1"/>
  <c r="X533" i="1"/>
  <c r="U533" i="1"/>
  <c r="W533" i="1" a="1"/>
  <c r="W533" i="1" s="1"/>
  <c r="Z534" i="1"/>
  <c r="W534" i="1" a="1"/>
  <c r="W534" i="1" s="1"/>
  <c r="T539" i="1"/>
  <c r="W539" i="1" a="1"/>
  <c r="W539" i="1" s="1"/>
  <c r="X539" i="1"/>
  <c r="X540" i="1"/>
  <c r="U540" i="1"/>
  <c r="Z540" i="1"/>
  <c r="W540" i="1" a="1"/>
  <c r="W540" i="1" s="1"/>
  <c r="Z554" i="1"/>
  <c r="W554" i="1" a="1"/>
  <c r="W554" i="1" s="1"/>
  <c r="S554" i="1"/>
  <c r="X554" i="1"/>
  <c r="T563" i="1"/>
  <c r="Z563" i="1"/>
  <c r="Y563" i="1"/>
  <c r="U563" i="1"/>
  <c r="X563" i="1"/>
  <c r="Z570" i="1"/>
  <c r="W570" i="1" a="1"/>
  <c r="W570" i="1" s="1"/>
  <c r="S570" i="1"/>
  <c r="X570" i="1"/>
  <c r="T570" i="1"/>
  <c r="T571" i="1"/>
  <c r="X571" i="1"/>
  <c r="S571" i="1"/>
  <c r="W571" i="1" a="1"/>
  <c r="W571" i="1" s="1"/>
  <c r="Z571" i="1"/>
  <c r="Y585" i="1"/>
  <c r="X585" i="1"/>
  <c r="U585" i="1"/>
  <c r="T585" i="1"/>
  <c r="Z585" i="1"/>
  <c r="Z594" i="1"/>
  <c r="W594" i="1" a="1"/>
  <c r="W594" i="1" s="1"/>
  <c r="S594" i="1"/>
  <c r="Y594" i="1"/>
  <c r="U594" i="1"/>
  <c r="X594" i="1"/>
  <c r="X596" i="1"/>
  <c r="U596" i="1"/>
  <c r="Y596" i="1"/>
  <c r="T596" i="1"/>
  <c r="S596" i="1"/>
  <c r="Y597" i="1"/>
  <c r="T597" i="1"/>
  <c r="W597" i="1" a="1"/>
  <c r="W597" i="1" s="1"/>
  <c r="S597" i="1"/>
  <c r="Z597" i="1"/>
  <c r="X600" i="1"/>
  <c r="U600" i="1"/>
  <c r="Z600" i="1"/>
  <c r="Y600" i="1"/>
  <c r="T600" i="1"/>
  <c r="Z615" i="1"/>
  <c r="W615" i="1" a="1"/>
  <c r="W615" i="1" s="1"/>
  <c r="S615" i="1"/>
  <c r="U615" i="1"/>
  <c r="Y615" i="1"/>
  <c r="T615" i="1"/>
  <c r="Z631" i="1"/>
  <c r="W631" i="1" a="1"/>
  <c r="W631" i="1" s="1"/>
  <c r="S631" i="1"/>
  <c r="Y631" i="1"/>
  <c r="X631" i="1"/>
  <c r="T631" i="1"/>
  <c r="Y634" i="1"/>
  <c r="X634" i="1"/>
  <c r="U634" i="1"/>
  <c r="Z634" i="1"/>
  <c r="T634" i="1"/>
  <c r="W634" i="1" a="1"/>
  <c r="W634" i="1" s="1"/>
  <c r="Z635" i="1"/>
  <c r="W635" i="1" a="1"/>
  <c r="W635" i="1" s="1"/>
  <c r="S635" i="1"/>
  <c r="Y635" i="1"/>
  <c r="U635" i="1"/>
  <c r="X635" i="1"/>
  <c r="T635" i="1"/>
  <c r="Y650" i="1"/>
  <c r="X650" i="1"/>
  <c r="U650" i="1"/>
  <c r="Z650" i="1"/>
  <c r="T650" i="1"/>
  <c r="W650" i="1" a="1"/>
  <c r="W650" i="1" s="1"/>
  <c r="Z651" i="1"/>
  <c r="W651" i="1" a="1"/>
  <c r="W651" i="1" s="1"/>
  <c r="S651" i="1"/>
  <c r="Y651" i="1"/>
  <c r="U651" i="1"/>
  <c r="X651" i="1"/>
  <c r="T651" i="1"/>
  <c r="Y666" i="1"/>
  <c r="X666" i="1"/>
  <c r="U666" i="1"/>
  <c r="Z666" i="1"/>
  <c r="T666" i="1"/>
  <c r="W666" i="1" a="1"/>
  <c r="W666" i="1" s="1"/>
  <c r="Z667" i="1"/>
  <c r="W667" i="1" a="1"/>
  <c r="W667" i="1" s="1"/>
  <c r="S667" i="1"/>
  <c r="Y667" i="1"/>
  <c r="U667" i="1"/>
  <c r="X667" i="1"/>
  <c r="T667" i="1"/>
  <c r="Y682" i="1"/>
  <c r="X682" i="1"/>
  <c r="U682" i="1"/>
  <c r="Z682" i="1"/>
  <c r="T682" i="1"/>
  <c r="W682" i="1" a="1"/>
  <c r="W682" i="1" s="1"/>
  <c r="Z683" i="1"/>
  <c r="W683" i="1" a="1"/>
  <c r="W683" i="1" s="1"/>
  <c r="S683" i="1"/>
  <c r="Y683" i="1"/>
  <c r="U683" i="1"/>
  <c r="X683" i="1"/>
  <c r="T683" i="1"/>
  <c r="Z689" i="1"/>
  <c r="W689" i="1" a="1"/>
  <c r="W689" i="1" s="1"/>
  <c r="X693" i="1"/>
  <c r="U693" i="1"/>
  <c r="T693" i="1"/>
  <c r="W693" i="1" a="1"/>
  <c r="W693" i="1" s="1"/>
  <c r="Z693" i="1"/>
  <c r="Z703" i="1"/>
  <c r="W703" i="1" a="1"/>
  <c r="W703" i="1" s="1"/>
  <c r="S703" i="1"/>
  <c r="Y703" i="1"/>
  <c r="X703" i="1"/>
  <c r="T703" i="1"/>
  <c r="Y706" i="1"/>
  <c r="X706" i="1"/>
  <c r="U706" i="1"/>
  <c r="Z706" i="1"/>
  <c r="T706" i="1"/>
  <c r="W706" i="1" a="1"/>
  <c r="W706" i="1" s="1"/>
  <c r="Z707" i="1"/>
  <c r="W707" i="1" a="1"/>
  <c r="W707" i="1" s="1"/>
  <c r="S707" i="1"/>
  <c r="Y707" i="1"/>
  <c r="U707" i="1"/>
  <c r="X707" i="1"/>
  <c r="T707" i="1"/>
  <c r="Z727" i="1"/>
  <c r="W727" i="1" a="1"/>
  <c r="W727" i="1" s="1"/>
  <c r="S727" i="1"/>
  <c r="Y727" i="1"/>
  <c r="X727" i="1"/>
  <c r="T727" i="1"/>
  <c r="X733" i="1"/>
  <c r="U733" i="1"/>
  <c r="T733" i="1"/>
  <c r="W733" i="1" a="1"/>
  <c r="W733" i="1" s="1"/>
  <c r="Z733" i="1"/>
  <c r="X737" i="1"/>
  <c r="U737" i="1"/>
  <c r="Y737" i="1"/>
  <c r="Z737" i="1"/>
  <c r="T737" i="1"/>
  <c r="S737" i="1"/>
  <c r="W737" i="1" a="1"/>
  <c r="W737" i="1" s="1"/>
  <c r="Y762" i="1"/>
  <c r="Z762" i="1"/>
  <c r="W762" i="1" a="1"/>
  <c r="W762" i="1" s="1"/>
  <c r="S762" i="1"/>
  <c r="U762" i="1"/>
  <c r="X762" i="1"/>
  <c r="X769" i="1"/>
  <c r="U769" i="1"/>
  <c r="Y769" i="1"/>
  <c r="Z769" i="1"/>
  <c r="T769" i="1"/>
  <c r="S769" i="1"/>
  <c r="W769" i="1" a="1"/>
  <c r="W769" i="1" s="1"/>
  <c r="T793" i="1"/>
  <c r="Z793" i="1"/>
  <c r="W793" i="1" a="1"/>
  <c r="W793" i="1" s="1"/>
  <c r="S793" i="1"/>
  <c r="Y793" i="1"/>
  <c r="U793" i="1"/>
  <c r="X793" i="1"/>
  <c r="Z491" i="1"/>
  <c r="W491" i="1" a="1"/>
  <c r="W491" i="1" s="1"/>
  <c r="S491" i="1"/>
  <c r="W492" i="1" a="1"/>
  <c r="W492" i="1" s="1"/>
  <c r="X497" i="1"/>
  <c r="U497" i="1"/>
  <c r="W497" i="1" a="1"/>
  <c r="W497" i="1" s="1"/>
  <c r="Z498" i="1"/>
  <c r="Z507" i="1"/>
  <c r="W507" i="1" a="1"/>
  <c r="W507" i="1" s="1"/>
  <c r="S507" i="1"/>
  <c r="W508" i="1" a="1"/>
  <c r="W508" i="1" s="1"/>
  <c r="X513" i="1"/>
  <c r="U513" i="1"/>
  <c r="W513" i="1" a="1"/>
  <c r="W513" i="1" s="1"/>
  <c r="Z514" i="1"/>
  <c r="Z523" i="1"/>
  <c r="W523" i="1" a="1"/>
  <c r="W523" i="1" s="1"/>
  <c r="S523" i="1"/>
  <c r="W524" i="1" a="1"/>
  <c r="W524" i="1" s="1"/>
  <c r="X529" i="1"/>
  <c r="U529" i="1"/>
  <c r="W529" i="1" a="1"/>
  <c r="W529" i="1" s="1"/>
  <c r="Z530" i="1"/>
  <c r="T535" i="1"/>
  <c r="Z535" i="1"/>
  <c r="W535" i="1" a="1"/>
  <c r="W535" i="1" s="1"/>
  <c r="X536" i="1"/>
  <c r="U536" i="1"/>
  <c r="Y536" i="1"/>
  <c r="T536" i="1"/>
  <c r="T543" i="1"/>
  <c r="X543" i="1"/>
  <c r="S543" i="1"/>
  <c r="Y543" i="1"/>
  <c r="X548" i="1"/>
  <c r="U548" i="1"/>
  <c r="S548" i="1"/>
  <c r="Y548" i="1"/>
  <c r="Y553" i="1"/>
  <c r="T553" i="1"/>
  <c r="W553" i="1" a="1"/>
  <c r="W553" i="1" s="1"/>
  <c r="Y557" i="1"/>
  <c r="X557" i="1"/>
  <c r="U557" i="1"/>
  <c r="W557" i="1" a="1"/>
  <c r="W557" i="1" s="1"/>
  <c r="Z558" i="1"/>
  <c r="W558" i="1" a="1"/>
  <c r="W558" i="1" s="1"/>
  <c r="S558" i="1"/>
  <c r="X558" i="1"/>
  <c r="T558" i="1"/>
  <c r="Y558" i="1"/>
  <c r="T579" i="1"/>
  <c r="Z579" i="1"/>
  <c r="Y579" i="1"/>
  <c r="U579" i="1"/>
  <c r="X579" i="1"/>
  <c r="Z586" i="1"/>
  <c r="W586" i="1" a="1"/>
  <c r="W586" i="1" s="1"/>
  <c r="S586" i="1"/>
  <c r="X586" i="1"/>
  <c r="T586" i="1"/>
  <c r="T587" i="1"/>
  <c r="X587" i="1"/>
  <c r="S587" i="1"/>
  <c r="W587" i="1" a="1"/>
  <c r="W587" i="1" s="1"/>
  <c r="Z587" i="1"/>
  <c r="Y601" i="1"/>
  <c r="X601" i="1"/>
  <c r="U601" i="1"/>
  <c r="T601" i="1"/>
  <c r="Z601" i="1"/>
  <c r="Z606" i="1"/>
  <c r="W606" i="1" a="1"/>
  <c r="W606" i="1" s="1"/>
  <c r="S606" i="1"/>
  <c r="Y606" i="1"/>
  <c r="U606" i="1"/>
  <c r="X606" i="1"/>
  <c r="T606" i="1"/>
  <c r="T607" i="1"/>
  <c r="Y607" i="1"/>
  <c r="U607" i="1"/>
  <c r="X607" i="1"/>
  <c r="S607" i="1"/>
  <c r="Z610" i="1"/>
  <c r="W610" i="1" a="1"/>
  <c r="W610" i="1" s="1"/>
  <c r="S610" i="1"/>
  <c r="Y610" i="1"/>
  <c r="U610" i="1"/>
  <c r="X610" i="1"/>
  <c r="X612" i="1"/>
  <c r="U612" i="1"/>
  <c r="Y612" i="1"/>
  <c r="T612" i="1"/>
  <c r="S612" i="1"/>
  <c r="Y613" i="1"/>
  <c r="T613" i="1"/>
  <c r="W613" i="1" a="1"/>
  <c r="W613" i="1" s="1"/>
  <c r="S613" i="1"/>
  <c r="Z613" i="1"/>
  <c r="Z619" i="1"/>
  <c r="W619" i="1" a="1"/>
  <c r="W619" i="1" s="1"/>
  <c r="S619" i="1"/>
  <c r="X619" i="1"/>
  <c r="T619" i="1"/>
  <c r="U619" i="1"/>
  <c r="Y619" i="1"/>
  <c r="T620" i="1"/>
  <c r="X620" i="1"/>
  <c r="S620" i="1"/>
  <c r="W620" i="1" a="1"/>
  <c r="W620" i="1" s="1"/>
  <c r="Z620" i="1"/>
  <c r="Z639" i="1"/>
  <c r="W639" i="1" a="1"/>
  <c r="W639" i="1" s="1"/>
  <c r="S639" i="1"/>
  <c r="Y639" i="1"/>
  <c r="X639" i="1"/>
  <c r="T639" i="1"/>
  <c r="T640" i="1"/>
  <c r="Z640" i="1"/>
  <c r="W640" i="1" a="1"/>
  <c r="W640" i="1" s="1"/>
  <c r="S640" i="1"/>
  <c r="U640" i="1"/>
  <c r="X645" i="1"/>
  <c r="U645" i="1"/>
  <c r="T645" i="1"/>
  <c r="W645" i="1" a="1"/>
  <c r="W645" i="1" s="1"/>
  <c r="Z645" i="1"/>
  <c r="Z655" i="1"/>
  <c r="W655" i="1" a="1"/>
  <c r="W655" i="1" s="1"/>
  <c r="S655" i="1"/>
  <c r="Y655" i="1"/>
  <c r="X655" i="1"/>
  <c r="T655" i="1"/>
  <c r="T656" i="1"/>
  <c r="Z656" i="1"/>
  <c r="W656" i="1" a="1"/>
  <c r="W656" i="1" s="1"/>
  <c r="S656" i="1"/>
  <c r="U656" i="1"/>
  <c r="X661" i="1"/>
  <c r="U661" i="1"/>
  <c r="T661" i="1"/>
  <c r="W661" i="1" a="1"/>
  <c r="W661" i="1" s="1"/>
  <c r="Z661" i="1"/>
  <c r="Z671" i="1"/>
  <c r="W671" i="1" a="1"/>
  <c r="W671" i="1" s="1"/>
  <c r="S671" i="1"/>
  <c r="Y671" i="1"/>
  <c r="X671" i="1"/>
  <c r="T671" i="1"/>
  <c r="T672" i="1"/>
  <c r="Z672" i="1"/>
  <c r="W672" i="1" a="1"/>
  <c r="W672" i="1" s="1"/>
  <c r="S672" i="1"/>
  <c r="U672" i="1"/>
  <c r="X677" i="1"/>
  <c r="U677" i="1"/>
  <c r="T677" i="1"/>
  <c r="W677" i="1" a="1"/>
  <c r="W677" i="1" s="1"/>
  <c r="Z677" i="1"/>
  <c r="Z687" i="1"/>
  <c r="W687" i="1" a="1"/>
  <c r="W687" i="1" s="1"/>
  <c r="S687" i="1"/>
  <c r="Y687" i="1"/>
  <c r="X687" i="1"/>
  <c r="T687" i="1"/>
  <c r="T688" i="1"/>
  <c r="Z688" i="1"/>
  <c r="W688" i="1" a="1"/>
  <c r="W688" i="1" s="1"/>
  <c r="S688" i="1"/>
  <c r="U688" i="1"/>
  <c r="Y690" i="1"/>
  <c r="X690" i="1"/>
  <c r="U690" i="1"/>
  <c r="Z690" i="1"/>
  <c r="T690" i="1"/>
  <c r="W690" i="1" a="1"/>
  <c r="W690" i="1" s="1"/>
  <c r="Z691" i="1"/>
  <c r="W691" i="1" a="1"/>
  <c r="W691" i="1" s="1"/>
  <c r="S691" i="1"/>
  <c r="Y691" i="1"/>
  <c r="U691" i="1"/>
  <c r="X691" i="1"/>
  <c r="T691" i="1"/>
  <c r="Z711" i="1"/>
  <c r="W711" i="1" a="1"/>
  <c r="W711" i="1" s="1"/>
  <c r="S711" i="1"/>
  <c r="Y711" i="1"/>
  <c r="X711" i="1"/>
  <c r="T711" i="1"/>
  <c r="T712" i="1"/>
  <c r="Z712" i="1"/>
  <c r="W712" i="1" a="1"/>
  <c r="W712" i="1" s="1"/>
  <c r="S712" i="1"/>
  <c r="U712" i="1"/>
  <c r="X717" i="1"/>
  <c r="U717" i="1"/>
  <c r="T717" i="1"/>
  <c r="W717" i="1" a="1"/>
  <c r="W717" i="1" s="1"/>
  <c r="Z717" i="1"/>
  <c r="Y730" i="1"/>
  <c r="X730" i="1"/>
  <c r="U730" i="1"/>
  <c r="Z730" i="1"/>
  <c r="T730" i="1"/>
  <c r="W730" i="1" a="1"/>
  <c r="W730" i="1" s="1"/>
  <c r="Z731" i="1"/>
  <c r="W731" i="1" a="1"/>
  <c r="W731" i="1" s="1"/>
  <c r="S731" i="1"/>
  <c r="Y731" i="1"/>
  <c r="U731" i="1"/>
  <c r="X731" i="1"/>
  <c r="T731" i="1"/>
  <c r="Z743" i="1"/>
  <c r="W743" i="1" a="1"/>
  <c r="W743" i="1" s="1"/>
  <c r="S743" i="1"/>
  <c r="T743" i="1"/>
  <c r="U743" i="1"/>
  <c r="Y743" i="1"/>
  <c r="X743" i="1"/>
  <c r="X753" i="1"/>
  <c r="U753" i="1"/>
  <c r="Y753" i="1"/>
  <c r="Z753" i="1"/>
  <c r="T753" i="1"/>
  <c r="S753" i="1"/>
  <c r="W753" i="1" a="1"/>
  <c r="W753" i="1" s="1"/>
  <c r="Z767" i="1"/>
  <c r="W767" i="1" a="1"/>
  <c r="W767" i="1" s="1"/>
  <c r="S767" i="1"/>
  <c r="T767" i="1"/>
  <c r="U767" i="1"/>
  <c r="Y767" i="1"/>
  <c r="X767" i="1"/>
  <c r="Z771" i="1"/>
  <c r="W771" i="1" a="1"/>
  <c r="W771" i="1" s="1"/>
  <c r="S771" i="1"/>
  <c r="T771" i="1"/>
  <c r="Y771" i="1"/>
  <c r="X771" i="1"/>
  <c r="T772" i="1"/>
  <c r="X772" i="1"/>
  <c r="U772" i="1"/>
  <c r="Z772" i="1"/>
  <c r="S772" i="1"/>
  <c r="Y772" i="1"/>
  <c r="W772" i="1" a="1"/>
  <c r="W772" i="1" s="1"/>
  <c r="Z784" i="1"/>
  <c r="W784" i="1" a="1"/>
  <c r="W784" i="1" s="1"/>
  <c r="S784" i="1"/>
  <c r="X784" i="1"/>
  <c r="T784" i="1"/>
  <c r="Y784" i="1"/>
  <c r="U784" i="1"/>
  <c r="X564" i="1"/>
  <c r="U564" i="1"/>
  <c r="Y564" i="1"/>
  <c r="T564" i="1"/>
  <c r="S564" i="1"/>
  <c r="Y565" i="1"/>
  <c r="T565" i="1"/>
  <c r="W565" i="1" a="1"/>
  <c r="W565" i="1" s="1"/>
  <c r="S565" i="1"/>
  <c r="Z565" i="1"/>
  <c r="X568" i="1"/>
  <c r="U568" i="1"/>
  <c r="Z568" i="1"/>
  <c r="Y568" i="1"/>
  <c r="T568" i="1"/>
  <c r="S579" i="1"/>
  <c r="U586" i="1"/>
  <c r="U587" i="1"/>
  <c r="T595" i="1"/>
  <c r="Z595" i="1"/>
  <c r="Y595" i="1"/>
  <c r="U595" i="1"/>
  <c r="X595" i="1"/>
  <c r="S601" i="1"/>
  <c r="Z602" i="1"/>
  <c r="W602" i="1" a="1"/>
  <c r="W602" i="1" s="1"/>
  <c r="S602" i="1"/>
  <c r="X602" i="1"/>
  <c r="T602" i="1"/>
  <c r="T603" i="1"/>
  <c r="X603" i="1"/>
  <c r="S603" i="1"/>
  <c r="W603" i="1" a="1"/>
  <c r="W603" i="1" s="1"/>
  <c r="Z603" i="1"/>
  <c r="T610" i="1"/>
  <c r="U613" i="1"/>
  <c r="U620" i="1"/>
  <c r="Z623" i="1"/>
  <c r="W623" i="1" a="1"/>
  <c r="W623" i="1" s="1"/>
  <c r="S623" i="1"/>
  <c r="Y623" i="1"/>
  <c r="X623" i="1"/>
  <c r="T623" i="1"/>
  <c r="X629" i="1"/>
  <c r="U629" i="1"/>
  <c r="T629" i="1"/>
  <c r="W629" i="1" a="1"/>
  <c r="W629" i="1" s="1"/>
  <c r="Z629" i="1"/>
  <c r="U639" i="1"/>
  <c r="Y642" i="1"/>
  <c r="X642" i="1"/>
  <c r="U642" i="1"/>
  <c r="Z642" i="1"/>
  <c r="T642" i="1"/>
  <c r="W642" i="1" a="1"/>
  <c r="W642" i="1" s="1"/>
  <c r="Z643" i="1"/>
  <c r="W643" i="1" a="1"/>
  <c r="W643" i="1" s="1"/>
  <c r="S643" i="1"/>
  <c r="Y643" i="1"/>
  <c r="U643" i="1"/>
  <c r="X643" i="1"/>
  <c r="T643" i="1"/>
  <c r="S645" i="1"/>
  <c r="U655" i="1"/>
  <c r="Y658" i="1"/>
  <c r="X658" i="1"/>
  <c r="U658" i="1"/>
  <c r="Z658" i="1"/>
  <c r="T658" i="1"/>
  <c r="W658" i="1" a="1"/>
  <c r="W658" i="1" s="1"/>
  <c r="Z659" i="1"/>
  <c r="W659" i="1" a="1"/>
  <c r="W659" i="1" s="1"/>
  <c r="S659" i="1"/>
  <c r="Y659" i="1"/>
  <c r="U659" i="1"/>
  <c r="X659" i="1"/>
  <c r="T659" i="1"/>
  <c r="S661" i="1"/>
  <c r="U671" i="1"/>
  <c r="Y674" i="1"/>
  <c r="X674" i="1"/>
  <c r="U674" i="1"/>
  <c r="Z674" i="1"/>
  <c r="T674" i="1"/>
  <c r="W674" i="1" a="1"/>
  <c r="W674" i="1" s="1"/>
  <c r="Z675" i="1"/>
  <c r="W675" i="1" a="1"/>
  <c r="W675" i="1" s="1"/>
  <c r="S675" i="1"/>
  <c r="Y675" i="1"/>
  <c r="U675" i="1"/>
  <c r="X675" i="1"/>
  <c r="T675" i="1"/>
  <c r="S677" i="1"/>
  <c r="U687" i="1"/>
  <c r="S690" i="1"/>
  <c r="Z695" i="1"/>
  <c r="W695" i="1" a="1"/>
  <c r="W695" i="1" s="1"/>
  <c r="S695" i="1"/>
  <c r="Y695" i="1"/>
  <c r="X695" i="1"/>
  <c r="T695" i="1"/>
  <c r="X701" i="1"/>
  <c r="U701" i="1"/>
  <c r="T701" i="1"/>
  <c r="W701" i="1" a="1"/>
  <c r="W701" i="1" s="1"/>
  <c r="Z701" i="1"/>
  <c r="U711" i="1"/>
  <c r="Y714" i="1"/>
  <c r="X714" i="1"/>
  <c r="U714" i="1"/>
  <c r="Z714" i="1"/>
  <c r="T714" i="1"/>
  <c r="W714" i="1" a="1"/>
  <c r="W714" i="1" s="1"/>
  <c r="Z715" i="1"/>
  <c r="W715" i="1" a="1"/>
  <c r="W715" i="1" s="1"/>
  <c r="S715" i="1"/>
  <c r="Y715" i="1"/>
  <c r="U715" i="1"/>
  <c r="X715" i="1"/>
  <c r="T715" i="1"/>
  <c r="S717" i="1"/>
  <c r="Z721" i="1"/>
  <c r="W721" i="1" a="1"/>
  <c r="W721" i="1" s="1"/>
  <c r="X725" i="1"/>
  <c r="U725" i="1"/>
  <c r="T725" i="1"/>
  <c r="W725" i="1" a="1"/>
  <c r="W725" i="1" s="1"/>
  <c r="Z725" i="1"/>
  <c r="S730" i="1"/>
  <c r="X736" i="1"/>
  <c r="U736" i="1"/>
  <c r="Y736" i="1"/>
  <c r="T736" i="1"/>
  <c r="S736" i="1"/>
  <c r="Z736" i="1"/>
  <c r="W736" i="1" a="1"/>
  <c r="W736" i="1" s="1"/>
  <c r="T756" i="1"/>
  <c r="X756" i="1"/>
  <c r="U756" i="1"/>
  <c r="Z756" i="1"/>
  <c r="S756" i="1"/>
  <c r="Y756" i="1"/>
  <c r="W756" i="1" a="1"/>
  <c r="W756" i="1" s="1"/>
  <c r="U771" i="1"/>
  <c r="T805" i="1"/>
  <c r="Z805" i="1"/>
  <c r="W805" i="1" a="1"/>
  <c r="W805" i="1" s="1"/>
  <c r="S805" i="1"/>
  <c r="X805" i="1"/>
  <c r="U805" i="1"/>
  <c r="Y820" i="1"/>
  <c r="T820" i="1"/>
  <c r="W820" i="1" a="1"/>
  <c r="W820" i="1" s="1"/>
  <c r="S820" i="1"/>
  <c r="U820" i="1"/>
  <c r="X820" i="1"/>
  <c r="T826" i="1"/>
  <c r="X826" i="1"/>
  <c r="S826" i="1"/>
  <c r="W826" i="1" a="1"/>
  <c r="W826" i="1" s="1"/>
  <c r="U826" i="1"/>
  <c r="Y826" i="1"/>
  <c r="Z826" i="1"/>
  <c r="Y856" i="1"/>
  <c r="X856" i="1"/>
  <c r="U856" i="1"/>
  <c r="T856" i="1"/>
  <c r="W856" i="1" a="1"/>
  <c r="W856" i="1" s="1"/>
  <c r="Z856" i="1"/>
  <c r="Z952" i="1"/>
  <c r="W952" i="1" a="1"/>
  <c r="W952" i="1" s="1"/>
  <c r="S952" i="1"/>
  <c r="Y952" i="1"/>
  <c r="U952" i="1"/>
  <c r="T952" i="1"/>
  <c r="X952" i="1"/>
  <c r="X964" i="1"/>
  <c r="U964" i="1"/>
  <c r="S964" i="1"/>
  <c r="Z964" i="1"/>
  <c r="T964" i="1"/>
  <c r="Y964" i="1"/>
  <c r="W964" i="1" a="1"/>
  <c r="W964" i="1" s="1"/>
  <c r="X544" i="1"/>
  <c r="U544" i="1"/>
  <c r="W544" i="1" a="1"/>
  <c r="W544" i="1" s="1"/>
  <c r="Z545" i="1"/>
  <c r="X560" i="1"/>
  <c r="U560" i="1"/>
  <c r="W560" i="1" a="1"/>
  <c r="W560" i="1" s="1"/>
  <c r="Z561" i="1"/>
  <c r="Z567" i="1"/>
  <c r="U573" i="1"/>
  <c r="X573" i="1"/>
  <c r="X576" i="1"/>
  <c r="U576" i="1"/>
  <c r="W576" i="1" a="1"/>
  <c r="W576" i="1" s="1"/>
  <c r="Z577" i="1"/>
  <c r="Z583" i="1"/>
  <c r="U589" i="1"/>
  <c r="X589" i="1"/>
  <c r="X592" i="1"/>
  <c r="U592" i="1"/>
  <c r="W592" i="1" a="1"/>
  <c r="W592" i="1" s="1"/>
  <c r="Z593" i="1"/>
  <c r="Z599" i="1"/>
  <c r="U605" i="1"/>
  <c r="X605" i="1"/>
  <c r="X608" i="1"/>
  <c r="U608" i="1"/>
  <c r="W608" i="1" a="1"/>
  <c r="W608" i="1" s="1"/>
  <c r="Z609" i="1"/>
  <c r="Y614" i="1"/>
  <c r="T614" i="1"/>
  <c r="W614" i="1" a="1"/>
  <c r="W614" i="1" s="1"/>
  <c r="Y618" i="1"/>
  <c r="X618" i="1"/>
  <c r="U618" i="1"/>
  <c r="W618" i="1" a="1"/>
  <c r="W618" i="1" s="1"/>
  <c r="Z759" i="1"/>
  <c r="W759" i="1" a="1"/>
  <c r="W759" i="1" s="1"/>
  <c r="S759" i="1"/>
  <c r="T759" i="1"/>
  <c r="U759" i="1"/>
  <c r="Y759" i="1"/>
  <c r="X761" i="1"/>
  <c r="U761" i="1"/>
  <c r="Y761" i="1"/>
  <c r="Z761" i="1"/>
  <c r="T761" i="1"/>
  <c r="S761" i="1"/>
  <c r="W761" i="1" a="1"/>
  <c r="W761" i="1" s="1"/>
  <c r="X802" i="1"/>
  <c r="U802" i="1"/>
  <c r="T802" i="1"/>
  <c r="W802" i="1" a="1"/>
  <c r="W802" i="1" s="1"/>
  <c r="Y802" i="1"/>
  <c r="Z804" i="1"/>
  <c r="W804" i="1" a="1"/>
  <c r="W804" i="1" s="1"/>
  <c r="S804" i="1"/>
  <c r="Y804" i="1"/>
  <c r="X804" i="1"/>
  <c r="T804" i="1"/>
  <c r="U804" i="1"/>
  <c r="Z817" i="1"/>
  <c r="W817" i="1" a="1"/>
  <c r="W817" i="1" s="1"/>
  <c r="S817" i="1"/>
  <c r="Y817" i="1"/>
  <c r="U817" i="1"/>
  <c r="T817" i="1"/>
  <c r="X817" i="1"/>
  <c r="T830" i="1"/>
  <c r="Y830" i="1"/>
  <c r="U830" i="1"/>
  <c r="X830" i="1"/>
  <c r="S830" i="1"/>
  <c r="W830" i="1" a="1"/>
  <c r="W830" i="1" s="1"/>
  <c r="Z845" i="1"/>
  <c r="W845" i="1" a="1"/>
  <c r="W845" i="1" s="1"/>
  <c r="S845" i="1"/>
  <c r="Y845" i="1"/>
  <c r="U845" i="1"/>
  <c r="X845" i="1"/>
  <c r="T845" i="1"/>
  <c r="Y929" i="1"/>
  <c r="X929" i="1"/>
  <c r="U929" i="1"/>
  <c r="Z929" i="1"/>
  <c r="T929" i="1"/>
  <c r="S929" i="1"/>
  <c r="W929" i="1" a="1"/>
  <c r="W929" i="1" s="1"/>
  <c r="Z566" i="1"/>
  <c r="W566" i="1" a="1"/>
  <c r="W566" i="1" s="1"/>
  <c r="S566" i="1"/>
  <c r="W567" i="1" a="1"/>
  <c r="W567" i="1" s="1"/>
  <c r="X572" i="1"/>
  <c r="U572" i="1"/>
  <c r="W572" i="1" a="1"/>
  <c r="W572" i="1" s="1"/>
  <c r="Z573" i="1"/>
  <c r="Z582" i="1"/>
  <c r="W582" i="1" a="1"/>
  <c r="W582" i="1" s="1"/>
  <c r="S582" i="1"/>
  <c r="W583" i="1" a="1"/>
  <c r="W583" i="1" s="1"/>
  <c r="X588" i="1"/>
  <c r="U588" i="1"/>
  <c r="W588" i="1" a="1"/>
  <c r="W588" i="1" s="1"/>
  <c r="Z589" i="1"/>
  <c r="Z598" i="1"/>
  <c r="W598" i="1" a="1"/>
  <c r="W598" i="1" s="1"/>
  <c r="S598" i="1"/>
  <c r="W599" i="1" a="1"/>
  <c r="W599" i="1" s="1"/>
  <c r="X604" i="1"/>
  <c r="U604" i="1"/>
  <c r="W604" i="1" a="1"/>
  <c r="W604" i="1" s="1"/>
  <c r="Z605" i="1"/>
  <c r="T616" i="1"/>
  <c r="W616" i="1" a="1"/>
  <c r="W616" i="1" s="1"/>
  <c r="X616" i="1"/>
  <c r="X617" i="1"/>
  <c r="U617" i="1"/>
  <c r="Z617" i="1"/>
  <c r="W617" i="1" a="1"/>
  <c r="W617" i="1" s="1"/>
  <c r="T628" i="1"/>
  <c r="Z628" i="1"/>
  <c r="W628" i="1" a="1"/>
  <c r="W628" i="1" s="1"/>
  <c r="S628" i="1"/>
  <c r="Y628" i="1"/>
  <c r="T636" i="1"/>
  <c r="Z636" i="1"/>
  <c r="W636" i="1" a="1"/>
  <c r="W636" i="1" s="1"/>
  <c r="S636" i="1"/>
  <c r="Y636" i="1"/>
  <c r="T644" i="1"/>
  <c r="Z644" i="1"/>
  <c r="W644" i="1" a="1"/>
  <c r="W644" i="1" s="1"/>
  <c r="S644" i="1"/>
  <c r="Y644" i="1"/>
  <c r="T652" i="1"/>
  <c r="Z652" i="1"/>
  <c r="W652" i="1" a="1"/>
  <c r="W652" i="1" s="1"/>
  <c r="S652" i="1"/>
  <c r="Y652" i="1"/>
  <c r="T660" i="1"/>
  <c r="Z660" i="1"/>
  <c r="W660" i="1" a="1"/>
  <c r="W660" i="1" s="1"/>
  <c r="S660" i="1"/>
  <c r="Y660" i="1"/>
  <c r="T668" i="1"/>
  <c r="Z668" i="1"/>
  <c r="W668" i="1" a="1"/>
  <c r="W668" i="1" s="1"/>
  <c r="S668" i="1"/>
  <c r="Y668" i="1"/>
  <c r="T676" i="1"/>
  <c r="Z676" i="1"/>
  <c r="W676" i="1" a="1"/>
  <c r="W676" i="1" s="1"/>
  <c r="S676" i="1"/>
  <c r="Y676" i="1"/>
  <c r="T684" i="1"/>
  <c r="Z684" i="1"/>
  <c r="W684" i="1" a="1"/>
  <c r="W684" i="1" s="1"/>
  <c r="S684" i="1"/>
  <c r="Y684" i="1"/>
  <c r="T692" i="1"/>
  <c r="Z692" i="1"/>
  <c r="W692" i="1" a="1"/>
  <c r="W692" i="1" s="1"/>
  <c r="S692" i="1"/>
  <c r="Y692" i="1"/>
  <c r="T700" i="1"/>
  <c r="Z700" i="1"/>
  <c r="W700" i="1" a="1"/>
  <c r="W700" i="1" s="1"/>
  <c r="S700" i="1"/>
  <c r="Y700" i="1"/>
  <c r="T708" i="1"/>
  <c r="Z708" i="1"/>
  <c r="W708" i="1" a="1"/>
  <c r="W708" i="1" s="1"/>
  <c r="S708" i="1"/>
  <c r="Y708" i="1"/>
  <c r="T716" i="1"/>
  <c r="Z716" i="1"/>
  <c r="W716" i="1" a="1"/>
  <c r="W716" i="1" s="1"/>
  <c r="S716" i="1"/>
  <c r="Y716" i="1"/>
  <c r="T724" i="1"/>
  <c r="Z724" i="1"/>
  <c r="W724" i="1" a="1"/>
  <c r="W724" i="1" s="1"/>
  <c r="S724" i="1"/>
  <c r="Y724" i="1"/>
  <c r="T732" i="1"/>
  <c r="Z732" i="1"/>
  <c r="W732" i="1" a="1"/>
  <c r="W732" i="1" s="1"/>
  <c r="S732" i="1"/>
  <c r="Y732" i="1"/>
  <c r="Z739" i="1"/>
  <c r="W739" i="1" a="1"/>
  <c r="W739" i="1" s="1"/>
  <c r="S739" i="1"/>
  <c r="T739" i="1"/>
  <c r="Y739" i="1"/>
  <c r="X739" i="1"/>
  <c r="T740" i="1"/>
  <c r="X740" i="1"/>
  <c r="U740" i="1"/>
  <c r="Z740" i="1"/>
  <c r="S740" i="1"/>
  <c r="Y740" i="1"/>
  <c r="T785" i="1"/>
  <c r="Z785" i="1"/>
  <c r="W785" i="1" a="1"/>
  <c r="W785" i="1" s="1"/>
  <c r="Y785" i="1"/>
  <c r="S785" i="1"/>
  <c r="U785" i="1"/>
  <c r="X785" i="1"/>
  <c r="T801" i="1"/>
  <c r="Z801" i="1"/>
  <c r="W801" i="1" a="1"/>
  <c r="W801" i="1" s="1"/>
  <c r="S801" i="1"/>
  <c r="Y801" i="1"/>
  <c r="U801" i="1"/>
  <c r="X801" i="1"/>
  <c r="T822" i="1"/>
  <c r="W822" i="1" a="1"/>
  <c r="W822" i="1" s="1"/>
  <c r="Z822" i="1"/>
  <c r="U822" i="1"/>
  <c r="X822" i="1"/>
  <c r="S822" i="1"/>
  <c r="T862" i="1"/>
  <c r="Z862" i="1"/>
  <c r="X862" i="1"/>
  <c r="S862" i="1"/>
  <c r="W862" i="1" a="1"/>
  <c r="W862" i="1" s="1"/>
  <c r="U862" i="1"/>
  <c r="Y862" i="1"/>
  <c r="Z888" i="1"/>
  <c r="W888" i="1" a="1"/>
  <c r="W888" i="1" s="1"/>
  <c r="T891" i="1"/>
  <c r="Z891" i="1"/>
  <c r="W891" i="1" a="1"/>
  <c r="W891" i="1" s="1"/>
  <c r="S891" i="1"/>
  <c r="Y891" i="1"/>
  <c r="U891" i="1"/>
  <c r="X891" i="1"/>
  <c r="T899" i="1"/>
  <c r="Z899" i="1"/>
  <c r="W899" i="1" a="1"/>
  <c r="W899" i="1" s="1"/>
  <c r="S899" i="1"/>
  <c r="Y899" i="1"/>
  <c r="U899" i="1"/>
  <c r="X899" i="1"/>
  <c r="X621" i="1"/>
  <c r="U621" i="1"/>
  <c r="W621" i="1" a="1"/>
  <c r="W621" i="1" s="1"/>
  <c r="Y622" i="1"/>
  <c r="X622" i="1"/>
  <c r="U622" i="1"/>
  <c r="W622" i="1" a="1"/>
  <c r="W622" i="1" s="1"/>
  <c r="X625" i="1"/>
  <c r="U625" i="1"/>
  <c r="T625" i="1"/>
  <c r="Y625" i="1"/>
  <c r="Y630" i="1"/>
  <c r="X630" i="1"/>
  <c r="U630" i="1"/>
  <c r="W630" i="1" a="1"/>
  <c r="W630" i="1" s="1"/>
  <c r="X633" i="1"/>
  <c r="U633" i="1"/>
  <c r="T633" i="1"/>
  <c r="Y633" i="1"/>
  <c r="Y638" i="1"/>
  <c r="X638" i="1"/>
  <c r="U638" i="1"/>
  <c r="W638" i="1" a="1"/>
  <c r="W638" i="1" s="1"/>
  <c r="X641" i="1"/>
  <c r="U641" i="1"/>
  <c r="T641" i="1"/>
  <c r="Y641" i="1"/>
  <c r="Y646" i="1"/>
  <c r="X646" i="1"/>
  <c r="U646" i="1"/>
  <c r="W646" i="1" a="1"/>
  <c r="W646" i="1" s="1"/>
  <c r="X649" i="1"/>
  <c r="U649" i="1"/>
  <c r="T649" i="1"/>
  <c r="Y649" i="1"/>
  <c r="Y654" i="1"/>
  <c r="X654" i="1"/>
  <c r="U654" i="1"/>
  <c r="W654" i="1" a="1"/>
  <c r="W654" i="1" s="1"/>
  <c r="X657" i="1"/>
  <c r="U657" i="1"/>
  <c r="T657" i="1"/>
  <c r="Y657" i="1"/>
  <c r="Y662" i="1"/>
  <c r="X662" i="1"/>
  <c r="U662" i="1"/>
  <c r="W662" i="1" a="1"/>
  <c r="W662" i="1" s="1"/>
  <c r="X665" i="1"/>
  <c r="U665" i="1"/>
  <c r="T665" i="1"/>
  <c r="Y665" i="1"/>
  <c r="Y670" i="1"/>
  <c r="X670" i="1"/>
  <c r="U670" i="1"/>
  <c r="W670" i="1" a="1"/>
  <c r="W670" i="1" s="1"/>
  <c r="X673" i="1"/>
  <c r="U673" i="1"/>
  <c r="T673" i="1"/>
  <c r="Y673" i="1"/>
  <c r="Y678" i="1"/>
  <c r="X678" i="1"/>
  <c r="U678" i="1"/>
  <c r="W678" i="1" a="1"/>
  <c r="W678" i="1" s="1"/>
  <c r="X681" i="1"/>
  <c r="U681" i="1"/>
  <c r="T681" i="1"/>
  <c r="Y681" i="1"/>
  <c r="Y686" i="1"/>
  <c r="X686" i="1"/>
  <c r="U686" i="1"/>
  <c r="W686" i="1" a="1"/>
  <c r="W686" i="1" s="1"/>
  <c r="X689" i="1"/>
  <c r="U689" i="1"/>
  <c r="T689" i="1"/>
  <c r="Y689" i="1"/>
  <c r="Y694" i="1"/>
  <c r="X694" i="1"/>
  <c r="U694" i="1"/>
  <c r="W694" i="1" a="1"/>
  <c r="W694" i="1" s="1"/>
  <c r="X697" i="1"/>
  <c r="U697" i="1"/>
  <c r="T697" i="1"/>
  <c r="Y697" i="1"/>
  <c r="Y702" i="1"/>
  <c r="X702" i="1"/>
  <c r="U702" i="1"/>
  <c r="W702" i="1" a="1"/>
  <c r="W702" i="1" s="1"/>
  <c r="X705" i="1"/>
  <c r="U705" i="1"/>
  <c r="T705" i="1"/>
  <c r="Y705" i="1"/>
  <c r="Y710" i="1"/>
  <c r="X710" i="1"/>
  <c r="U710" i="1"/>
  <c r="W710" i="1" a="1"/>
  <c r="W710" i="1" s="1"/>
  <c r="X713" i="1"/>
  <c r="U713" i="1"/>
  <c r="T713" i="1"/>
  <c r="Y713" i="1"/>
  <c r="Y718" i="1"/>
  <c r="X718" i="1"/>
  <c r="U718" i="1"/>
  <c r="W718" i="1" a="1"/>
  <c r="W718" i="1" s="1"/>
  <c r="X721" i="1"/>
  <c r="U721" i="1"/>
  <c r="T721" i="1"/>
  <c r="Y721" i="1"/>
  <c r="Y726" i="1"/>
  <c r="X726" i="1"/>
  <c r="U726" i="1"/>
  <c r="W726" i="1" a="1"/>
  <c r="W726" i="1" s="1"/>
  <c r="X729" i="1"/>
  <c r="U729" i="1"/>
  <c r="T729" i="1"/>
  <c r="Y729" i="1"/>
  <c r="Z734" i="1"/>
  <c r="W734" i="1" a="1"/>
  <c r="W734" i="1" s="1"/>
  <c r="Y734" i="1"/>
  <c r="U734" i="1"/>
  <c r="Y738" i="1"/>
  <c r="Z738" i="1"/>
  <c r="W738" i="1" a="1"/>
  <c r="W738" i="1" s="1"/>
  <c r="S738" i="1"/>
  <c r="U738" i="1"/>
  <c r="X738" i="1"/>
  <c r="X745" i="1"/>
  <c r="U745" i="1"/>
  <c r="Y745" i="1"/>
  <c r="Z745" i="1"/>
  <c r="T745" i="1"/>
  <c r="S745" i="1"/>
  <c r="Z747" i="1"/>
  <c r="W747" i="1" a="1"/>
  <c r="W747" i="1" s="1"/>
  <c r="S747" i="1"/>
  <c r="T747" i="1"/>
  <c r="Y747" i="1"/>
  <c r="X747" i="1"/>
  <c r="T748" i="1"/>
  <c r="X748" i="1"/>
  <c r="U748" i="1"/>
  <c r="Z748" i="1"/>
  <c r="S748" i="1"/>
  <c r="Y770" i="1"/>
  <c r="Z770" i="1"/>
  <c r="W770" i="1" a="1"/>
  <c r="W770" i="1" s="1"/>
  <c r="S770" i="1"/>
  <c r="U770" i="1"/>
  <c r="X770" i="1"/>
  <c r="X777" i="1"/>
  <c r="U777" i="1"/>
  <c r="Y777" i="1"/>
  <c r="Z777" i="1"/>
  <c r="T777" i="1"/>
  <c r="S777" i="1"/>
  <c r="X794" i="1"/>
  <c r="U794" i="1"/>
  <c r="T794" i="1"/>
  <c r="W794" i="1" a="1"/>
  <c r="W794" i="1" s="1"/>
  <c r="S794" i="1"/>
  <c r="X807" i="1"/>
  <c r="Z807" i="1"/>
  <c r="Y807" i="1"/>
  <c r="U807" i="1"/>
  <c r="T807" i="1"/>
  <c r="S807" i="1"/>
  <c r="T846" i="1"/>
  <c r="Y846" i="1"/>
  <c r="U846" i="1"/>
  <c r="X846" i="1"/>
  <c r="S846" i="1"/>
  <c r="W846" i="1" a="1"/>
  <c r="W846" i="1" s="1"/>
  <c r="Z846" i="1"/>
  <c r="X851" i="1"/>
  <c r="U851" i="1"/>
  <c r="Y851" i="1"/>
  <c r="T851" i="1"/>
  <c r="S851" i="1"/>
  <c r="W851" i="1" a="1"/>
  <c r="W851" i="1" s="1"/>
  <c r="Z851" i="1"/>
  <c r="Z857" i="1"/>
  <c r="W857" i="1" a="1"/>
  <c r="W857" i="1" s="1"/>
  <c r="S857" i="1"/>
  <c r="X857" i="1"/>
  <c r="T857" i="1"/>
  <c r="U857" i="1"/>
  <c r="Y857" i="1"/>
  <c r="Z861" i="1"/>
  <c r="W861" i="1" a="1"/>
  <c r="W861" i="1" s="1"/>
  <c r="S861" i="1"/>
  <c r="X861" i="1"/>
  <c r="T861" i="1"/>
  <c r="U861" i="1"/>
  <c r="Y861" i="1"/>
  <c r="Y742" i="1"/>
  <c r="Z742" i="1"/>
  <c r="W742" i="1" a="1"/>
  <c r="W742" i="1" s="1"/>
  <c r="S742" i="1"/>
  <c r="Y750" i="1"/>
  <c r="Z750" i="1"/>
  <c r="W750" i="1" a="1"/>
  <c r="W750" i="1" s="1"/>
  <c r="S750" i="1"/>
  <c r="Y758" i="1"/>
  <c r="Z758" i="1"/>
  <c r="W758" i="1" a="1"/>
  <c r="W758" i="1" s="1"/>
  <c r="S758" i="1"/>
  <c r="Y766" i="1"/>
  <c r="Z766" i="1"/>
  <c r="W766" i="1" a="1"/>
  <c r="W766" i="1" s="1"/>
  <c r="S766" i="1"/>
  <c r="Y774" i="1"/>
  <c r="Z774" i="1"/>
  <c r="W774" i="1" a="1"/>
  <c r="W774" i="1" s="1"/>
  <c r="S774" i="1"/>
  <c r="Y779" i="1"/>
  <c r="T779" i="1"/>
  <c r="X779" i="1"/>
  <c r="U779" i="1"/>
  <c r="Z779" i="1"/>
  <c r="X786" i="1"/>
  <c r="U786" i="1"/>
  <c r="T786" i="1"/>
  <c r="W786" i="1" a="1"/>
  <c r="W786" i="1" s="1"/>
  <c r="Z786" i="1"/>
  <c r="Z796" i="1"/>
  <c r="W796" i="1" a="1"/>
  <c r="W796" i="1" s="1"/>
  <c r="S796" i="1"/>
  <c r="Y796" i="1"/>
  <c r="X796" i="1"/>
  <c r="T796" i="1"/>
  <c r="U796" i="1"/>
  <c r="T797" i="1"/>
  <c r="Z797" i="1"/>
  <c r="W797" i="1" a="1"/>
  <c r="W797" i="1" s="1"/>
  <c r="S797" i="1"/>
  <c r="X797" i="1"/>
  <c r="Y799" i="1"/>
  <c r="X799" i="1"/>
  <c r="U799" i="1"/>
  <c r="Z799" i="1"/>
  <c r="T799" i="1"/>
  <c r="T814" i="1"/>
  <c r="Y814" i="1"/>
  <c r="U814" i="1"/>
  <c r="X814" i="1"/>
  <c r="S814" i="1"/>
  <c r="W814" i="1" a="1"/>
  <c r="W814" i="1" s="1"/>
  <c r="Z814" i="1"/>
  <c r="X819" i="1"/>
  <c r="U819" i="1"/>
  <c r="Y819" i="1"/>
  <c r="T819" i="1"/>
  <c r="S819" i="1"/>
  <c r="W819" i="1" a="1"/>
  <c r="W819" i="1" s="1"/>
  <c r="Y824" i="1"/>
  <c r="X824" i="1"/>
  <c r="U824" i="1"/>
  <c r="T824" i="1"/>
  <c r="W824" i="1" a="1"/>
  <c r="W824" i="1" s="1"/>
  <c r="Z825" i="1"/>
  <c r="W825" i="1" a="1"/>
  <c r="W825" i="1" s="1"/>
  <c r="S825" i="1"/>
  <c r="X825" i="1"/>
  <c r="T825" i="1"/>
  <c r="U825" i="1"/>
  <c r="Z829" i="1"/>
  <c r="W829" i="1" a="1"/>
  <c r="W829" i="1" s="1"/>
  <c r="S829" i="1"/>
  <c r="Y829" i="1"/>
  <c r="U829" i="1"/>
  <c r="X829" i="1"/>
  <c r="T829" i="1"/>
  <c r="Z837" i="1"/>
  <c r="W837" i="1" a="1"/>
  <c r="W837" i="1" s="1"/>
  <c r="S837" i="1"/>
  <c r="U837" i="1"/>
  <c r="Y837" i="1"/>
  <c r="Z849" i="1"/>
  <c r="W849" i="1" a="1"/>
  <c r="W849" i="1" s="1"/>
  <c r="S849" i="1"/>
  <c r="Y849" i="1"/>
  <c r="U849" i="1"/>
  <c r="T849" i="1"/>
  <c r="T854" i="1"/>
  <c r="W854" i="1" a="1"/>
  <c r="W854" i="1" s="1"/>
  <c r="Z854" i="1"/>
  <c r="U854" i="1"/>
  <c r="Y854" i="1"/>
  <c r="Y878" i="1"/>
  <c r="T878" i="1"/>
  <c r="X878" i="1"/>
  <c r="U878" i="1"/>
  <c r="W878" i="1" a="1"/>
  <c r="W878" i="1" s="1"/>
  <c r="S878" i="1"/>
  <c r="Z878" i="1"/>
  <c r="Y889" i="1"/>
  <c r="X889" i="1"/>
  <c r="U889" i="1"/>
  <c r="Z889" i="1"/>
  <c r="T889" i="1"/>
  <c r="W889" i="1" a="1"/>
  <c r="W889" i="1" s="1"/>
  <c r="S889" i="1"/>
  <c r="T895" i="1"/>
  <c r="Z895" i="1"/>
  <c r="W895" i="1" a="1"/>
  <c r="W895" i="1" s="1"/>
  <c r="S895" i="1"/>
  <c r="X895" i="1"/>
  <c r="Y895" i="1"/>
  <c r="U895" i="1"/>
  <c r="Y897" i="1"/>
  <c r="X897" i="1"/>
  <c r="U897" i="1"/>
  <c r="Z897" i="1"/>
  <c r="T897" i="1"/>
  <c r="S897" i="1"/>
  <c r="W897" i="1" a="1"/>
  <c r="W897" i="1" s="1"/>
  <c r="T903" i="1"/>
  <c r="Z903" i="1"/>
  <c r="W903" i="1" a="1"/>
  <c r="W903" i="1" s="1"/>
  <c r="S903" i="1"/>
  <c r="X903" i="1"/>
  <c r="U903" i="1"/>
  <c r="Y903" i="1"/>
  <c r="Z948" i="1"/>
  <c r="W948" i="1" a="1"/>
  <c r="W948" i="1" s="1"/>
  <c r="S948" i="1"/>
  <c r="X948" i="1"/>
  <c r="T948" i="1"/>
  <c r="U948" i="1"/>
  <c r="Y948" i="1"/>
  <c r="X741" i="1"/>
  <c r="U741" i="1"/>
  <c r="Y741" i="1"/>
  <c r="W741" i="1" a="1"/>
  <c r="W741" i="1" s="1"/>
  <c r="T742" i="1"/>
  <c r="X742" i="1"/>
  <c r="T744" i="1"/>
  <c r="X744" i="1"/>
  <c r="U744" i="1"/>
  <c r="Y744" i="1"/>
  <c r="X749" i="1"/>
  <c r="U749" i="1"/>
  <c r="Y749" i="1"/>
  <c r="W749" i="1" a="1"/>
  <c r="W749" i="1" s="1"/>
  <c r="T750" i="1"/>
  <c r="X750" i="1"/>
  <c r="T752" i="1"/>
  <c r="X752" i="1"/>
  <c r="U752" i="1"/>
  <c r="Y752" i="1"/>
  <c r="X757" i="1"/>
  <c r="U757" i="1"/>
  <c r="Y757" i="1"/>
  <c r="W757" i="1" a="1"/>
  <c r="W757" i="1" s="1"/>
  <c r="T758" i="1"/>
  <c r="X758" i="1"/>
  <c r="T760" i="1"/>
  <c r="X760" i="1"/>
  <c r="U760" i="1"/>
  <c r="Y760" i="1"/>
  <c r="X765" i="1"/>
  <c r="U765" i="1"/>
  <c r="Y765" i="1"/>
  <c r="W765" i="1" a="1"/>
  <c r="W765" i="1" s="1"/>
  <c r="T766" i="1"/>
  <c r="X766" i="1"/>
  <c r="T768" i="1"/>
  <c r="X768" i="1"/>
  <c r="U768" i="1"/>
  <c r="Y768" i="1"/>
  <c r="X773" i="1"/>
  <c r="U773" i="1"/>
  <c r="Y773" i="1"/>
  <c r="W773" i="1" a="1"/>
  <c r="W773" i="1" s="1"/>
  <c r="T774" i="1"/>
  <c r="X774" i="1"/>
  <c r="T776" i="1"/>
  <c r="X776" i="1"/>
  <c r="U776" i="1"/>
  <c r="Y776" i="1"/>
  <c r="S779" i="1"/>
  <c r="Z780" i="1"/>
  <c r="W780" i="1" a="1"/>
  <c r="W780" i="1" s="1"/>
  <c r="S780" i="1"/>
  <c r="X780" i="1"/>
  <c r="T780" i="1"/>
  <c r="T781" i="1"/>
  <c r="W781" i="1" a="1"/>
  <c r="W781" i="1" s="1"/>
  <c r="X781" i="1"/>
  <c r="S781" i="1"/>
  <c r="Z781" i="1"/>
  <c r="S786" i="1"/>
  <c r="Z788" i="1"/>
  <c r="W788" i="1" a="1"/>
  <c r="W788" i="1" s="1"/>
  <c r="S788" i="1"/>
  <c r="Y788" i="1"/>
  <c r="X788" i="1"/>
  <c r="T788" i="1"/>
  <c r="U788" i="1"/>
  <c r="T789" i="1"/>
  <c r="Z789" i="1"/>
  <c r="W789" i="1" a="1"/>
  <c r="W789" i="1" s="1"/>
  <c r="S789" i="1"/>
  <c r="X789" i="1"/>
  <c r="Y791" i="1"/>
  <c r="X791" i="1"/>
  <c r="U791" i="1"/>
  <c r="Z791" i="1"/>
  <c r="T791" i="1"/>
  <c r="U797" i="1"/>
  <c r="S799" i="1"/>
  <c r="Z813" i="1"/>
  <c r="W813" i="1" a="1"/>
  <c r="W813" i="1" s="1"/>
  <c r="S813" i="1"/>
  <c r="Y813" i="1"/>
  <c r="U813" i="1"/>
  <c r="X813" i="1"/>
  <c r="T813" i="1"/>
  <c r="S824" i="1"/>
  <c r="T837" i="1"/>
  <c r="X839" i="1"/>
  <c r="U839" i="1"/>
  <c r="Z839" i="1"/>
  <c r="Y839" i="1"/>
  <c r="T839" i="1"/>
  <c r="S839" i="1"/>
  <c r="Y852" i="1"/>
  <c r="T852" i="1"/>
  <c r="W852" i="1" a="1"/>
  <c r="W852" i="1" s="1"/>
  <c r="S852" i="1"/>
  <c r="U852" i="1"/>
  <c r="S854" i="1"/>
  <c r="T858" i="1"/>
  <c r="X858" i="1"/>
  <c r="S858" i="1"/>
  <c r="W858" i="1" a="1"/>
  <c r="W858" i="1" s="1"/>
  <c r="U858" i="1"/>
  <c r="X782" i="1"/>
  <c r="U782" i="1"/>
  <c r="W782" i="1" a="1"/>
  <c r="W782" i="1" s="1"/>
  <c r="Z783" i="1"/>
  <c r="S790" i="1"/>
  <c r="Z792" i="1"/>
  <c r="W792" i="1" a="1"/>
  <c r="W792" i="1" s="1"/>
  <c r="S792" i="1"/>
  <c r="Y792" i="1"/>
  <c r="S798" i="1"/>
  <c r="Z800" i="1"/>
  <c r="W800" i="1" a="1"/>
  <c r="W800" i="1" s="1"/>
  <c r="S800" i="1"/>
  <c r="Y800" i="1"/>
  <c r="S806" i="1"/>
  <c r="Z809" i="1"/>
  <c r="W809" i="1" a="1"/>
  <c r="W809" i="1" s="1"/>
  <c r="S809" i="1"/>
  <c r="X809" i="1"/>
  <c r="T809" i="1"/>
  <c r="T810" i="1"/>
  <c r="X810" i="1"/>
  <c r="S810" i="1"/>
  <c r="W810" i="1" a="1"/>
  <c r="W810" i="1" s="1"/>
  <c r="Z810" i="1"/>
  <c r="T818" i="1"/>
  <c r="Z818" i="1"/>
  <c r="Y818" i="1"/>
  <c r="U818" i="1"/>
  <c r="X818" i="1"/>
  <c r="T821" i="1"/>
  <c r="X823" i="1"/>
  <c r="U823" i="1"/>
  <c r="Z823" i="1"/>
  <c r="Y823" i="1"/>
  <c r="T823" i="1"/>
  <c r="Z833" i="1"/>
  <c r="W833" i="1" a="1"/>
  <c r="W833" i="1" s="1"/>
  <c r="S833" i="1"/>
  <c r="Y833" i="1"/>
  <c r="U833" i="1"/>
  <c r="X833" i="1"/>
  <c r="X835" i="1"/>
  <c r="U835" i="1"/>
  <c r="Y835" i="1"/>
  <c r="T835" i="1"/>
  <c r="S835" i="1"/>
  <c r="Y836" i="1"/>
  <c r="T836" i="1"/>
  <c r="W836" i="1" a="1"/>
  <c r="W836" i="1" s="1"/>
  <c r="S836" i="1"/>
  <c r="Z836" i="1"/>
  <c r="S838" i="1"/>
  <c r="Z841" i="1"/>
  <c r="W841" i="1" a="1"/>
  <c r="W841" i="1" s="1"/>
  <c r="S841" i="1"/>
  <c r="X841" i="1"/>
  <c r="T841" i="1"/>
  <c r="T842" i="1"/>
  <c r="X842" i="1"/>
  <c r="S842" i="1"/>
  <c r="W842" i="1" a="1"/>
  <c r="W842" i="1" s="1"/>
  <c r="Z842" i="1"/>
  <c r="T850" i="1"/>
  <c r="Z850" i="1"/>
  <c r="Y850" i="1"/>
  <c r="U850" i="1"/>
  <c r="X850" i="1"/>
  <c r="T853" i="1"/>
  <c r="X855" i="1"/>
  <c r="U855" i="1"/>
  <c r="Z855" i="1"/>
  <c r="Y855" i="1"/>
  <c r="T855" i="1"/>
  <c r="X867" i="1"/>
  <c r="U867" i="1"/>
  <c r="Z867" i="1"/>
  <c r="S867" i="1"/>
  <c r="T867" i="1"/>
  <c r="X892" i="1"/>
  <c r="U892" i="1"/>
  <c r="T892" i="1"/>
  <c r="W892" i="1" a="1"/>
  <c r="W892" i="1" s="1"/>
  <c r="S892" i="1"/>
  <c r="Y892" i="1"/>
  <c r="Z892" i="1"/>
  <c r="X900" i="1"/>
  <c r="U900" i="1"/>
  <c r="T900" i="1"/>
  <c r="W900" i="1" a="1"/>
  <c r="W900" i="1" s="1"/>
  <c r="Y900" i="1"/>
  <c r="S900" i="1"/>
  <c r="Z900" i="1"/>
  <c r="T931" i="1"/>
  <c r="Z931" i="1"/>
  <c r="W931" i="1" a="1"/>
  <c r="W931" i="1" s="1"/>
  <c r="S931" i="1"/>
  <c r="Y931" i="1"/>
  <c r="U931" i="1"/>
  <c r="X931" i="1"/>
  <c r="Z782" i="1"/>
  <c r="U783" i="1"/>
  <c r="X783" i="1"/>
  <c r="Y787" i="1"/>
  <c r="X787" i="1"/>
  <c r="U787" i="1"/>
  <c r="W787" i="1" a="1"/>
  <c r="W787" i="1" s="1"/>
  <c r="X790" i="1"/>
  <c r="U790" i="1"/>
  <c r="T790" i="1"/>
  <c r="Y790" i="1"/>
  <c r="Y795" i="1"/>
  <c r="X795" i="1"/>
  <c r="U795" i="1"/>
  <c r="W795" i="1" a="1"/>
  <c r="W795" i="1" s="1"/>
  <c r="X798" i="1"/>
  <c r="U798" i="1"/>
  <c r="T798" i="1"/>
  <c r="Y798" i="1"/>
  <c r="Y803" i="1"/>
  <c r="X803" i="1"/>
  <c r="U803" i="1"/>
  <c r="W803" i="1" a="1"/>
  <c r="W803" i="1" s="1"/>
  <c r="X806" i="1"/>
  <c r="U806" i="1"/>
  <c r="T806" i="1"/>
  <c r="Y806" i="1"/>
  <c r="Y808" i="1"/>
  <c r="X808" i="1"/>
  <c r="U808" i="1"/>
  <c r="T808" i="1"/>
  <c r="Z808" i="1"/>
  <c r="Z821" i="1"/>
  <c r="W821" i="1" a="1"/>
  <c r="W821" i="1" s="1"/>
  <c r="S821" i="1"/>
  <c r="X821" i="1"/>
  <c r="T838" i="1"/>
  <c r="W838" i="1" a="1"/>
  <c r="W838" i="1" s="1"/>
  <c r="Z838" i="1"/>
  <c r="X838" i="1"/>
  <c r="Y840" i="1"/>
  <c r="X840" i="1"/>
  <c r="U840" i="1"/>
  <c r="T840" i="1"/>
  <c r="Z840" i="1"/>
  <c r="Z853" i="1"/>
  <c r="W853" i="1" a="1"/>
  <c r="W853" i="1" s="1"/>
  <c r="S853" i="1"/>
  <c r="X853" i="1"/>
  <c r="Y867" i="1"/>
  <c r="Z877" i="1"/>
  <c r="W877" i="1" a="1"/>
  <c r="W877" i="1" s="1"/>
  <c r="S877" i="1"/>
  <c r="T877" i="1"/>
  <c r="U877" i="1"/>
  <c r="X877" i="1"/>
  <c r="Y877" i="1"/>
  <c r="Z894" i="1"/>
  <c r="W894" i="1" a="1"/>
  <c r="W894" i="1" s="1"/>
  <c r="S894" i="1"/>
  <c r="Y894" i="1"/>
  <c r="X894" i="1"/>
  <c r="T894" i="1"/>
  <c r="U894" i="1"/>
  <c r="Z902" i="1"/>
  <c r="W902" i="1" a="1"/>
  <c r="W902" i="1" s="1"/>
  <c r="S902" i="1"/>
  <c r="Y902" i="1"/>
  <c r="X902" i="1"/>
  <c r="T902" i="1"/>
  <c r="U902" i="1"/>
  <c r="X932" i="1"/>
  <c r="U932" i="1"/>
  <c r="T932" i="1"/>
  <c r="W932" i="1" a="1"/>
  <c r="W932" i="1" s="1"/>
  <c r="Y932" i="1"/>
  <c r="S932" i="1"/>
  <c r="Z932" i="1"/>
  <c r="X815" i="1"/>
  <c r="U815" i="1"/>
  <c r="W815" i="1" a="1"/>
  <c r="W815" i="1" s="1"/>
  <c r="Z816" i="1"/>
  <c r="X831" i="1"/>
  <c r="U831" i="1"/>
  <c r="W831" i="1" a="1"/>
  <c r="W831" i="1" s="1"/>
  <c r="Z832" i="1"/>
  <c r="X847" i="1"/>
  <c r="U847" i="1"/>
  <c r="W847" i="1" a="1"/>
  <c r="W847" i="1" s="1"/>
  <c r="Z848" i="1"/>
  <c r="Y860" i="1"/>
  <c r="X860" i="1"/>
  <c r="U860" i="1"/>
  <c r="W860" i="1" a="1"/>
  <c r="W860" i="1" s="1"/>
  <c r="Y868" i="1"/>
  <c r="Z868" i="1"/>
  <c r="W868" i="1" a="1"/>
  <c r="W868" i="1" s="1"/>
  <c r="U868" i="1"/>
  <c r="S868" i="1"/>
  <c r="Y872" i="1"/>
  <c r="Z872" i="1"/>
  <c r="W872" i="1" a="1"/>
  <c r="W872" i="1" s="1"/>
  <c r="S872" i="1"/>
  <c r="X872" i="1"/>
  <c r="T872" i="1"/>
  <c r="Z873" i="1"/>
  <c r="W873" i="1" a="1"/>
  <c r="W873" i="1" s="1"/>
  <c r="S873" i="1"/>
  <c r="T873" i="1"/>
  <c r="Y873" i="1"/>
  <c r="Y905" i="1"/>
  <c r="X905" i="1"/>
  <c r="U905" i="1"/>
  <c r="Z905" i="1"/>
  <c r="T905" i="1"/>
  <c r="S905" i="1"/>
  <c r="W905" i="1" a="1"/>
  <c r="W905" i="1" s="1"/>
  <c r="T907" i="1"/>
  <c r="Z907" i="1"/>
  <c r="W907" i="1" a="1"/>
  <c r="W907" i="1" s="1"/>
  <c r="S907" i="1"/>
  <c r="Y907" i="1"/>
  <c r="U907" i="1"/>
  <c r="X908" i="1"/>
  <c r="U908" i="1"/>
  <c r="T908" i="1"/>
  <c r="W908" i="1" a="1"/>
  <c r="W908" i="1" s="1"/>
  <c r="Y908" i="1"/>
  <c r="S908" i="1"/>
  <c r="Z940" i="1"/>
  <c r="W940" i="1" a="1"/>
  <c r="W940" i="1" s="1"/>
  <c r="S940" i="1"/>
  <c r="Y940" i="1"/>
  <c r="U940" i="1"/>
  <c r="X940" i="1"/>
  <c r="T940" i="1"/>
  <c r="X811" i="1"/>
  <c r="U811" i="1"/>
  <c r="W811" i="1" a="1"/>
  <c r="W811" i="1" s="1"/>
  <c r="Z812" i="1"/>
  <c r="S815" i="1"/>
  <c r="S816" i="1"/>
  <c r="W816" i="1" a="1"/>
  <c r="W816" i="1" s="1"/>
  <c r="X827" i="1"/>
  <c r="U827" i="1"/>
  <c r="W827" i="1" a="1"/>
  <c r="W827" i="1" s="1"/>
  <c r="Z828" i="1"/>
  <c r="S831" i="1"/>
  <c r="S832" i="1"/>
  <c r="W832" i="1" a="1"/>
  <c r="W832" i="1" s="1"/>
  <c r="X843" i="1"/>
  <c r="U843" i="1"/>
  <c r="W843" i="1" a="1"/>
  <c r="W843" i="1" s="1"/>
  <c r="Z844" i="1"/>
  <c r="S847" i="1"/>
  <c r="S848" i="1"/>
  <c r="W848" i="1" a="1"/>
  <c r="W848" i="1" s="1"/>
  <c r="X859" i="1"/>
  <c r="U859" i="1"/>
  <c r="Z859" i="1"/>
  <c r="W859" i="1" a="1"/>
  <c r="W859" i="1" s="1"/>
  <c r="S860" i="1"/>
  <c r="Z865" i="1"/>
  <c r="W865" i="1" a="1"/>
  <c r="W865" i="1" s="1"/>
  <c r="S865" i="1"/>
  <c r="Y865" i="1"/>
  <c r="U865" i="1"/>
  <c r="T866" i="1"/>
  <c r="W866" i="1" a="1"/>
  <c r="W866" i="1" s="1"/>
  <c r="Y866" i="1"/>
  <c r="U866" i="1"/>
  <c r="Z866" i="1"/>
  <c r="T868" i="1"/>
  <c r="Z869" i="1"/>
  <c r="W869" i="1" a="1"/>
  <c r="W869" i="1" s="1"/>
  <c r="S869" i="1"/>
  <c r="T869" i="1"/>
  <c r="X869" i="1"/>
  <c r="U869" i="1"/>
  <c r="T870" i="1"/>
  <c r="X870" i="1"/>
  <c r="U870" i="1"/>
  <c r="Z870" i="1"/>
  <c r="S870" i="1"/>
  <c r="W870" i="1" a="1"/>
  <c r="W870" i="1" s="1"/>
  <c r="U872" i="1"/>
  <c r="U873" i="1"/>
  <c r="Z926" i="1"/>
  <c r="W926" i="1" a="1"/>
  <c r="W926" i="1" s="1"/>
  <c r="S926" i="1"/>
  <c r="Y926" i="1"/>
  <c r="X926" i="1"/>
  <c r="T926" i="1"/>
  <c r="U926" i="1"/>
  <c r="T927" i="1"/>
  <c r="Z927" i="1"/>
  <c r="W927" i="1" a="1"/>
  <c r="W927" i="1" s="1"/>
  <c r="S927" i="1"/>
  <c r="X927" i="1"/>
  <c r="U927" i="1"/>
  <c r="Y927" i="1"/>
  <c r="X863" i="1"/>
  <c r="U863" i="1"/>
  <c r="W863" i="1" a="1"/>
  <c r="W863" i="1" s="1"/>
  <c r="Z864" i="1"/>
  <c r="T874" i="1"/>
  <c r="X874" i="1"/>
  <c r="U874" i="1"/>
  <c r="Y874" i="1"/>
  <c r="Z879" i="1"/>
  <c r="W879" i="1" a="1"/>
  <c r="W879" i="1" s="1"/>
  <c r="S879" i="1"/>
  <c r="X879" i="1"/>
  <c r="T879" i="1"/>
  <c r="T883" i="1"/>
  <c r="Z883" i="1"/>
  <c r="W883" i="1" a="1"/>
  <c r="W883" i="1" s="1"/>
  <c r="S883" i="1"/>
  <c r="Y883" i="1"/>
  <c r="U883" i="1"/>
  <c r="X884" i="1"/>
  <c r="U884" i="1"/>
  <c r="T884" i="1"/>
  <c r="W884" i="1" a="1"/>
  <c r="W884" i="1" s="1"/>
  <c r="Z884" i="1"/>
  <c r="Z910" i="1"/>
  <c r="W910" i="1" a="1"/>
  <c r="W910" i="1" s="1"/>
  <c r="S910" i="1"/>
  <c r="Y910" i="1"/>
  <c r="X910" i="1"/>
  <c r="T910" i="1"/>
  <c r="U910" i="1"/>
  <c r="T911" i="1"/>
  <c r="Z911" i="1"/>
  <c r="W911" i="1" a="1"/>
  <c r="W911" i="1" s="1"/>
  <c r="S911" i="1"/>
  <c r="X911" i="1"/>
  <c r="T915" i="1"/>
  <c r="Z915" i="1"/>
  <c r="W915" i="1" a="1"/>
  <c r="W915" i="1" s="1"/>
  <c r="S915" i="1"/>
  <c r="Y915" i="1"/>
  <c r="U915" i="1"/>
  <c r="X916" i="1"/>
  <c r="U916" i="1"/>
  <c r="T916" i="1"/>
  <c r="W916" i="1" a="1"/>
  <c r="W916" i="1" s="1"/>
  <c r="Z916" i="1"/>
  <c r="T923" i="1"/>
  <c r="Z923" i="1"/>
  <c r="W923" i="1" a="1"/>
  <c r="W923" i="1" s="1"/>
  <c r="S923" i="1"/>
  <c r="Y923" i="1"/>
  <c r="U923" i="1"/>
  <c r="X924" i="1"/>
  <c r="U924" i="1"/>
  <c r="T924" i="1"/>
  <c r="W924" i="1" a="1"/>
  <c r="W924" i="1" s="1"/>
  <c r="Z924" i="1"/>
  <c r="X934" i="1"/>
  <c r="U934" i="1"/>
  <c r="Z934" i="1"/>
  <c r="Y934" i="1"/>
  <c r="T934" i="1"/>
  <c r="S934" i="1"/>
  <c r="T953" i="1"/>
  <c r="Y953" i="1"/>
  <c r="U953" i="1"/>
  <c r="W953" i="1" a="1"/>
  <c r="W953" i="1" s="1"/>
  <c r="X953" i="1"/>
  <c r="Z986" i="1"/>
  <c r="W986" i="1" a="1"/>
  <c r="W986" i="1" s="1"/>
  <c r="S986" i="1"/>
  <c r="X986" i="1"/>
  <c r="U986" i="1"/>
  <c r="T986" i="1"/>
  <c r="Y986" i="1"/>
  <c r="Y876" i="1"/>
  <c r="Z876" i="1"/>
  <c r="W876" i="1" a="1"/>
  <c r="W876" i="1" s="1"/>
  <c r="S876" i="1"/>
  <c r="Y881" i="1"/>
  <c r="X881" i="1"/>
  <c r="U881" i="1"/>
  <c r="Z881" i="1"/>
  <c r="T881" i="1"/>
  <c r="Z886" i="1"/>
  <c r="W886" i="1" a="1"/>
  <c r="W886" i="1" s="1"/>
  <c r="S886" i="1"/>
  <c r="Y886" i="1"/>
  <c r="X886" i="1"/>
  <c r="T886" i="1"/>
  <c r="U886" i="1"/>
  <c r="T887" i="1"/>
  <c r="Z887" i="1"/>
  <c r="W887" i="1" a="1"/>
  <c r="W887" i="1" s="1"/>
  <c r="S887" i="1"/>
  <c r="X887" i="1"/>
  <c r="Y913" i="1"/>
  <c r="X913" i="1"/>
  <c r="U913" i="1"/>
  <c r="Z913" i="1"/>
  <c r="T913" i="1"/>
  <c r="Z918" i="1"/>
  <c r="W918" i="1" a="1"/>
  <c r="W918" i="1" s="1"/>
  <c r="S918" i="1"/>
  <c r="Y918" i="1"/>
  <c r="X918" i="1"/>
  <c r="T918" i="1"/>
  <c r="U918" i="1"/>
  <c r="T919" i="1"/>
  <c r="Z919" i="1"/>
  <c r="W919" i="1" a="1"/>
  <c r="W919" i="1" s="1"/>
  <c r="S919" i="1"/>
  <c r="X919" i="1"/>
  <c r="Y921" i="1"/>
  <c r="X921" i="1"/>
  <c r="U921" i="1"/>
  <c r="Z921" i="1"/>
  <c r="T921" i="1"/>
  <c r="T941" i="1"/>
  <c r="Y941" i="1"/>
  <c r="U941" i="1"/>
  <c r="X941" i="1"/>
  <c r="S941" i="1"/>
  <c r="X962" i="1"/>
  <c r="U962" i="1"/>
  <c r="Z962" i="1"/>
  <c r="Y962" i="1"/>
  <c r="T962" i="1"/>
  <c r="S962" i="1"/>
  <c r="Y871" i="1"/>
  <c r="Y875" i="1"/>
  <c r="Z882" i="1"/>
  <c r="W882" i="1" a="1"/>
  <c r="W882" i="1" s="1"/>
  <c r="S882" i="1"/>
  <c r="Y882" i="1"/>
  <c r="Z890" i="1"/>
  <c r="W890" i="1" a="1"/>
  <c r="W890" i="1" s="1"/>
  <c r="S890" i="1"/>
  <c r="Y890" i="1"/>
  <c r="Z898" i="1"/>
  <c r="W898" i="1" a="1"/>
  <c r="W898" i="1" s="1"/>
  <c r="S898" i="1"/>
  <c r="Y898" i="1"/>
  <c r="S904" i="1"/>
  <c r="Z906" i="1"/>
  <c r="W906" i="1" a="1"/>
  <c r="W906" i="1" s="1"/>
  <c r="S906" i="1"/>
  <c r="Y906" i="1"/>
  <c r="Z914" i="1"/>
  <c r="W914" i="1" a="1"/>
  <c r="W914" i="1" s="1"/>
  <c r="S914" i="1"/>
  <c r="Y914" i="1"/>
  <c r="S920" i="1"/>
  <c r="Z922" i="1"/>
  <c r="W922" i="1" a="1"/>
  <c r="W922" i="1" s="1"/>
  <c r="S922" i="1"/>
  <c r="Y922" i="1"/>
  <c r="S928" i="1"/>
  <c r="Z930" i="1"/>
  <c r="W930" i="1" a="1"/>
  <c r="W930" i="1" s="1"/>
  <c r="S930" i="1"/>
  <c r="Y930" i="1"/>
  <c r="S933" i="1"/>
  <c r="Z936" i="1"/>
  <c r="W936" i="1" a="1"/>
  <c r="W936" i="1" s="1"/>
  <c r="S936" i="1"/>
  <c r="X936" i="1"/>
  <c r="T936" i="1"/>
  <c r="T937" i="1"/>
  <c r="X937" i="1"/>
  <c r="S937" i="1"/>
  <c r="W937" i="1" a="1"/>
  <c r="W937" i="1" s="1"/>
  <c r="Z937" i="1"/>
  <c r="Z944" i="1"/>
  <c r="W944" i="1" a="1"/>
  <c r="W944" i="1" s="1"/>
  <c r="S944" i="1"/>
  <c r="U944" i="1"/>
  <c r="Y944" i="1"/>
  <c r="T961" i="1"/>
  <c r="W961" i="1" a="1"/>
  <c r="W961" i="1" s="1"/>
  <c r="Z961" i="1"/>
  <c r="U961" i="1"/>
  <c r="Y961" i="1"/>
  <c r="U871" i="1"/>
  <c r="U875" i="1"/>
  <c r="X880" i="1"/>
  <c r="U880" i="1"/>
  <c r="T880" i="1"/>
  <c r="Y880" i="1"/>
  <c r="Y885" i="1"/>
  <c r="X885" i="1"/>
  <c r="U885" i="1"/>
  <c r="W885" i="1" a="1"/>
  <c r="W885" i="1" s="1"/>
  <c r="X888" i="1"/>
  <c r="U888" i="1"/>
  <c r="T888" i="1"/>
  <c r="Y888" i="1"/>
  <c r="Y893" i="1"/>
  <c r="X893" i="1"/>
  <c r="U893" i="1"/>
  <c r="W893" i="1" a="1"/>
  <c r="W893" i="1" s="1"/>
  <c r="X896" i="1"/>
  <c r="U896" i="1"/>
  <c r="T896" i="1"/>
  <c r="Y896" i="1"/>
  <c r="Y901" i="1"/>
  <c r="X901" i="1"/>
  <c r="U901" i="1"/>
  <c r="W901" i="1" a="1"/>
  <c r="W901" i="1" s="1"/>
  <c r="X904" i="1"/>
  <c r="U904" i="1"/>
  <c r="T904" i="1"/>
  <c r="Y904" i="1"/>
  <c r="Y909" i="1"/>
  <c r="X909" i="1"/>
  <c r="U909" i="1"/>
  <c r="W909" i="1" a="1"/>
  <c r="W909" i="1" s="1"/>
  <c r="X912" i="1"/>
  <c r="U912" i="1"/>
  <c r="T912" i="1"/>
  <c r="Y912" i="1"/>
  <c r="Y917" i="1"/>
  <c r="X917" i="1"/>
  <c r="U917" i="1"/>
  <c r="W917" i="1" a="1"/>
  <c r="W917" i="1" s="1"/>
  <c r="X920" i="1"/>
  <c r="U920" i="1"/>
  <c r="T920" i="1"/>
  <c r="Y920" i="1"/>
  <c r="Y925" i="1"/>
  <c r="X925" i="1"/>
  <c r="U925" i="1"/>
  <c r="W925" i="1" a="1"/>
  <c r="W925" i="1" s="1"/>
  <c r="X928" i="1"/>
  <c r="U928" i="1"/>
  <c r="T928" i="1"/>
  <c r="Y928" i="1"/>
  <c r="T933" i="1"/>
  <c r="W933" i="1" a="1"/>
  <c r="W933" i="1" s="1"/>
  <c r="Z933" i="1"/>
  <c r="X933" i="1"/>
  <c r="Y935" i="1"/>
  <c r="X935" i="1"/>
  <c r="U935" i="1"/>
  <c r="T935" i="1"/>
  <c r="Z935" i="1"/>
  <c r="Y936" i="1"/>
  <c r="Y947" i="1"/>
  <c r="X947" i="1"/>
  <c r="U947" i="1"/>
  <c r="Z947" i="1"/>
  <c r="T947" i="1"/>
  <c r="S947" i="1"/>
  <c r="T949" i="1"/>
  <c r="X949" i="1"/>
  <c r="S949" i="1"/>
  <c r="Y949" i="1"/>
  <c r="W949" i="1" a="1"/>
  <c r="W949" i="1" s="1"/>
  <c r="W954" i="1" a="1"/>
  <c r="W954" i="1" s="1"/>
  <c r="Y955" i="1"/>
  <c r="W955" i="1" a="1"/>
  <c r="W955" i="1" s="1"/>
  <c r="S955" i="1"/>
  <c r="Z955" i="1"/>
  <c r="U955" i="1"/>
  <c r="X955" i="1"/>
  <c r="T955" i="1"/>
  <c r="Z956" i="1"/>
  <c r="W956" i="1" a="1"/>
  <c r="W956" i="1" s="1"/>
  <c r="S956" i="1"/>
  <c r="Y956" i="1"/>
  <c r="U956" i="1"/>
  <c r="X956" i="1"/>
  <c r="T956" i="1"/>
  <c r="T957" i="1"/>
  <c r="Z957" i="1"/>
  <c r="Y957" i="1"/>
  <c r="U957" i="1"/>
  <c r="X957" i="1"/>
  <c r="S957" i="1"/>
  <c r="X958" i="1"/>
  <c r="U958" i="1"/>
  <c r="Y958" i="1"/>
  <c r="T958" i="1"/>
  <c r="Z958" i="1"/>
  <c r="S958" i="1"/>
  <c r="X961" i="1"/>
  <c r="Z970" i="1"/>
  <c r="W970" i="1" a="1"/>
  <c r="W970" i="1" s="1"/>
  <c r="S970" i="1"/>
  <c r="X970" i="1"/>
  <c r="U970" i="1"/>
  <c r="T970" i="1"/>
  <c r="Y970" i="1"/>
  <c r="X984" i="1"/>
  <c r="U984" i="1"/>
  <c r="Z984" i="1"/>
  <c r="W984" i="1" a="1"/>
  <c r="W984" i="1" s="1"/>
  <c r="S984" i="1"/>
  <c r="T984" i="1"/>
  <c r="Y984" i="1"/>
  <c r="U939" i="1"/>
  <c r="X939" i="1"/>
  <c r="X942" i="1"/>
  <c r="U942" i="1"/>
  <c r="W942" i="1" a="1"/>
  <c r="W942" i="1" s="1"/>
  <c r="Z943" i="1"/>
  <c r="T945" i="1"/>
  <c r="W945" i="1" a="1"/>
  <c r="W945" i="1" s="1"/>
  <c r="X945" i="1"/>
  <c r="X946" i="1"/>
  <c r="U946" i="1"/>
  <c r="Z946" i="1"/>
  <c r="W946" i="1" a="1"/>
  <c r="W946" i="1" s="1"/>
  <c r="Z960" i="1"/>
  <c r="W960" i="1" a="1"/>
  <c r="W960" i="1" s="1"/>
  <c r="S960" i="1"/>
  <c r="X960" i="1"/>
  <c r="T967" i="1"/>
  <c r="Y967" i="1"/>
  <c r="Z967" i="1"/>
  <c r="U967" i="1"/>
  <c r="W967" i="1" a="1"/>
  <c r="W967" i="1" s="1"/>
  <c r="X976" i="1"/>
  <c r="U976" i="1"/>
  <c r="Z976" i="1"/>
  <c r="W976" i="1" a="1"/>
  <c r="W976" i="1" s="1"/>
  <c r="S976" i="1"/>
  <c r="T976" i="1"/>
  <c r="Z978" i="1"/>
  <c r="W978" i="1" a="1"/>
  <c r="W978" i="1" s="1"/>
  <c r="S978" i="1"/>
  <c r="X978" i="1"/>
  <c r="U978" i="1"/>
  <c r="T978" i="1"/>
  <c r="Y978" i="1"/>
  <c r="X938" i="1"/>
  <c r="U938" i="1"/>
  <c r="W938" i="1" a="1"/>
  <c r="W938" i="1" s="1"/>
  <c r="Z939" i="1"/>
  <c r="S942" i="1"/>
  <c r="S943" i="1"/>
  <c r="W943" i="1" a="1"/>
  <c r="W943" i="1" s="1"/>
  <c r="S945" i="1"/>
  <c r="Y945" i="1"/>
  <c r="X954" i="1"/>
  <c r="U954" i="1"/>
  <c r="S954" i="1"/>
  <c r="Y954" i="1"/>
  <c r="Y959" i="1"/>
  <c r="T959" i="1"/>
  <c r="W959" i="1" a="1"/>
  <c r="W959" i="1" s="1"/>
  <c r="T960" i="1"/>
  <c r="Y960" i="1"/>
  <c r="Y963" i="1"/>
  <c r="X963" i="1"/>
  <c r="U963" i="1"/>
  <c r="W963" i="1" a="1"/>
  <c r="W963" i="1" s="1"/>
  <c r="Y965" i="1"/>
  <c r="W965" i="1" a="1"/>
  <c r="W965" i="1" s="1"/>
  <c r="S965" i="1"/>
  <c r="Z966" i="1"/>
  <c r="W966" i="1" a="1"/>
  <c r="W966" i="1" s="1"/>
  <c r="S966" i="1"/>
  <c r="X966" i="1"/>
  <c r="U966" i="1"/>
  <c r="Y966" i="1"/>
  <c r="S967" i="1"/>
  <c r="X968" i="1"/>
  <c r="U968" i="1"/>
  <c r="Z968" i="1"/>
  <c r="W968" i="1" a="1"/>
  <c r="W968" i="1" s="1"/>
  <c r="S968" i="1"/>
  <c r="T968" i="1"/>
  <c r="X992" i="1"/>
  <c r="U992" i="1"/>
  <c r="Z992" i="1"/>
  <c r="W992" i="1" a="1"/>
  <c r="W992" i="1" s="1"/>
  <c r="S992" i="1"/>
  <c r="T992" i="1"/>
  <c r="Z994" i="1"/>
  <c r="W994" i="1" a="1"/>
  <c r="W994" i="1" s="1"/>
  <c r="S994" i="1"/>
  <c r="X994" i="1"/>
  <c r="U994" i="1"/>
  <c r="T994" i="1"/>
  <c r="Y994" i="1"/>
  <c r="U997" i="1"/>
  <c r="X950" i="1"/>
  <c r="U950" i="1"/>
  <c r="W950" i="1" a="1"/>
  <c r="W950" i="1" s="1"/>
  <c r="Z951" i="1"/>
  <c r="Y969" i="1"/>
  <c r="T969" i="1"/>
  <c r="X969" i="1"/>
  <c r="S969" i="1"/>
  <c r="Z969" i="1"/>
  <c r="Y977" i="1"/>
  <c r="T977" i="1"/>
  <c r="X977" i="1"/>
  <c r="S977" i="1"/>
  <c r="Z977" i="1"/>
  <c r="Y985" i="1"/>
  <c r="T985" i="1"/>
  <c r="X985" i="1"/>
  <c r="S985" i="1"/>
  <c r="Z985" i="1"/>
  <c r="Y993" i="1"/>
  <c r="T993" i="1"/>
  <c r="X993" i="1"/>
  <c r="S993" i="1"/>
  <c r="Z993" i="1"/>
  <c r="Y973" i="1"/>
  <c r="T973" i="1"/>
  <c r="W973" i="1" a="1"/>
  <c r="W973" i="1" s="1"/>
  <c r="Z974" i="1"/>
  <c r="W974" i="1" a="1"/>
  <c r="W974" i="1" s="1"/>
  <c r="S974" i="1"/>
  <c r="X974" i="1"/>
  <c r="U974" i="1"/>
  <c r="T975" i="1"/>
  <c r="Y975" i="1"/>
  <c r="Z975" i="1"/>
  <c r="U975" i="1"/>
  <c r="X975" i="1"/>
  <c r="U977" i="1"/>
  <c r="Y981" i="1"/>
  <c r="T981" i="1"/>
  <c r="W981" i="1" a="1"/>
  <c r="W981" i="1" s="1"/>
  <c r="Z982" i="1"/>
  <c r="W982" i="1" a="1"/>
  <c r="W982" i="1" s="1"/>
  <c r="S982" i="1"/>
  <c r="X982" i="1"/>
  <c r="U982" i="1"/>
  <c r="T983" i="1"/>
  <c r="Y983" i="1"/>
  <c r="Z983" i="1"/>
  <c r="U983" i="1"/>
  <c r="X983" i="1"/>
  <c r="U985" i="1"/>
  <c r="Y989" i="1"/>
  <c r="T989" i="1"/>
  <c r="W989" i="1" a="1"/>
  <c r="W989" i="1" s="1"/>
  <c r="Z990" i="1"/>
  <c r="W990" i="1" a="1"/>
  <c r="W990" i="1" s="1"/>
  <c r="S990" i="1"/>
  <c r="X990" i="1"/>
  <c r="U990" i="1"/>
  <c r="T991" i="1"/>
  <c r="Y991" i="1"/>
  <c r="Z991" i="1"/>
  <c r="U991" i="1"/>
  <c r="X991" i="1"/>
  <c r="U993" i="1"/>
  <c r="Y997" i="1"/>
  <c r="T997" i="1"/>
  <c r="W997" i="1" a="1"/>
  <c r="W997" i="1" s="1"/>
  <c r="Z998" i="1"/>
  <c r="W998" i="1" a="1"/>
  <c r="W998" i="1" s="1"/>
  <c r="S998" i="1"/>
  <c r="X998" i="1"/>
  <c r="U998" i="1"/>
  <c r="X999" i="1"/>
  <c r="U999" i="1"/>
  <c r="T999" i="1"/>
  <c r="Y999" i="1"/>
  <c r="Z999" i="1"/>
  <c r="Z1001" i="1"/>
  <c r="W1001" i="1" a="1"/>
  <c r="W1001" i="1" s="1"/>
  <c r="S1001" i="1"/>
  <c r="Y1001" i="1"/>
  <c r="X1001" i="1"/>
  <c r="U1001" i="1"/>
  <c r="T1001" i="1"/>
  <c r="S997" i="1"/>
  <c r="X997" i="1"/>
  <c r="T998" i="1"/>
  <c r="S999" i="1"/>
  <c r="Y1000" i="1"/>
  <c r="X1000" i="1"/>
  <c r="U1000" i="1"/>
  <c r="Z1000" i="1"/>
  <c r="W1000" i="1" a="1"/>
  <c r="W1000" i="1" s="1"/>
  <c r="S1000" i="1"/>
  <c r="T1000" i="1"/>
  <c r="T971" i="1"/>
  <c r="Y971" i="1"/>
  <c r="W971" i="1" a="1"/>
  <c r="W971" i="1" s="1"/>
  <c r="X972" i="1"/>
  <c r="U972" i="1"/>
  <c r="Z972" i="1"/>
  <c r="W972" i="1" a="1"/>
  <c r="W972" i="1" s="1"/>
  <c r="S972" i="1"/>
  <c r="Y972" i="1"/>
  <c r="T979" i="1"/>
  <c r="Y979" i="1"/>
  <c r="W979" i="1" a="1"/>
  <c r="W979" i="1" s="1"/>
  <c r="X980" i="1"/>
  <c r="U980" i="1"/>
  <c r="Z980" i="1"/>
  <c r="W980" i="1" a="1"/>
  <c r="W980" i="1" s="1"/>
  <c r="S980" i="1"/>
  <c r="Y980" i="1"/>
  <c r="T987" i="1"/>
  <c r="Y987" i="1"/>
  <c r="W987" i="1" a="1"/>
  <c r="W987" i="1" s="1"/>
  <c r="X988" i="1"/>
  <c r="U988" i="1"/>
  <c r="Z988" i="1"/>
  <c r="W988" i="1" a="1"/>
  <c r="W988" i="1" s="1"/>
  <c r="S988" i="1"/>
  <c r="Y988" i="1"/>
  <c r="T995" i="1"/>
  <c r="Y995" i="1"/>
  <c r="W995" i="1" a="1"/>
  <c r="W995" i="1" s="1"/>
  <c r="X996" i="1"/>
  <c r="U996" i="1"/>
  <c r="Z996" i="1"/>
  <c r="W996" i="1" a="1"/>
  <c r="W996" i="1" s="1"/>
  <c r="S996" i="1"/>
  <c r="Y996" i="1"/>
  <c r="A21" i="9"/>
  <c r="A21" i="9" a="1"/>
  <c r="A5" i="9"/>
  <c r="I5" i="9"/>
  <c r="G5" i="9"/>
  <c r="E5" i="9"/>
  <c r="F5" i="9"/>
  <c r="J5" i="9"/>
  <c r="B5" i="9"/>
  <c r="D5" i="9"/>
  <c r="H5" i="9"/>
  <c r="A5" i="9" a="1"/>
  <c r="C5" i="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<sst xmlns="http://schemas.openxmlformats.org/spreadsheetml/2006/main" count="5191" uniqueCount="138">
  <si>
    <t>F</t>
  </si>
  <si>
    <t>Rebecca</t>
  </si>
  <si>
    <t>Bennett</t>
  </si>
  <si>
    <t>University of Houston</t>
  </si>
  <si>
    <t>Florida Atlantic Coast</t>
  </si>
  <si>
    <t>Naima</t>
  </si>
  <si>
    <t>Reyes</t>
  </si>
  <si>
    <t>Florida Gulf Coast</t>
  </si>
  <si>
    <t>Jan</t>
  </si>
  <si>
    <t>Odom</t>
  </si>
  <si>
    <t>Mid-Atlantic</t>
  </si>
  <si>
    <t>I</t>
  </si>
  <si>
    <t>Betty</t>
  </si>
  <si>
    <t>Berg</t>
  </si>
  <si>
    <t>Southeast</t>
  </si>
  <si>
    <t>M</t>
  </si>
  <si>
    <t>Hazel</t>
  </si>
  <si>
    <t>Villa</t>
  </si>
  <si>
    <t>University of Minnesota</t>
  </si>
  <si>
    <t>West Coast</t>
  </si>
  <si>
    <t>Danica</t>
  </si>
  <si>
    <t>Tyler</t>
  </si>
  <si>
    <t xml:space="preserve">University of Florida	</t>
  </si>
  <si>
    <t>Santiago</t>
  </si>
  <si>
    <t>Vaughan</t>
  </si>
  <si>
    <t xml:space="preserve">Ohio State University	</t>
  </si>
  <si>
    <t>Haniya</t>
  </si>
  <si>
    <t>Talley</t>
  </si>
  <si>
    <t>Prince William Sound Science Center</t>
  </si>
  <si>
    <t>Kali</t>
  </si>
  <si>
    <t>Metcalfe</t>
  </si>
  <si>
    <t>Mote Marine Laboratory</t>
  </si>
  <si>
    <t>Tiegan</t>
  </si>
  <si>
    <t>Davie</t>
  </si>
  <si>
    <t>University of California, Davis</t>
  </si>
  <si>
    <t>Iona</t>
  </si>
  <si>
    <t>Connolly</t>
  </si>
  <si>
    <t>Florida Atlantic University</t>
  </si>
  <si>
    <t>Pacific</t>
  </si>
  <si>
    <t>Martin</t>
  </si>
  <si>
    <t>Gaines</t>
  </si>
  <si>
    <t>San Diego State University</t>
  </si>
  <si>
    <t>Great Lakes</t>
  </si>
  <si>
    <t>Inaya</t>
  </si>
  <si>
    <t>Bernard</t>
  </si>
  <si>
    <t>Stanford University</t>
  </si>
  <si>
    <t>North Pacific</t>
  </si>
  <si>
    <t xml:space="preserve">Gulf of Mexico	</t>
  </si>
  <si>
    <t>Northeast</t>
  </si>
  <si>
    <t>Conan</t>
  </si>
  <si>
    <t>Dalton</t>
  </si>
  <si>
    <t>NULL</t>
  </si>
  <si>
    <t>Nate</t>
  </si>
  <si>
    <t>Craig</t>
  </si>
  <si>
    <t>NOAA Fisheries</t>
  </si>
  <si>
    <t>Category 1</t>
  </si>
  <si>
    <t>Category 2</t>
  </si>
  <si>
    <t>Category 3</t>
  </si>
  <si>
    <t>Sum of Rings</t>
  </si>
  <si>
    <t>Count of Gender</t>
  </si>
  <si>
    <t>Sum of Length</t>
  </si>
  <si>
    <t>Sum of Shell_weight</t>
  </si>
  <si>
    <t>Sum of Shucked_weight</t>
  </si>
  <si>
    <t>Row Labels</t>
  </si>
  <si>
    <t>Grand Total</t>
  </si>
  <si>
    <t>Sum of Diameter</t>
  </si>
  <si>
    <t>Sum of Height</t>
  </si>
  <si>
    <t>Sum of Whole_weight</t>
  </si>
  <si>
    <t>Key:</t>
  </si>
  <si>
    <t>Lowest Cost</t>
  </si>
  <si>
    <t>Higest Cost</t>
  </si>
  <si>
    <t>Abalone_id</t>
  </si>
  <si>
    <t>Gender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</si>
  <si>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</si>
  <si>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</si>
  <si>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</si>
  <si>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</si>
  <si>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</si>
  <si>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</si>
  <si>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</si>
  <si>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Rings</t>
  </si>
  <si>
    <t>Collector</t>
  </si>
  <si>
    <t>Collector_First</t>
  </si>
  <si>
    <t>Collector_last</t>
  </si>
  <si>
    <t>Collector_organization</t>
  </si>
  <si>
    <t>Water</t>
  </si>
  <si>
    <t>Water_region</t>
  </si>
  <si>
    <t>Feb_temp</t>
  </si>
  <si>
    <t>Category All</t>
  </si>
  <si>
    <t>Base Abalone Value</t>
  </si>
  <si>
    <t>Value All</t>
  </si>
  <si>
    <t>Value 1</t>
  </si>
  <si>
    <t>Value 2</t>
  </si>
  <si>
    <t>Value 3</t>
  </si>
  <si>
    <t>Mean</t>
  </si>
  <si>
    <t>Variance</t>
  </si>
  <si>
    <t>Minimun</t>
  </si>
  <si>
    <t>Maximum</t>
  </si>
  <si>
    <t>Whole_Weight</t>
  </si>
  <si>
    <t>Shucked_Weight</t>
  </si>
  <si>
    <t>Visecra_weight</t>
  </si>
  <si>
    <t>Column1</t>
  </si>
  <si>
    <t>Column2</t>
  </si>
  <si>
    <t>Column3</t>
  </si>
  <si>
    <t>Column4</t>
  </si>
  <si>
    <t>Column5</t>
  </si>
  <si>
    <t>MALE</t>
  </si>
  <si>
    <t>FEMALE</t>
  </si>
  <si>
    <t>INFANT</t>
  </si>
  <si>
    <t>Male2</t>
  </si>
  <si>
    <t>Female2</t>
  </si>
  <si>
    <t>Infant2</t>
  </si>
  <si>
    <t>Abalone_ID</t>
  </si>
  <si>
    <t>Column6</t>
  </si>
  <si>
    <t>Column7</t>
  </si>
  <si>
    <t>Column8</t>
  </si>
  <si>
    <t>Column9</t>
  </si>
  <si>
    <t>Column10</t>
  </si>
  <si>
    <t>Average of Shucked_weight</t>
  </si>
  <si>
    <t>Max of Viscera_weight</t>
  </si>
  <si>
    <t>Min of Shell_weight</t>
  </si>
  <si>
    <t>Flordia Gulf Coast</t>
  </si>
  <si>
    <t>North East</t>
  </si>
  <si>
    <t>Mid Atlantic</t>
  </si>
  <si>
    <t>South East</t>
  </si>
  <si>
    <t>Gulf of Mexico</t>
  </si>
  <si>
    <t>Beatrice Roberts</t>
  </si>
  <si>
    <t>Alivia Allen</t>
  </si>
  <si>
    <t>Tori Terry</t>
  </si>
  <si>
    <t>Angela Crawford</t>
  </si>
  <si>
    <t>Axel Anthony</t>
  </si>
  <si>
    <t xml:space="preserve">Sum Scientists </t>
  </si>
  <si>
    <t>Sum Water</t>
  </si>
  <si>
    <t>Column11</t>
  </si>
  <si>
    <t>Column12</t>
  </si>
  <si>
    <t xml:space="preserve">Lowest Value </t>
  </si>
  <si>
    <t>2nd Lowest Value</t>
  </si>
  <si>
    <t>3rd Lowset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</si>
</sst>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5">
    <xf numFmtId="0" fontId="0" fillId="0" borderId="0" xfId="0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pivotButton="1" applyAlignment="1">
      <alignment horizontal="center"/>
    </xf>
    <xf numFmtId="0" fontId="0" fillId="0" borderId="10" xfId="0" applyFont="1" applyBorder="1"/>
    <xf numFmtId="0" fontId="0" fillId="0" borderId="12" xfId="0" applyFont="1" applyBorder="1"/>
    <xf numFmtId="0" fontId="0" fillId="0" borderId="0" xfId="0" applyNumberFormat="1" applyAlignment="1">
      <alignment horizontal="left"/>
    </xf>
    <xf numFmtId="0" fontId="6" fillId="2" borderId="0" xfId="0" applyFont="1" applyFill="1" applyAlignment="1">
      <alignment horizontal="left"/>
    </xf>
    <xf numFmtId="0" fontId="6" fillId="2" borderId="0" xfId="0" applyNumberFormat="1" applyFont="1" applyFill="1"/>
    <xf numFmtId="0" fontId="6" fillId="2" borderId="0" xfId="0" applyNumberFormat="1" applyFont="1" applyFill="1" applyAlignment="1">
      <alignment horizontal="left"/>
    </xf>
    <xf numFmtId="2" fontId="6" fillId="2" borderId="0" xfId="0" applyNumberFormat="1" applyFont="1" applyFill="1"/>
    <xf numFmtId="0" fontId="7" fillId="3" borderId="0" xfId="0" applyFont="1" applyFill="1" applyAlignment="1">
      <alignment horizontal="left"/>
    </xf>
    <xf numFmtId="0" fontId="7" fillId="3" borderId="0" xfId="0" applyNumberFormat="1" applyFont="1" applyFill="1"/>
    <xf numFmtId="0" fontId="7" fillId="3" borderId="0" xfId="0" applyNumberFormat="1" applyFont="1" applyFill="1" applyAlignment="1">
      <alignment horizontal="left"/>
    </xf>
    <xf numFmtId="2" fontId="7" fillId="3" borderId="0" xfId="0" applyNumberFormat="1" applyFont="1" applyFill="1"/>
    <xf numFmtId="0" fontId="7" fillId="3" borderId="0" xfId="7"/>
    <xf numFmtId="0" fontId="6" fillId="2" borderId="0" xfId="6"/>
    <xf numFmtId="0" fontId="8" fillId="4" borderId="0" xfId="8"/>
    <xf numFmtId="0" fontId="13" fillId="34" borderId="10" xfId="0" applyFont="1" applyFill="1" applyBorder="1"/>
    <xf numFmtId="0" fontId="0" fillId="0" borderId="11" xfId="0" applyFont="1" applyBorder="1"/>
    <xf numFmtId="0" fontId="13" fillId="34" borderId="13" xfId="0" applyFont="1" applyFill="1" applyBorder="1"/>
    <xf numFmtId="0" fontId="13" fillId="34" borderId="14" xfId="0" applyFont="1" applyFill="1" applyBorder="1"/>
    <xf numFmtId="0" fontId="13" fillId="34" borderId="15" xfId="0" applyFont="1" applyFill="1" applyBorder="1"/>
    <xf numFmtId="0" fontId="0" fillId="33" borderId="13" xfId="0" applyFont="1" applyFill="1" applyBorder="1"/>
    <xf numFmtId="0" fontId="0" fillId="33" borderId="14" xfId="0" applyFont="1" applyFill="1" applyBorder="1"/>
    <xf numFmtId="0" fontId="0" fillId="33" borderId="15" xfId="0" applyFont="1" applyFill="1" applyBorder="1"/>
    <xf numFmtId="0" fontId="0" fillId="0" borderId="13" xfId="0" applyFont="1" applyBorder="1"/>
    <xf numFmtId="0" fontId="0" fillId="0" borderId="14" xfId="0" applyFont="1" applyBorder="1"/>
    <xf numFmtId="0" fontId="0" fillId="0" borderId="15" xfId="0" applyFont="1" applyBorder="1"/>
    <xf numFmtId="0" fontId="13" fillId="34" borderId="0" xfId="0" applyFont="1" applyFill="1" applyBorder="1"/>
    <xf numFmtId="0" fontId="17" fillId="9" borderId="0" xfId="18"/>
    <xf numFmtId="0" fontId="7" fillId="3" borderId="16" xfId="7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4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family val="2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family val="2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5"/>
          <bgColor rgb="FFC6EF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family val="2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family val="2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family val="2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family val="2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5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3200"/>
              <a:t>Category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Sum of Rings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effectLst>
                      <a:outerShdw blurRad="50800" dist="50800" dir="5400000" sx="1000" sy="1000" algn="ctr" rotWithShape="0">
                        <a:srgbClr val="000000">
                          <a:alpha val="43137"/>
                        </a:srgb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1</c:v>
              </c:pt>
            </c:strLit>
          </c:cat>
          <c:val>
            <c:numLit>
              <c:formatCode>General</c:formatCode>
              <c:ptCount val="1"/>
              <c:pt idx="0">
                <c:v>168</c:v>
              </c:pt>
            </c:numLit>
          </c:val>
          <c:extLst>
            <c:ext xmlns:c16="http://schemas.microsoft.com/office/drawing/2014/chart" uri="{C3380CC4-5D6E-409C-BE32-E72D297353CC}">
              <c16:uniqueId val="{00000000-DC1B-294B-8D7B-3F1754148075}"/>
            </c:ext>
          </c:extLst>
        </c:ser>
        <c:ser>
          <c:idx val="1"/>
          <c:order val="1"/>
          <c:tx>
            <c:v>Sum of Shucked_weight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1</c:v>
              </c:pt>
            </c:strLit>
          </c:cat>
          <c:val>
            <c:numLit>
              <c:formatCode>General</c:formatCode>
              <c:ptCount val="1"/>
              <c:pt idx="0">
                <c:v>7.3704999999999998</c:v>
              </c:pt>
            </c:numLit>
          </c:val>
          <c:extLst>
            <c:ext xmlns:c16="http://schemas.microsoft.com/office/drawing/2014/chart" uri="{C3380CC4-5D6E-409C-BE32-E72D297353CC}">
              <c16:uniqueId val="{00000001-DC1B-294B-8D7B-3F1754148075}"/>
            </c:ext>
          </c:extLst>
        </c:ser>
        <c:ser>
          <c:idx val="2"/>
          <c:order val="2"/>
          <c:tx>
            <c:v>Sum of Shell_weight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1</c:v>
              </c:pt>
            </c:strLit>
          </c:cat>
          <c:val>
            <c:numLit>
              <c:formatCode>General</c:formatCode>
              <c:ptCount val="1"/>
              <c:pt idx="0">
                <c:v>4.6400000000000006</c:v>
              </c:pt>
            </c:numLit>
          </c:val>
          <c:extLst>
            <c:ext xmlns:c16="http://schemas.microsoft.com/office/drawing/2014/chart" uri="{C3380CC4-5D6E-409C-BE32-E72D297353CC}">
              <c16:uniqueId val="{00000002-DC1B-294B-8D7B-3F1754148075}"/>
            </c:ext>
          </c:extLst>
        </c:ser>
        <c:ser>
          <c:idx val="3"/>
          <c:order val="3"/>
          <c:tx>
            <c:v>Sum of Length</c:v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1</c:v>
              </c:pt>
            </c:strLit>
          </c:cat>
          <c:val>
            <c:numLit>
              <c:formatCode>General</c:formatCode>
              <c:ptCount val="1"/>
              <c:pt idx="0">
                <c:v>6.8350000000000009</c:v>
              </c:pt>
            </c:numLit>
          </c:val>
          <c:extLst>
            <c:ext xmlns:c16="http://schemas.microsoft.com/office/drawing/2014/chart" uri="{C3380CC4-5D6E-409C-BE32-E72D297353CC}">
              <c16:uniqueId val="{00000003-DC1B-294B-8D7B-3F1754148075}"/>
            </c:ext>
          </c:extLst>
        </c:ser>
        <c:ser>
          <c:idx val="4"/>
          <c:order val="4"/>
          <c:tx>
            <c:v>Count of Gender</c:v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1</c:v>
              </c:pt>
            </c:strLit>
          </c:cat>
          <c:val>
            <c:numLit>
              <c:formatCode>General</c:formatCode>
              <c:ptCount val="1"/>
              <c:pt idx="0">
                <c:v>11</c:v>
              </c:pt>
            </c:numLit>
          </c:val>
          <c:extLst>
            <c:ext xmlns:c16="http://schemas.microsoft.com/office/drawing/2014/chart" uri="{C3380CC4-5D6E-409C-BE32-E72D297353CC}">
              <c16:uniqueId val="{00000004-DC1B-294B-8D7B-3F175414807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952892464"/>
        <c:axId val="952894128"/>
      </c:barChart>
      <c:catAx>
        <c:axId val="952892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2894128"/>
        <c:crosses val="autoZero"/>
        <c:auto val="1"/>
        <c:lblAlgn val="ctr"/>
        <c:lblOffset val="100"/>
        <c:noMultiLvlLbl val="0"/>
      </c:catAx>
      <c:valAx>
        <c:axId val="95289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2892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3200"/>
              <a:t>Category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Sum of Rings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2</c:v>
              </c:pt>
            </c:strLit>
          </c:cat>
          <c:val>
            <c:numLit>
              <c:formatCode>General</c:formatCode>
              <c:ptCount val="1"/>
              <c:pt idx="0">
                <c:v>6089</c:v>
              </c:pt>
            </c:numLit>
          </c:val>
          <c:extLst>
            <c:ext xmlns:c16="http://schemas.microsoft.com/office/drawing/2014/chart" uri="{C3380CC4-5D6E-409C-BE32-E72D297353CC}">
              <c16:uniqueId val="{00000000-3633-7242-AD62-0425AEBEB5AA}"/>
            </c:ext>
          </c:extLst>
        </c:ser>
        <c:ser>
          <c:idx val="1"/>
          <c:order val="1"/>
          <c:tx>
            <c:v>Sum of Shucked_weight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2</c:v>
              </c:pt>
            </c:strLit>
          </c:cat>
          <c:val>
            <c:numLit>
              <c:formatCode>General</c:formatCode>
              <c:ptCount val="1"/>
              <c:pt idx="0">
                <c:v>146.12249999999997</c:v>
              </c:pt>
            </c:numLit>
          </c:val>
          <c:extLst>
            <c:ext xmlns:c16="http://schemas.microsoft.com/office/drawing/2014/chart" uri="{C3380CC4-5D6E-409C-BE32-E72D297353CC}">
              <c16:uniqueId val="{00000001-3633-7242-AD62-0425AEBEB5AA}"/>
            </c:ext>
          </c:extLst>
        </c:ser>
        <c:ser>
          <c:idx val="2"/>
          <c:order val="2"/>
          <c:tx>
            <c:v>Sum of Shell_weight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2</c:v>
              </c:pt>
            </c:strLit>
          </c:cat>
          <c:val>
            <c:numLit>
              <c:formatCode>General</c:formatCode>
              <c:ptCount val="1"/>
              <c:pt idx="0">
                <c:v>109.75500000000001</c:v>
              </c:pt>
            </c:numLit>
          </c:val>
          <c:extLst>
            <c:ext xmlns:c16="http://schemas.microsoft.com/office/drawing/2014/chart" uri="{C3380CC4-5D6E-409C-BE32-E72D297353CC}">
              <c16:uniqueId val="{00000002-3633-7242-AD62-0425AEBEB5AA}"/>
            </c:ext>
          </c:extLst>
        </c:ser>
        <c:ser>
          <c:idx val="3"/>
          <c:order val="3"/>
          <c:tx>
            <c:v>Sum of Length</c:v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2</c:v>
              </c:pt>
            </c:strLit>
          </c:cat>
          <c:val>
            <c:numLit>
              <c:formatCode>General</c:formatCode>
              <c:ptCount val="1"/>
              <c:pt idx="0">
                <c:v>294.75499999999982</c:v>
              </c:pt>
            </c:numLit>
          </c:val>
          <c:extLst>
            <c:ext xmlns:c16="http://schemas.microsoft.com/office/drawing/2014/chart" uri="{C3380CC4-5D6E-409C-BE32-E72D297353CC}">
              <c16:uniqueId val="{00000003-3633-7242-AD62-0425AEBEB5AA}"/>
            </c:ext>
          </c:extLst>
        </c:ser>
        <c:ser>
          <c:idx val="4"/>
          <c:order val="4"/>
          <c:tx>
            <c:v>Count of Gender</c:v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2</c:v>
              </c:pt>
            </c:strLit>
          </c:cat>
          <c:val>
            <c:numLit>
              <c:formatCode>General</c:formatCode>
              <c:ptCount val="1"/>
              <c:pt idx="0">
                <c:v>632</c:v>
              </c:pt>
            </c:numLit>
          </c:val>
          <c:extLst>
            <c:ext xmlns:c16="http://schemas.microsoft.com/office/drawing/2014/chart" uri="{C3380CC4-5D6E-409C-BE32-E72D297353CC}">
              <c16:uniqueId val="{00000004-3633-7242-AD62-0425AEBEB5A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117006432"/>
        <c:axId val="1117004352"/>
      </c:barChart>
      <c:catAx>
        <c:axId val="1117006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7004352"/>
        <c:crosses val="autoZero"/>
        <c:auto val="1"/>
        <c:lblAlgn val="ctr"/>
        <c:lblOffset val="100"/>
        <c:noMultiLvlLbl val="0"/>
      </c:catAx>
      <c:valAx>
        <c:axId val="111700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7006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3200"/>
              <a:t>Category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Sum of Rings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3</c:v>
              </c:pt>
            </c:strLit>
          </c:cat>
          <c:val>
            <c:numLit>
              <c:formatCode>General</c:formatCode>
              <c:ptCount val="1"/>
              <c:pt idx="0">
                <c:v>3782</c:v>
              </c:pt>
            </c:numLit>
          </c:val>
          <c:extLst>
            <c:ext xmlns:c16="http://schemas.microsoft.com/office/drawing/2014/chart" uri="{C3380CC4-5D6E-409C-BE32-E72D297353CC}">
              <c16:uniqueId val="{00000000-51DE-4242-8F8F-1DD59B9FE546}"/>
            </c:ext>
          </c:extLst>
        </c:ser>
        <c:ser>
          <c:idx val="1"/>
          <c:order val="1"/>
          <c:tx>
            <c:v>Sum of Shucked_weight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3</c:v>
              </c:pt>
            </c:strLit>
          </c:cat>
          <c:val>
            <c:numLit>
              <c:formatCode>General</c:formatCode>
              <c:ptCount val="1"/>
              <c:pt idx="0">
                <c:v>205.91649999999987</c:v>
              </c:pt>
            </c:numLit>
          </c:val>
          <c:extLst>
            <c:ext xmlns:c16="http://schemas.microsoft.com/office/drawing/2014/chart" uri="{C3380CC4-5D6E-409C-BE32-E72D297353CC}">
              <c16:uniqueId val="{00000001-51DE-4242-8F8F-1DD59B9FE546}"/>
            </c:ext>
          </c:extLst>
        </c:ser>
        <c:ser>
          <c:idx val="2"/>
          <c:order val="2"/>
          <c:tx>
            <c:v>Sum of Shell_weight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3</c:v>
              </c:pt>
            </c:strLit>
          </c:cat>
          <c:val>
            <c:numLit>
              <c:formatCode>General</c:formatCode>
              <c:ptCount val="1"/>
              <c:pt idx="0">
                <c:v>126.98299999999998</c:v>
              </c:pt>
            </c:numLit>
          </c:val>
          <c:extLst>
            <c:ext xmlns:c16="http://schemas.microsoft.com/office/drawing/2014/chart" uri="{C3380CC4-5D6E-409C-BE32-E72D297353CC}">
              <c16:uniqueId val="{00000002-51DE-4242-8F8F-1DD59B9FE546}"/>
            </c:ext>
          </c:extLst>
        </c:ser>
        <c:ser>
          <c:idx val="3"/>
          <c:order val="3"/>
          <c:tx>
            <c:v>Sum of Length</c:v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3</c:v>
              </c:pt>
            </c:strLit>
          </c:cat>
          <c:val>
            <c:numLit>
              <c:formatCode>General</c:formatCode>
              <c:ptCount val="1"/>
              <c:pt idx="0">
                <c:v>225.42499999999998</c:v>
              </c:pt>
            </c:numLit>
          </c:val>
          <c:extLst>
            <c:ext xmlns:c16="http://schemas.microsoft.com/office/drawing/2014/chart" uri="{C3380CC4-5D6E-409C-BE32-E72D297353CC}">
              <c16:uniqueId val="{00000003-51DE-4242-8F8F-1DD59B9FE546}"/>
            </c:ext>
          </c:extLst>
        </c:ser>
        <c:ser>
          <c:idx val="4"/>
          <c:order val="4"/>
          <c:tx>
            <c:v>Count of Gender</c:v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3</c:v>
              </c:pt>
            </c:strLit>
          </c:cat>
          <c:val>
            <c:numLit>
              <c:formatCode>General</c:formatCode>
              <c:ptCount val="1"/>
              <c:pt idx="0">
                <c:v>357</c:v>
              </c:pt>
            </c:numLit>
          </c:val>
          <c:extLst>
            <c:ext xmlns:c16="http://schemas.microsoft.com/office/drawing/2014/chart" uri="{C3380CC4-5D6E-409C-BE32-E72D297353CC}">
              <c16:uniqueId val="{00000004-51DE-4242-8F8F-1DD59B9FE54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156702896"/>
        <c:axId val="1156704976"/>
      </c:barChart>
      <c:catAx>
        <c:axId val="1156702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6704976"/>
        <c:crosses val="autoZero"/>
        <c:auto val="1"/>
        <c:lblAlgn val="ctr"/>
        <c:lblOffset val="100"/>
        <c:noMultiLvlLbl val="0"/>
      </c:catAx>
      <c:valAx>
        <c:axId val="115670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6702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[Ebin_Mathew_ExcData.xlsx]Ecomonic Values!PivotTable6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Category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'Ecomonic Values'!$B$9</c:f>
              <c:strCache>
                <c:ptCount val="1"/>
                <c:pt idx="0">
                  <c:v>Sum of Length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'Ecomonic Values'!$A$10:$A$21</c:f>
              <c:strCache>
                <c:ptCount val="11"/>
                <c:pt idx="0">
                  <c:v>1.4004175</c:v>
                </c:pt>
                <c:pt idx="1">
                  <c:v>1.42194375</c:v>
                </c:pt>
                <c:pt idx="2">
                  <c:v>1.449671875</c:v>
                </c:pt>
                <c:pt idx="3">
                  <c:v>1.4756625</c:v>
                </c:pt>
                <c:pt idx="4">
                  <c:v>1.498998125</c:v>
                </c:pt>
                <c:pt idx="5">
                  <c:v>1.539225</c:v>
                </c:pt>
                <c:pt idx="6">
                  <c:v>1.57514875</c:v>
                </c:pt>
                <c:pt idx="7">
                  <c:v>1.59241625</c:v>
                </c:pt>
                <c:pt idx="8">
                  <c:v>1.59311</c:v>
                </c:pt>
                <c:pt idx="9">
                  <c:v>1.609915625</c:v>
                </c:pt>
                <c:pt idx="10">
                  <c:v>1.63106</c:v>
                </c:pt>
              </c:strCache>
            </c:strRef>
          </c:cat>
          <c:val>
            <c:numRef>
              <c:f>'Ecomonic Values'!$B$10:$B$21</c:f>
              <c:numCache>
                <c:formatCode>General</c:formatCode>
                <c:ptCount val="11"/>
                <c:pt idx="0">
                  <c:v>0.44</c:v>
                </c:pt>
                <c:pt idx="1">
                  <c:v>0.44</c:v>
                </c:pt>
                <c:pt idx="2">
                  <c:v>0.495</c:v>
                </c:pt>
                <c:pt idx="3">
                  <c:v>0.54</c:v>
                </c:pt>
                <c:pt idx="4">
                  <c:v>0.56000000000000005</c:v>
                </c:pt>
                <c:pt idx="5">
                  <c:v>0.63500000000000001</c:v>
                </c:pt>
                <c:pt idx="6">
                  <c:v>0.72499999999999998</c:v>
                </c:pt>
                <c:pt idx="7">
                  <c:v>0.73</c:v>
                </c:pt>
                <c:pt idx="8">
                  <c:v>0.76500000000000001</c:v>
                </c:pt>
                <c:pt idx="9">
                  <c:v>0.73</c:v>
                </c:pt>
                <c:pt idx="10">
                  <c:v>0.77500000000000002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6-6A52-D54D-9FC3-CA987BE29ED2}"/>
            </c:ext>
          </c:extLst>
        </c:ser>
        <c:ser>
          <c:idx val="1"/>
          <c:order val="1"/>
          <c:tx>
            <c:strRef>
              <c:f>'Ecomonic Values'!$C$9</c:f>
              <c:strCache>
                <c:ptCount val="1"/>
                <c:pt idx="0">
                  <c:v>Sum of Diameter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'Ecomonic Values'!$A$10:$A$21</c:f>
              <c:strCache>
                <c:ptCount val="11"/>
                <c:pt idx="0">
                  <c:v>1.4004175</c:v>
                </c:pt>
                <c:pt idx="1">
                  <c:v>1.42194375</c:v>
                </c:pt>
                <c:pt idx="2">
                  <c:v>1.449671875</c:v>
                </c:pt>
                <c:pt idx="3">
                  <c:v>1.4756625</c:v>
                </c:pt>
                <c:pt idx="4">
                  <c:v>1.498998125</c:v>
                </c:pt>
                <c:pt idx="5">
                  <c:v>1.539225</c:v>
                </c:pt>
                <c:pt idx="6">
                  <c:v>1.57514875</c:v>
                </c:pt>
                <c:pt idx="7">
                  <c:v>1.59241625</c:v>
                </c:pt>
                <c:pt idx="8">
                  <c:v>1.59311</c:v>
                </c:pt>
                <c:pt idx="9">
                  <c:v>1.609915625</c:v>
                </c:pt>
                <c:pt idx="10">
                  <c:v>1.63106</c:v>
                </c:pt>
              </c:strCache>
            </c:strRef>
          </c:cat>
          <c:val>
            <c:numRef>
              <c:f>'Ecomonic Values'!$C$10:$C$21</c:f>
              <c:numCache>
                <c:formatCode>General</c:formatCode>
                <c:ptCount val="11"/>
                <c:pt idx="0">
                  <c:v>0.33</c:v>
                </c:pt>
                <c:pt idx="1">
                  <c:v>0.35499999999999998</c:v>
                </c:pt>
                <c:pt idx="2">
                  <c:v>0.37</c:v>
                </c:pt>
                <c:pt idx="3">
                  <c:v>0.435</c:v>
                </c:pt>
                <c:pt idx="4">
                  <c:v>0.44500000000000001</c:v>
                </c:pt>
                <c:pt idx="5">
                  <c:v>0.48</c:v>
                </c:pt>
                <c:pt idx="6">
                  <c:v>0.56999999999999995</c:v>
                </c:pt>
                <c:pt idx="7">
                  <c:v>0.59499999999999997</c:v>
                </c:pt>
                <c:pt idx="8">
                  <c:v>0.58499999999999996</c:v>
                </c:pt>
                <c:pt idx="9">
                  <c:v>0.58499999999999996</c:v>
                </c:pt>
                <c:pt idx="10">
                  <c:v>0.56999999999999995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7-6A52-D54D-9FC3-CA987BE29ED2}"/>
            </c:ext>
          </c:extLst>
        </c:ser>
        <c:ser>
          <c:idx val="2"/>
          <c:order val="2"/>
          <c:tx>
            <c:strRef>
              <c:f>'Ecomonic Values'!$D$9</c:f>
              <c:strCache>
                <c:ptCount val="1"/>
                <c:pt idx="0">
                  <c:v>Sum of Height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'Ecomonic Values'!$A$10:$A$21</c:f>
              <c:strCache>
                <c:ptCount val="11"/>
                <c:pt idx="0">
                  <c:v>1.4004175</c:v>
                </c:pt>
                <c:pt idx="1">
                  <c:v>1.42194375</c:v>
                </c:pt>
                <c:pt idx="2">
                  <c:v>1.449671875</c:v>
                </c:pt>
                <c:pt idx="3">
                  <c:v>1.4756625</c:v>
                </c:pt>
                <c:pt idx="4">
                  <c:v>1.498998125</c:v>
                </c:pt>
                <c:pt idx="5">
                  <c:v>1.539225</c:v>
                </c:pt>
                <c:pt idx="6">
                  <c:v>1.57514875</c:v>
                </c:pt>
                <c:pt idx="7">
                  <c:v>1.59241625</c:v>
                </c:pt>
                <c:pt idx="8">
                  <c:v>1.59311</c:v>
                </c:pt>
                <c:pt idx="9">
                  <c:v>1.609915625</c:v>
                </c:pt>
                <c:pt idx="10">
                  <c:v>1.63106</c:v>
                </c:pt>
              </c:strCache>
            </c:strRef>
          </c:cat>
          <c:val>
            <c:numRef>
              <c:f>'Ecomonic Values'!$D$10:$D$21</c:f>
              <c:numCache>
                <c:formatCode>General</c:formatCode>
                <c:ptCount val="11"/>
                <c:pt idx="0">
                  <c:v>0.13500000000000001</c:v>
                </c:pt>
                <c:pt idx="1">
                  <c:v>0.16500000000000001</c:v>
                </c:pt>
                <c:pt idx="2">
                  <c:v>0.125</c:v>
                </c:pt>
                <c:pt idx="3">
                  <c:v>0.14499999999999999</c:v>
                </c:pt>
                <c:pt idx="4">
                  <c:v>0.155</c:v>
                </c:pt>
                <c:pt idx="5">
                  <c:v>0.2</c:v>
                </c:pt>
                <c:pt idx="6">
                  <c:v>0.19</c:v>
                </c:pt>
                <c:pt idx="7">
                  <c:v>0.23</c:v>
                </c:pt>
                <c:pt idx="8">
                  <c:v>0.18</c:v>
                </c:pt>
                <c:pt idx="9">
                  <c:v>0.22500000000000001</c:v>
                </c:pt>
                <c:pt idx="10">
                  <c:v>0.22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8-6A52-D54D-9FC3-CA987BE29ED2}"/>
            </c:ext>
          </c:extLst>
        </c:ser>
        <c:ser>
          <c:idx val="3"/>
          <c:order val="3"/>
          <c:tx>
            <c:strRef>
              <c:f>'Ecomonic Values'!$E$9</c:f>
              <c:strCache>
                <c:ptCount val="1"/>
                <c:pt idx="0">
                  <c:v>Sum of Whole_weight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'Ecomonic Values'!$A$10:$A$21</c:f>
              <c:strCache>
                <c:ptCount val="11"/>
                <c:pt idx="0">
                  <c:v>1.4004175</c:v>
                </c:pt>
                <c:pt idx="1">
                  <c:v>1.42194375</c:v>
                </c:pt>
                <c:pt idx="2">
                  <c:v>1.449671875</c:v>
                </c:pt>
                <c:pt idx="3">
                  <c:v>1.4756625</c:v>
                </c:pt>
                <c:pt idx="4">
                  <c:v>1.498998125</c:v>
                </c:pt>
                <c:pt idx="5">
                  <c:v>1.539225</c:v>
                </c:pt>
                <c:pt idx="6">
                  <c:v>1.57514875</c:v>
                </c:pt>
                <c:pt idx="7">
                  <c:v>1.59241625</c:v>
                </c:pt>
                <c:pt idx="8">
                  <c:v>1.59311</c:v>
                </c:pt>
                <c:pt idx="9">
                  <c:v>1.609915625</c:v>
                </c:pt>
                <c:pt idx="10">
                  <c:v>1.63106</c:v>
                </c:pt>
              </c:strCache>
            </c:strRef>
          </c:cat>
          <c:val>
            <c:numRef>
              <c:f>'Ecomonic Values'!$E$10:$E$21</c:f>
              <c:numCache>
                <c:formatCode>General</c:formatCode>
                <c:ptCount val="11"/>
                <c:pt idx="0">
                  <c:v>0.52200000000000002</c:v>
                </c:pt>
                <c:pt idx="1">
                  <c:v>0.435</c:v>
                </c:pt>
                <c:pt idx="2">
                  <c:v>0.47749999999999998</c:v>
                </c:pt>
                <c:pt idx="3">
                  <c:v>0.97</c:v>
                </c:pt>
                <c:pt idx="4">
                  <c:v>0.87350000000000005</c:v>
                </c:pt>
                <c:pt idx="5">
                  <c:v>1.3654999999999999</c:v>
                </c:pt>
                <c:pt idx="6">
                  <c:v>2.3304999999999998</c:v>
                </c:pt>
                <c:pt idx="7">
                  <c:v>2.8254999999999999</c:v>
                </c:pt>
                <c:pt idx="8">
                  <c:v>2.3980000000000001</c:v>
                </c:pt>
                <c:pt idx="9">
                  <c:v>2.2305000000000001</c:v>
                </c:pt>
                <c:pt idx="10">
                  <c:v>2.032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9-6A52-D54D-9FC3-CA987BE29ED2}"/>
            </c:ext>
          </c:extLst>
        </c:ser>
        <c:ser>
          <c:idx val="4"/>
          <c:order val="4"/>
          <c:tx>
            <c:strRef>
              <c:f>'Ecomonic Values'!$F$9</c:f>
              <c:strCache>
                <c:ptCount val="1"/>
                <c:pt idx="0">
                  <c:v>Count of Gender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'Ecomonic Values'!$A$10:$A$21</c:f>
              <c:strCache>
                <c:ptCount val="11"/>
                <c:pt idx="0">
                  <c:v>1.4004175</c:v>
                </c:pt>
                <c:pt idx="1">
                  <c:v>1.42194375</c:v>
                </c:pt>
                <c:pt idx="2">
                  <c:v>1.449671875</c:v>
                </c:pt>
                <c:pt idx="3">
                  <c:v>1.4756625</c:v>
                </c:pt>
                <c:pt idx="4">
                  <c:v>1.498998125</c:v>
                </c:pt>
                <c:pt idx="5">
                  <c:v>1.539225</c:v>
                </c:pt>
                <c:pt idx="6">
                  <c:v>1.57514875</c:v>
                </c:pt>
                <c:pt idx="7">
                  <c:v>1.59241625</c:v>
                </c:pt>
                <c:pt idx="8">
                  <c:v>1.59311</c:v>
                </c:pt>
                <c:pt idx="9">
                  <c:v>1.609915625</c:v>
                </c:pt>
                <c:pt idx="10">
                  <c:v>1.63106</c:v>
                </c:pt>
              </c:strCache>
            </c:strRef>
          </c:cat>
          <c:val>
            <c:numRef>
              <c:f>'Ecomonic Values'!$F$10:$F$21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A-6A52-D54D-9FC3-CA987BE29E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05454399"/>
        <c:axId val="605462575"/>
      </c:barChart>
      <c:catAx>
        <c:axId val="6054543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Abalone 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462575"/>
        <c:crosses val="autoZero"/>
        <c:auto val="1"/>
        <c:lblAlgn val="ctr"/>
        <c:lblOffset val="100"/>
        <c:noMultiLvlLbl val="0"/>
      </c:catAx>
      <c:valAx>
        <c:axId val="605462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454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[Ebin_Mathew_ExcData.xlsx]Ecomonic Values!PivotTable7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Category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'Ecomonic Values'!$B$24</c:f>
              <c:strCache>
                <c:ptCount val="1"/>
                <c:pt idx="0">
                  <c:v>Count of Gender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'Ecomonic Values'!$A$25:$A$631</c:f>
              <c:strCache>
                <c:ptCount val="606"/>
                <c:pt idx="0">
                  <c:v>0.619489</c:v>
                </c:pt>
                <c:pt idx="1">
                  <c:v>0.620692</c:v>
                </c:pt>
                <c:pt idx="2">
                  <c:v>0.628516666666667</c:v>
                </c:pt>
                <c:pt idx="3">
                  <c:v>0.6308</c:v>
                </c:pt>
                <c:pt idx="4">
                  <c:v>0.6311</c:v>
                </c:pt>
                <c:pt idx="5">
                  <c:v>0.634939333333333</c:v>
                </c:pt>
                <c:pt idx="6">
                  <c:v>0.636157333333333</c:v>
                </c:pt>
                <c:pt idx="7">
                  <c:v>0.638656</c:v>
                </c:pt>
                <c:pt idx="8">
                  <c:v>0.63878</c:v>
                </c:pt>
                <c:pt idx="9">
                  <c:v>0.638848</c:v>
                </c:pt>
                <c:pt idx="10">
                  <c:v>0.644037333333333</c:v>
                </c:pt>
                <c:pt idx="11">
                  <c:v>0.650225</c:v>
                </c:pt>
                <c:pt idx="12">
                  <c:v>0.650465</c:v>
                </c:pt>
                <c:pt idx="13">
                  <c:v>0.652734666666667</c:v>
                </c:pt>
                <c:pt idx="14">
                  <c:v>0.655434</c:v>
                </c:pt>
                <c:pt idx="15">
                  <c:v>0.655447333333333</c:v>
                </c:pt>
                <c:pt idx="16">
                  <c:v>0.659883666666667</c:v>
                </c:pt>
                <c:pt idx="17">
                  <c:v>0.662998666666667</c:v>
                </c:pt>
                <c:pt idx="18">
                  <c:v>0.667696333333333</c:v>
                </c:pt>
                <c:pt idx="19">
                  <c:v>0.673026666666667</c:v>
                </c:pt>
                <c:pt idx="20">
                  <c:v>0.679512</c:v>
                </c:pt>
                <c:pt idx="21">
                  <c:v>0.682043666666667</c:v>
                </c:pt>
                <c:pt idx="22">
                  <c:v>0.682292</c:v>
                </c:pt>
                <c:pt idx="23">
                  <c:v>0.682411666666667</c:v>
                </c:pt>
                <c:pt idx="24">
                  <c:v>0.683211666666667</c:v>
                </c:pt>
                <c:pt idx="25">
                  <c:v>0.683488666666667</c:v>
                </c:pt>
                <c:pt idx="26">
                  <c:v>0.684096</c:v>
                </c:pt>
                <c:pt idx="27">
                  <c:v>0.684112333333333</c:v>
                </c:pt>
                <c:pt idx="28">
                  <c:v>0.685708666666667</c:v>
                </c:pt>
                <c:pt idx="29">
                  <c:v>0.686368</c:v>
                </c:pt>
                <c:pt idx="30">
                  <c:v>0.68771</c:v>
                </c:pt>
                <c:pt idx="31">
                  <c:v>0.689612</c:v>
                </c:pt>
                <c:pt idx="32">
                  <c:v>0.6904</c:v>
                </c:pt>
                <c:pt idx="33">
                  <c:v>0.690624</c:v>
                </c:pt>
                <c:pt idx="34">
                  <c:v>0.690973333333333</c:v>
                </c:pt>
                <c:pt idx="35">
                  <c:v>0.691266666666667</c:v>
                </c:pt>
                <c:pt idx="36">
                  <c:v>0.691789333333333</c:v>
                </c:pt>
                <c:pt idx="37">
                  <c:v>0.692277333333333</c:v>
                </c:pt>
                <c:pt idx="38">
                  <c:v>0.693312</c:v>
                </c:pt>
                <c:pt idx="39">
                  <c:v>0.693796</c:v>
                </c:pt>
                <c:pt idx="40">
                  <c:v>0.694099333333333</c:v>
                </c:pt>
                <c:pt idx="41">
                  <c:v>0.694799333333333</c:v>
                </c:pt>
                <c:pt idx="42">
                  <c:v>0.695319</c:v>
                </c:pt>
                <c:pt idx="43">
                  <c:v>0.695923333333333</c:v>
                </c:pt>
                <c:pt idx="44">
                  <c:v>0.697055</c:v>
                </c:pt>
                <c:pt idx="45">
                  <c:v>0.698186666666667</c:v>
                </c:pt>
                <c:pt idx="46">
                  <c:v>0.699466666666667</c:v>
                </c:pt>
                <c:pt idx="47">
                  <c:v>0.699896666666667</c:v>
                </c:pt>
                <c:pt idx="48">
                  <c:v>0.700022</c:v>
                </c:pt>
                <c:pt idx="49">
                  <c:v>0.700231666666667</c:v>
                </c:pt>
                <c:pt idx="50">
                  <c:v>0.70052</c:v>
                </c:pt>
                <c:pt idx="51">
                  <c:v>0.701098333333333</c:v>
                </c:pt>
                <c:pt idx="52">
                  <c:v>0.701664</c:v>
                </c:pt>
                <c:pt idx="53">
                  <c:v>0.702193333333333</c:v>
                </c:pt>
                <c:pt idx="54">
                  <c:v>0.702563333333333</c:v>
                </c:pt>
                <c:pt idx="55">
                  <c:v>0.703306333333333</c:v>
                </c:pt>
                <c:pt idx="56">
                  <c:v>0.703831333333333</c:v>
                </c:pt>
                <c:pt idx="57">
                  <c:v>0.703904</c:v>
                </c:pt>
                <c:pt idx="58">
                  <c:v>0.70394</c:v>
                </c:pt>
                <c:pt idx="59">
                  <c:v>0.703978666666667</c:v>
                </c:pt>
                <c:pt idx="60">
                  <c:v>0.704058333333333</c:v>
                </c:pt>
                <c:pt idx="61">
                  <c:v>0.706151333333333</c:v>
                </c:pt>
                <c:pt idx="62">
                  <c:v>0.706465</c:v>
                </c:pt>
                <c:pt idx="63">
                  <c:v>0.708746666666667</c:v>
                </c:pt>
                <c:pt idx="64">
                  <c:v>0.710986666666667</c:v>
                </c:pt>
                <c:pt idx="65">
                  <c:v>0.711466666666667</c:v>
                </c:pt>
                <c:pt idx="66">
                  <c:v>0.712090333333333</c:v>
                </c:pt>
                <c:pt idx="67">
                  <c:v>0.713679333333333</c:v>
                </c:pt>
                <c:pt idx="68">
                  <c:v>0.713955333333333</c:v>
                </c:pt>
                <c:pt idx="69">
                  <c:v>0.715358666666667</c:v>
                </c:pt>
                <c:pt idx="70">
                  <c:v>0.715857333333333</c:v>
                </c:pt>
                <c:pt idx="71">
                  <c:v>0.715918666666667</c:v>
                </c:pt>
                <c:pt idx="72">
                  <c:v>0.715988666666667</c:v>
                </c:pt>
                <c:pt idx="73">
                  <c:v>0.716332666666667</c:v>
                </c:pt>
                <c:pt idx="74">
                  <c:v>0.716663333333333</c:v>
                </c:pt>
                <c:pt idx="75">
                  <c:v>0.716713</c:v>
                </c:pt>
                <c:pt idx="76">
                  <c:v>0.716839333333333</c:v>
                </c:pt>
                <c:pt idx="77">
                  <c:v>0.718463333333333</c:v>
                </c:pt>
                <c:pt idx="78">
                  <c:v>0.718707666666667</c:v>
                </c:pt>
                <c:pt idx="79">
                  <c:v>0.718975</c:v>
                </c:pt>
                <c:pt idx="80">
                  <c:v>0.7191</c:v>
                </c:pt>
                <c:pt idx="81">
                  <c:v>0.719423333333333</c:v>
                </c:pt>
                <c:pt idx="82">
                  <c:v>0.719735</c:v>
                </c:pt>
                <c:pt idx="83">
                  <c:v>0.719866666666667</c:v>
                </c:pt>
                <c:pt idx="84">
                  <c:v>0.720208666666667</c:v>
                </c:pt>
                <c:pt idx="85">
                  <c:v>0.72048</c:v>
                </c:pt>
                <c:pt idx="86">
                  <c:v>0.720723333333333</c:v>
                </c:pt>
                <c:pt idx="87">
                  <c:v>0.720974</c:v>
                </c:pt>
                <c:pt idx="88">
                  <c:v>0.721682333333333</c:v>
                </c:pt>
                <c:pt idx="89">
                  <c:v>0.722731333333333</c:v>
                </c:pt>
                <c:pt idx="90">
                  <c:v>0.722783333333333</c:v>
                </c:pt>
                <c:pt idx="91">
                  <c:v>0.722999333333333</c:v>
                </c:pt>
                <c:pt idx="92">
                  <c:v>0.723309</c:v>
                </c:pt>
                <c:pt idx="93">
                  <c:v>0.723702666666667</c:v>
                </c:pt>
                <c:pt idx="94">
                  <c:v>0.724033333333333</c:v>
                </c:pt>
                <c:pt idx="95">
                  <c:v>0.724093333333333</c:v>
                </c:pt>
                <c:pt idx="96">
                  <c:v>0.724322666666667</c:v>
                </c:pt>
                <c:pt idx="97">
                  <c:v>0.724406666666667</c:v>
                </c:pt>
                <c:pt idx="98">
                  <c:v>0.724427333333333</c:v>
                </c:pt>
                <c:pt idx="99">
                  <c:v>0.724479666666667</c:v>
                </c:pt>
                <c:pt idx="100">
                  <c:v>0.72466</c:v>
                </c:pt>
                <c:pt idx="101">
                  <c:v>0.725480666666667</c:v>
                </c:pt>
                <c:pt idx="102">
                  <c:v>0.725833333333333</c:v>
                </c:pt>
                <c:pt idx="103">
                  <c:v>0.725874</c:v>
                </c:pt>
                <c:pt idx="104">
                  <c:v>0.726246666666667</c:v>
                </c:pt>
                <c:pt idx="105">
                  <c:v>0.726293333333333</c:v>
                </c:pt>
                <c:pt idx="106">
                  <c:v>0.72644</c:v>
                </c:pt>
                <c:pt idx="107">
                  <c:v>0.7265</c:v>
                </c:pt>
                <c:pt idx="108">
                  <c:v>0.726933333333333</c:v>
                </c:pt>
                <c:pt idx="109">
                  <c:v>0.727316333333333</c:v>
                </c:pt>
                <c:pt idx="110">
                  <c:v>0.727379333333333</c:v>
                </c:pt>
                <c:pt idx="111">
                  <c:v>0.728418666666667</c:v>
                </c:pt>
                <c:pt idx="112">
                  <c:v>0.729069666666667</c:v>
                </c:pt>
                <c:pt idx="113">
                  <c:v>0.729694</c:v>
                </c:pt>
                <c:pt idx="114">
                  <c:v>0.729953333333333</c:v>
                </c:pt>
                <c:pt idx="115">
                  <c:v>0.730131666666667</c:v>
                </c:pt>
                <c:pt idx="116">
                  <c:v>0.730304</c:v>
                </c:pt>
                <c:pt idx="117">
                  <c:v>0.730961</c:v>
                </c:pt>
                <c:pt idx="118">
                  <c:v>0.73166</c:v>
                </c:pt>
                <c:pt idx="119">
                  <c:v>0.73228</c:v>
                </c:pt>
                <c:pt idx="120">
                  <c:v>0.732433333333333</c:v>
                </c:pt>
                <c:pt idx="121">
                  <c:v>0.73253</c:v>
                </c:pt>
                <c:pt idx="122">
                  <c:v>0.733067333333333</c:v>
                </c:pt>
                <c:pt idx="123">
                  <c:v>0.73334</c:v>
                </c:pt>
                <c:pt idx="124">
                  <c:v>0.73368</c:v>
                </c:pt>
                <c:pt idx="125">
                  <c:v>0.73376</c:v>
                </c:pt>
                <c:pt idx="126">
                  <c:v>0.733987333333333</c:v>
                </c:pt>
                <c:pt idx="127">
                  <c:v>0.734152</c:v>
                </c:pt>
                <c:pt idx="128">
                  <c:v>0.73434</c:v>
                </c:pt>
                <c:pt idx="129">
                  <c:v>0.734582666666667</c:v>
                </c:pt>
                <c:pt idx="130">
                  <c:v>0.734876</c:v>
                </c:pt>
                <c:pt idx="131">
                  <c:v>0.735253</c:v>
                </c:pt>
                <c:pt idx="132">
                  <c:v>0.735526</c:v>
                </c:pt>
                <c:pt idx="133">
                  <c:v>0.735574666666667</c:v>
                </c:pt>
                <c:pt idx="134">
                  <c:v>0.736146666666667</c:v>
                </c:pt>
                <c:pt idx="135">
                  <c:v>0.736738333333333</c:v>
                </c:pt>
                <c:pt idx="136">
                  <c:v>0.737026666666667</c:v>
                </c:pt>
                <c:pt idx="137">
                  <c:v>0.737766666666667</c:v>
                </c:pt>
                <c:pt idx="138">
                  <c:v>0.737820333333333</c:v>
                </c:pt>
                <c:pt idx="139">
                  <c:v>0.738053333333333</c:v>
                </c:pt>
                <c:pt idx="140">
                  <c:v>0.738350666666667</c:v>
                </c:pt>
                <c:pt idx="141">
                  <c:v>0.738351333333333</c:v>
                </c:pt>
                <c:pt idx="142">
                  <c:v>0.738366666666667</c:v>
                </c:pt>
                <c:pt idx="143">
                  <c:v>0.738613333333333</c:v>
                </c:pt>
                <c:pt idx="144">
                  <c:v>0.739472333333333</c:v>
                </c:pt>
                <c:pt idx="145">
                  <c:v>0.739570666666667</c:v>
                </c:pt>
                <c:pt idx="146">
                  <c:v>0.739673333333333</c:v>
                </c:pt>
                <c:pt idx="147">
                  <c:v>0.739964</c:v>
                </c:pt>
                <c:pt idx="148">
                  <c:v>0.740920666666667</c:v>
                </c:pt>
                <c:pt idx="149">
                  <c:v>0.741333333333333</c:v>
                </c:pt>
                <c:pt idx="150">
                  <c:v>0.741442666666667</c:v>
                </c:pt>
                <c:pt idx="151">
                  <c:v>0.741558</c:v>
                </c:pt>
                <c:pt idx="152">
                  <c:v>0.742018666666667</c:v>
                </c:pt>
                <c:pt idx="153">
                  <c:v>0.742253333333333</c:v>
                </c:pt>
                <c:pt idx="154">
                  <c:v>0.742853</c:v>
                </c:pt>
                <c:pt idx="155">
                  <c:v>0.74302</c:v>
                </c:pt>
                <c:pt idx="156">
                  <c:v>0.743316666666667</c:v>
                </c:pt>
                <c:pt idx="157">
                  <c:v>0.743558666666667</c:v>
                </c:pt>
                <c:pt idx="158">
                  <c:v>0.743766666666667</c:v>
                </c:pt>
                <c:pt idx="159">
                  <c:v>0.743807333333333</c:v>
                </c:pt>
                <c:pt idx="160">
                  <c:v>0.744473333333333</c:v>
                </c:pt>
                <c:pt idx="161">
                  <c:v>0.74458</c:v>
                </c:pt>
                <c:pt idx="162">
                  <c:v>0.744607666666667</c:v>
                </c:pt>
                <c:pt idx="163">
                  <c:v>0.744813333333333</c:v>
                </c:pt>
                <c:pt idx="164">
                  <c:v>0.745114666666667</c:v>
                </c:pt>
                <c:pt idx="165">
                  <c:v>0.745214666666667</c:v>
                </c:pt>
                <c:pt idx="166">
                  <c:v>0.745624</c:v>
                </c:pt>
                <c:pt idx="167">
                  <c:v>0.745905333333333</c:v>
                </c:pt>
                <c:pt idx="168">
                  <c:v>0.745981333333333</c:v>
                </c:pt>
                <c:pt idx="169">
                  <c:v>0.746225</c:v>
                </c:pt>
                <c:pt idx="170">
                  <c:v>0.746378666666667</c:v>
                </c:pt>
                <c:pt idx="171">
                  <c:v>0.747146666666667</c:v>
                </c:pt>
                <c:pt idx="172">
                  <c:v>0.747202666666667</c:v>
                </c:pt>
                <c:pt idx="173">
                  <c:v>0.747662666666667</c:v>
                </c:pt>
                <c:pt idx="174">
                  <c:v>0.747703666666667</c:v>
                </c:pt>
                <c:pt idx="175">
                  <c:v>0.747742666666667</c:v>
                </c:pt>
                <c:pt idx="176">
                  <c:v>0.747752</c:v>
                </c:pt>
                <c:pt idx="177">
                  <c:v>0.748026666666667</c:v>
                </c:pt>
                <c:pt idx="178">
                  <c:v>0.748030666666667</c:v>
                </c:pt>
                <c:pt idx="179">
                  <c:v>0.748623333333333</c:v>
                </c:pt>
                <c:pt idx="180">
                  <c:v>0.74865</c:v>
                </c:pt>
                <c:pt idx="181">
                  <c:v>0.748926333333333</c:v>
                </c:pt>
                <c:pt idx="182">
                  <c:v>0.748966666666667</c:v>
                </c:pt>
                <c:pt idx="183">
                  <c:v>0.74949</c:v>
                </c:pt>
                <c:pt idx="184">
                  <c:v>0.749888</c:v>
                </c:pt>
                <c:pt idx="185">
                  <c:v>0.750051666666667</c:v>
                </c:pt>
                <c:pt idx="186">
                  <c:v>0.750345666666667</c:v>
                </c:pt>
                <c:pt idx="187">
                  <c:v>0.750562666666667</c:v>
                </c:pt>
                <c:pt idx="188">
                  <c:v>0.75064</c:v>
                </c:pt>
                <c:pt idx="189">
                  <c:v>0.751152</c:v>
                </c:pt>
                <c:pt idx="190">
                  <c:v>0.751190666666667</c:v>
                </c:pt>
                <c:pt idx="191">
                  <c:v>0.751208666666667</c:v>
                </c:pt>
                <c:pt idx="192">
                  <c:v>0.751648</c:v>
                </c:pt>
                <c:pt idx="193">
                  <c:v>0.751882666666667</c:v>
                </c:pt>
                <c:pt idx="194">
                  <c:v>0.752824</c:v>
                </c:pt>
                <c:pt idx="195">
                  <c:v>0.752925</c:v>
                </c:pt>
                <c:pt idx="196">
                  <c:v>0.752938</c:v>
                </c:pt>
                <c:pt idx="197">
                  <c:v>0.752964666666667</c:v>
                </c:pt>
                <c:pt idx="198">
                  <c:v>0.753112666666667</c:v>
                </c:pt>
                <c:pt idx="199">
                  <c:v>0.753152</c:v>
                </c:pt>
                <c:pt idx="200">
                  <c:v>0.753525333333333</c:v>
                </c:pt>
                <c:pt idx="201">
                  <c:v>0.753682666666667</c:v>
                </c:pt>
                <c:pt idx="202">
                  <c:v>0.753826666666667</c:v>
                </c:pt>
                <c:pt idx="203">
                  <c:v>0.753946666666667</c:v>
                </c:pt>
                <c:pt idx="204">
                  <c:v>0.753955</c:v>
                </c:pt>
                <c:pt idx="205">
                  <c:v>0.754380333333333</c:v>
                </c:pt>
                <c:pt idx="206">
                  <c:v>0.754453333333333</c:v>
                </c:pt>
                <c:pt idx="207">
                  <c:v>0.755032</c:v>
                </c:pt>
                <c:pt idx="208">
                  <c:v>0.755296666666667</c:v>
                </c:pt>
                <c:pt idx="209">
                  <c:v>0.75548</c:v>
                </c:pt>
                <c:pt idx="210">
                  <c:v>0.755746666666667</c:v>
                </c:pt>
                <c:pt idx="211">
                  <c:v>0.755814333333333</c:v>
                </c:pt>
                <c:pt idx="212">
                  <c:v>0.755835</c:v>
                </c:pt>
                <c:pt idx="213">
                  <c:v>0.755843333333333</c:v>
                </c:pt>
                <c:pt idx="214">
                  <c:v>0.755861333333333</c:v>
                </c:pt>
                <c:pt idx="215">
                  <c:v>0.756262</c:v>
                </c:pt>
                <c:pt idx="216">
                  <c:v>0.756356666666667</c:v>
                </c:pt>
                <c:pt idx="217">
                  <c:v>0.756450666666667</c:v>
                </c:pt>
                <c:pt idx="218">
                  <c:v>0.756475</c:v>
                </c:pt>
                <c:pt idx="219">
                  <c:v>0.756773333333333</c:v>
                </c:pt>
                <c:pt idx="220">
                  <c:v>0.756957333333333</c:v>
                </c:pt>
                <c:pt idx="221">
                  <c:v>0.757189333333333</c:v>
                </c:pt>
                <c:pt idx="222">
                  <c:v>0.7572</c:v>
                </c:pt>
                <c:pt idx="223">
                  <c:v>0.757292666666667</c:v>
                </c:pt>
                <c:pt idx="224">
                  <c:v>0.757382666666667</c:v>
                </c:pt>
                <c:pt idx="225">
                  <c:v>0.757454333333333</c:v>
                </c:pt>
                <c:pt idx="226">
                  <c:v>0.757661333333333</c:v>
                </c:pt>
                <c:pt idx="227">
                  <c:v>0.757685</c:v>
                </c:pt>
                <c:pt idx="228">
                  <c:v>0.757856</c:v>
                </c:pt>
                <c:pt idx="229">
                  <c:v>0.75852</c:v>
                </c:pt>
                <c:pt idx="230">
                  <c:v>0.75861</c:v>
                </c:pt>
                <c:pt idx="231">
                  <c:v>0.758633333333333</c:v>
                </c:pt>
                <c:pt idx="232">
                  <c:v>0.758721333333333</c:v>
                </c:pt>
                <c:pt idx="233">
                  <c:v>0.758894</c:v>
                </c:pt>
                <c:pt idx="234">
                  <c:v>0.759801333333333</c:v>
                </c:pt>
                <c:pt idx="235">
                  <c:v>0.760160666666667</c:v>
                </c:pt>
                <c:pt idx="236">
                  <c:v>0.760207666666667</c:v>
                </c:pt>
                <c:pt idx="237">
                  <c:v>0.760597666666667</c:v>
                </c:pt>
                <c:pt idx="238">
                  <c:v>0.760628333333333</c:v>
                </c:pt>
                <c:pt idx="239">
                  <c:v>0.760683666666667</c:v>
                </c:pt>
                <c:pt idx="240">
                  <c:v>0.760746</c:v>
                </c:pt>
                <c:pt idx="241">
                  <c:v>0.760880666666667</c:v>
                </c:pt>
                <c:pt idx="242">
                  <c:v>0.760938666666667</c:v>
                </c:pt>
                <c:pt idx="243">
                  <c:v>0.761286666666667</c:v>
                </c:pt>
                <c:pt idx="244">
                  <c:v>0.761334666666667</c:v>
                </c:pt>
                <c:pt idx="245">
                  <c:v>0.761416</c:v>
                </c:pt>
                <c:pt idx="246">
                  <c:v>0.761536666666667</c:v>
                </c:pt>
                <c:pt idx="247">
                  <c:v>0.761703333333333</c:v>
                </c:pt>
                <c:pt idx="248">
                  <c:v>0.761890666666667</c:v>
                </c:pt>
                <c:pt idx="249">
                  <c:v>0.762020666666667</c:v>
                </c:pt>
                <c:pt idx="250">
                  <c:v>0.762210666666667</c:v>
                </c:pt>
                <c:pt idx="251">
                  <c:v>0.762221333333333</c:v>
                </c:pt>
                <c:pt idx="252">
                  <c:v>0.762374666666667</c:v>
                </c:pt>
                <c:pt idx="253">
                  <c:v>0.762492</c:v>
                </c:pt>
                <c:pt idx="254">
                  <c:v>0.762513333333333</c:v>
                </c:pt>
                <c:pt idx="255">
                  <c:v>0.762778666666667</c:v>
                </c:pt>
                <c:pt idx="256">
                  <c:v>0.762925333333333</c:v>
                </c:pt>
                <c:pt idx="257">
                  <c:v>0.762957</c:v>
                </c:pt>
                <c:pt idx="258">
                  <c:v>0.763084</c:v>
                </c:pt>
                <c:pt idx="259">
                  <c:v>0.763394</c:v>
                </c:pt>
                <c:pt idx="260">
                  <c:v>0.763518666666667</c:v>
                </c:pt>
                <c:pt idx="261">
                  <c:v>0.763576</c:v>
                </c:pt>
                <c:pt idx="262">
                  <c:v>0.763587333333333</c:v>
                </c:pt>
                <c:pt idx="263">
                  <c:v>0.76378</c:v>
                </c:pt>
                <c:pt idx="264">
                  <c:v>0.764412</c:v>
                </c:pt>
                <c:pt idx="265">
                  <c:v>0.764553333333333</c:v>
                </c:pt>
                <c:pt idx="266">
                  <c:v>0.764672666666667</c:v>
                </c:pt>
                <c:pt idx="267">
                  <c:v>0.764751</c:v>
                </c:pt>
                <c:pt idx="268">
                  <c:v>0.764865333333333</c:v>
                </c:pt>
                <c:pt idx="269">
                  <c:v>0.76519</c:v>
                </c:pt>
                <c:pt idx="270">
                  <c:v>0.765526666666667</c:v>
                </c:pt>
                <c:pt idx="271">
                  <c:v>0.765636</c:v>
                </c:pt>
                <c:pt idx="272">
                  <c:v>0.765651</c:v>
                </c:pt>
                <c:pt idx="273">
                  <c:v>0.76592</c:v>
                </c:pt>
                <c:pt idx="274">
                  <c:v>0.765992</c:v>
                </c:pt>
                <c:pt idx="275">
                  <c:v>0.766126666666667</c:v>
                </c:pt>
                <c:pt idx="276">
                  <c:v>0.766193666666667</c:v>
                </c:pt>
                <c:pt idx="277">
                  <c:v>0.766235333333333</c:v>
                </c:pt>
                <c:pt idx="278">
                  <c:v>0.766306333333333</c:v>
                </c:pt>
                <c:pt idx="279">
                  <c:v>0.766434666666667</c:v>
                </c:pt>
                <c:pt idx="280">
                  <c:v>0.766435</c:v>
                </c:pt>
                <c:pt idx="281">
                  <c:v>0.766656</c:v>
                </c:pt>
                <c:pt idx="282">
                  <c:v>0.766868</c:v>
                </c:pt>
                <c:pt idx="283">
                  <c:v>0.766887666666667</c:v>
                </c:pt>
                <c:pt idx="284">
                  <c:v>0.766893333333333</c:v>
                </c:pt>
                <c:pt idx="285">
                  <c:v>0.767158</c:v>
                </c:pt>
                <c:pt idx="286">
                  <c:v>0.767181666666667</c:v>
                </c:pt>
                <c:pt idx="287">
                  <c:v>0.767314</c:v>
                </c:pt>
                <c:pt idx="288">
                  <c:v>0.76735</c:v>
                </c:pt>
                <c:pt idx="289">
                  <c:v>0.767377333333333</c:v>
                </c:pt>
                <c:pt idx="290">
                  <c:v>0.767477333333333</c:v>
                </c:pt>
                <c:pt idx="291">
                  <c:v>0.767643333333333</c:v>
                </c:pt>
                <c:pt idx="292">
                  <c:v>0.767818666666667</c:v>
                </c:pt>
                <c:pt idx="293">
                  <c:v>0.76795</c:v>
                </c:pt>
                <c:pt idx="294">
                  <c:v>0.768153333333333</c:v>
                </c:pt>
                <c:pt idx="295">
                  <c:v>0.768338333333333</c:v>
                </c:pt>
                <c:pt idx="296">
                  <c:v>0.768352</c:v>
                </c:pt>
                <c:pt idx="297">
                  <c:v>0.768530666666667</c:v>
                </c:pt>
                <c:pt idx="298">
                  <c:v>0.768742666666667</c:v>
                </c:pt>
                <c:pt idx="299">
                  <c:v>0.768983333333333</c:v>
                </c:pt>
                <c:pt idx="300">
                  <c:v>0.76904</c:v>
                </c:pt>
                <c:pt idx="301">
                  <c:v>0.769126333333333</c:v>
                </c:pt>
                <c:pt idx="302">
                  <c:v>0.769324333333333</c:v>
                </c:pt>
                <c:pt idx="303">
                  <c:v>0.769407333333333</c:v>
                </c:pt>
                <c:pt idx="304">
                  <c:v>0.769688</c:v>
                </c:pt>
                <c:pt idx="305">
                  <c:v>0.769817</c:v>
                </c:pt>
                <c:pt idx="306">
                  <c:v>0.769865333333333</c:v>
                </c:pt>
                <c:pt idx="307">
                  <c:v>0.770441333333333</c:v>
                </c:pt>
                <c:pt idx="308">
                  <c:v>0.770616666666667</c:v>
                </c:pt>
                <c:pt idx="309">
                  <c:v>0.770677333333333</c:v>
                </c:pt>
                <c:pt idx="310">
                  <c:v>0.770742333333333</c:v>
                </c:pt>
                <c:pt idx="311">
                  <c:v>0.770837333333333</c:v>
                </c:pt>
                <c:pt idx="312">
                  <c:v>0.771046666666667</c:v>
                </c:pt>
                <c:pt idx="313">
                  <c:v>0.771083333333333</c:v>
                </c:pt>
                <c:pt idx="314">
                  <c:v>0.771091</c:v>
                </c:pt>
                <c:pt idx="315">
                  <c:v>0.771108</c:v>
                </c:pt>
                <c:pt idx="316">
                  <c:v>0.771536</c:v>
                </c:pt>
                <c:pt idx="317">
                  <c:v>0.771663333333333</c:v>
                </c:pt>
                <c:pt idx="318">
                  <c:v>0.771713333333333</c:v>
                </c:pt>
                <c:pt idx="319">
                  <c:v>0.771779</c:v>
                </c:pt>
                <c:pt idx="320">
                  <c:v>0.7721</c:v>
                </c:pt>
                <c:pt idx="321">
                  <c:v>0.772283</c:v>
                </c:pt>
                <c:pt idx="322">
                  <c:v>0.772341333333333</c:v>
                </c:pt>
                <c:pt idx="323">
                  <c:v>0.772394666666667</c:v>
                </c:pt>
                <c:pt idx="324">
                  <c:v>0.772574</c:v>
                </c:pt>
                <c:pt idx="325">
                  <c:v>0.772596</c:v>
                </c:pt>
                <c:pt idx="326">
                  <c:v>0.772844</c:v>
                </c:pt>
                <c:pt idx="327">
                  <c:v>0.77286</c:v>
                </c:pt>
                <c:pt idx="328">
                  <c:v>0.772883666666667</c:v>
                </c:pt>
                <c:pt idx="329">
                  <c:v>0.772994</c:v>
                </c:pt>
                <c:pt idx="330">
                  <c:v>0.7731</c:v>
                </c:pt>
                <c:pt idx="331">
                  <c:v>0.773118666666667</c:v>
                </c:pt>
                <c:pt idx="332">
                  <c:v>0.773144</c:v>
                </c:pt>
                <c:pt idx="333">
                  <c:v>0.77351</c:v>
                </c:pt>
                <c:pt idx="334">
                  <c:v>0.773551666666667</c:v>
                </c:pt>
                <c:pt idx="335">
                  <c:v>0.773554</c:v>
                </c:pt>
                <c:pt idx="336">
                  <c:v>0.773584</c:v>
                </c:pt>
                <c:pt idx="337">
                  <c:v>0.773678666666667</c:v>
                </c:pt>
                <c:pt idx="338">
                  <c:v>0.77382</c:v>
                </c:pt>
                <c:pt idx="339">
                  <c:v>0.773824</c:v>
                </c:pt>
                <c:pt idx="340">
                  <c:v>0.773844333333333</c:v>
                </c:pt>
                <c:pt idx="341">
                  <c:v>0.773866</c:v>
                </c:pt>
                <c:pt idx="342">
                  <c:v>0.773925333333333</c:v>
                </c:pt>
                <c:pt idx="343">
                  <c:v>0.774031</c:v>
                </c:pt>
                <c:pt idx="344">
                  <c:v>0.774049666666667</c:v>
                </c:pt>
                <c:pt idx="345">
                  <c:v>0.774167333333333</c:v>
                </c:pt>
                <c:pt idx="346">
                  <c:v>0.774218666666667</c:v>
                </c:pt>
                <c:pt idx="347">
                  <c:v>0.774288</c:v>
                </c:pt>
                <c:pt idx="348">
                  <c:v>0.774298333333333</c:v>
                </c:pt>
                <c:pt idx="349">
                  <c:v>0.774455333333333</c:v>
                </c:pt>
                <c:pt idx="350">
                  <c:v>0.774491666666667</c:v>
                </c:pt>
                <c:pt idx="351">
                  <c:v>0.774782666666667</c:v>
                </c:pt>
                <c:pt idx="352">
                  <c:v>0.77485</c:v>
                </c:pt>
                <c:pt idx="353">
                  <c:v>0.775213666666667</c:v>
                </c:pt>
                <c:pt idx="354">
                  <c:v>0.775333333333333</c:v>
                </c:pt>
                <c:pt idx="355">
                  <c:v>0.77548</c:v>
                </c:pt>
                <c:pt idx="356">
                  <c:v>0.775525</c:v>
                </c:pt>
                <c:pt idx="357">
                  <c:v>0.775565333333333</c:v>
                </c:pt>
                <c:pt idx="358">
                  <c:v>0.775566666666667</c:v>
                </c:pt>
                <c:pt idx="359">
                  <c:v>0.77568</c:v>
                </c:pt>
                <c:pt idx="360">
                  <c:v>0.775711333333333</c:v>
                </c:pt>
                <c:pt idx="361">
                  <c:v>0.775823333333333</c:v>
                </c:pt>
                <c:pt idx="362">
                  <c:v>0.7761</c:v>
                </c:pt>
                <c:pt idx="363">
                  <c:v>0.776412</c:v>
                </c:pt>
                <c:pt idx="364">
                  <c:v>0.776424</c:v>
                </c:pt>
                <c:pt idx="365">
                  <c:v>0.776514666666667</c:v>
                </c:pt>
                <c:pt idx="366">
                  <c:v>0.776688</c:v>
                </c:pt>
                <c:pt idx="367">
                  <c:v>0.776828666666667</c:v>
                </c:pt>
                <c:pt idx="368">
                  <c:v>0.777068</c:v>
                </c:pt>
                <c:pt idx="369">
                  <c:v>0.777121333333333</c:v>
                </c:pt>
                <c:pt idx="370">
                  <c:v>0.777380333333333</c:v>
                </c:pt>
                <c:pt idx="371">
                  <c:v>0.7775</c:v>
                </c:pt>
                <c:pt idx="372">
                  <c:v>0.777613</c:v>
                </c:pt>
                <c:pt idx="373">
                  <c:v>0.777833333333333</c:v>
                </c:pt>
                <c:pt idx="374">
                  <c:v>0.777849</c:v>
                </c:pt>
                <c:pt idx="375">
                  <c:v>0.777985333333333</c:v>
                </c:pt>
                <c:pt idx="376">
                  <c:v>0.778091666666667</c:v>
                </c:pt>
                <c:pt idx="377">
                  <c:v>0.778468</c:v>
                </c:pt>
                <c:pt idx="378">
                  <c:v>0.778480666666667</c:v>
                </c:pt>
                <c:pt idx="379">
                  <c:v>0.7785</c:v>
                </c:pt>
                <c:pt idx="380">
                  <c:v>0.778608333333333</c:v>
                </c:pt>
                <c:pt idx="381">
                  <c:v>0.77874</c:v>
                </c:pt>
                <c:pt idx="382">
                  <c:v>0.778861666666667</c:v>
                </c:pt>
                <c:pt idx="383">
                  <c:v>0.778932333333333</c:v>
                </c:pt>
                <c:pt idx="384">
                  <c:v>0.779255333333333</c:v>
                </c:pt>
                <c:pt idx="385">
                  <c:v>0.779341333333333</c:v>
                </c:pt>
                <c:pt idx="386">
                  <c:v>0.779390333333333</c:v>
                </c:pt>
                <c:pt idx="387">
                  <c:v>0.779418333333333</c:v>
                </c:pt>
                <c:pt idx="388">
                  <c:v>0.779500666666667</c:v>
                </c:pt>
                <c:pt idx="389">
                  <c:v>0.779509</c:v>
                </c:pt>
                <c:pt idx="390">
                  <c:v>0.779603333333333</c:v>
                </c:pt>
                <c:pt idx="391">
                  <c:v>0.780048333333333</c:v>
                </c:pt>
                <c:pt idx="392">
                  <c:v>0.780081333333333</c:v>
                </c:pt>
                <c:pt idx="393">
                  <c:v>0.780496</c:v>
                </c:pt>
                <c:pt idx="394">
                  <c:v>0.78055</c:v>
                </c:pt>
                <c:pt idx="395">
                  <c:v>0.780781666666667</c:v>
                </c:pt>
                <c:pt idx="396">
                  <c:v>0.780814666666667</c:v>
                </c:pt>
                <c:pt idx="397">
                  <c:v>0.780937666666667</c:v>
                </c:pt>
                <c:pt idx="398">
                  <c:v>0.781012666666667</c:v>
                </c:pt>
                <c:pt idx="399">
                  <c:v>0.781027</c:v>
                </c:pt>
                <c:pt idx="400">
                  <c:v>0.781132666666667</c:v>
                </c:pt>
                <c:pt idx="401">
                  <c:v>0.78145</c:v>
                </c:pt>
                <c:pt idx="402">
                  <c:v>0.781601666666667</c:v>
                </c:pt>
                <c:pt idx="403">
                  <c:v>0.781634</c:v>
                </c:pt>
                <c:pt idx="404">
                  <c:v>0.781703333333333</c:v>
                </c:pt>
                <c:pt idx="405">
                  <c:v>0.7818</c:v>
                </c:pt>
                <c:pt idx="406">
                  <c:v>0.78195</c:v>
                </c:pt>
                <c:pt idx="407">
                  <c:v>0.782036</c:v>
                </c:pt>
                <c:pt idx="408">
                  <c:v>0.782225</c:v>
                </c:pt>
                <c:pt idx="409">
                  <c:v>0.782427</c:v>
                </c:pt>
                <c:pt idx="410">
                  <c:v>0.782436</c:v>
                </c:pt>
                <c:pt idx="411">
                  <c:v>0.78247</c:v>
                </c:pt>
                <c:pt idx="412">
                  <c:v>0.782556</c:v>
                </c:pt>
                <c:pt idx="413">
                  <c:v>0.782656</c:v>
                </c:pt>
                <c:pt idx="414">
                  <c:v>0.782704666666667</c:v>
                </c:pt>
                <c:pt idx="415">
                  <c:v>0.782715</c:v>
                </c:pt>
                <c:pt idx="416">
                  <c:v>0.782745666666667</c:v>
                </c:pt>
                <c:pt idx="417">
                  <c:v>0.782765333333333</c:v>
                </c:pt>
                <c:pt idx="418">
                  <c:v>0.782782333333333</c:v>
                </c:pt>
                <c:pt idx="419">
                  <c:v>0.782893333333333</c:v>
                </c:pt>
                <c:pt idx="420">
                  <c:v>0.783214666666667</c:v>
                </c:pt>
                <c:pt idx="421">
                  <c:v>0.783258666666667</c:v>
                </c:pt>
                <c:pt idx="422">
                  <c:v>0.783313333333334</c:v>
                </c:pt>
                <c:pt idx="423">
                  <c:v>0.783362333333333</c:v>
                </c:pt>
                <c:pt idx="424">
                  <c:v>0.783571333333333</c:v>
                </c:pt>
                <c:pt idx="425">
                  <c:v>0.78368</c:v>
                </c:pt>
                <c:pt idx="426">
                  <c:v>0.783768</c:v>
                </c:pt>
                <c:pt idx="427">
                  <c:v>0.784274666666667</c:v>
                </c:pt>
                <c:pt idx="428">
                  <c:v>0.784434666666667</c:v>
                </c:pt>
                <c:pt idx="429">
                  <c:v>0.784583333333333</c:v>
                </c:pt>
                <c:pt idx="430">
                  <c:v>0.784703333333333</c:v>
                </c:pt>
                <c:pt idx="431">
                  <c:v>0.784890666666667</c:v>
                </c:pt>
                <c:pt idx="432">
                  <c:v>0.784928666666667</c:v>
                </c:pt>
                <c:pt idx="433">
                  <c:v>0.785029333333333</c:v>
                </c:pt>
                <c:pt idx="434">
                  <c:v>0.785065</c:v>
                </c:pt>
                <c:pt idx="435">
                  <c:v>0.785689333333333</c:v>
                </c:pt>
                <c:pt idx="436">
                  <c:v>0.78635</c:v>
                </c:pt>
                <c:pt idx="437">
                  <c:v>0.786455333333333</c:v>
                </c:pt>
                <c:pt idx="438">
                  <c:v>0.786482666666667</c:v>
                </c:pt>
                <c:pt idx="439">
                  <c:v>0.786550666666667</c:v>
                </c:pt>
                <c:pt idx="440">
                  <c:v>0.786646666666667</c:v>
                </c:pt>
                <c:pt idx="441">
                  <c:v>0.786732333333333</c:v>
                </c:pt>
                <c:pt idx="442">
                  <c:v>0.786901333333333</c:v>
                </c:pt>
                <c:pt idx="443">
                  <c:v>0.786944</c:v>
                </c:pt>
                <c:pt idx="444">
                  <c:v>0.787233333333333</c:v>
                </c:pt>
                <c:pt idx="445">
                  <c:v>0.787360666666667</c:v>
                </c:pt>
                <c:pt idx="446">
                  <c:v>0.787808</c:v>
                </c:pt>
                <c:pt idx="447">
                  <c:v>0.787999333333333</c:v>
                </c:pt>
                <c:pt idx="448">
                  <c:v>0.788145333333333</c:v>
                </c:pt>
                <c:pt idx="449">
                  <c:v>0.788854666666667</c:v>
                </c:pt>
                <c:pt idx="450">
                  <c:v>0.78896</c:v>
                </c:pt>
                <c:pt idx="451">
                  <c:v>0.789077333333333</c:v>
                </c:pt>
                <c:pt idx="452">
                  <c:v>0.78913</c:v>
                </c:pt>
                <c:pt idx="453">
                  <c:v>0.78925</c:v>
                </c:pt>
                <c:pt idx="454">
                  <c:v>0.789394666666667</c:v>
                </c:pt>
                <c:pt idx="455">
                  <c:v>0.789526666666667</c:v>
                </c:pt>
                <c:pt idx="456">
                  <c:v>0.789833333333333</c:v>
                </c:pt>
                <c:pt idx="457">
                  <c:v>0.790116666666667</c:v>
                </c:pt>
                <c:pt idx="458">
                  <c:v>0.790257333333333</c:v>
                </c:pt>
                <c:pt idx="459">
                  <c:v>0.790293333333333</c:v>
                </c:pt>
                <c:pt idx="460">
                  <c:v>0.790634333333333</c:v>
                </c:pt>
                <c:pt idx="461">
                  <c:v>0.790638</c:v>
                </c:pt>
                <c:pt idx="462">
                  <c:v>0.790690666666667</c:v>
                </c:pt>
                <c:pt idx="463">
                  <c:v>0.790732</c:v>
                </c:pt>
                <c:pt idx="464">
                  <c:v>0.790784</c:v>
                </c:pt>
                <c:pt idx="465">
                  <c:v>0.791043333333333</c:v>
                </c:pt>
                <c:pt idx="466">
                  <c:v>0.791111333333333</c:v>
                </c:pt>
                <c:pt idx="467">
                  <c:v>0.7913</c:v>
                </c:pt>
                <c:pt idx="468">
                  <c:v>0.791310333333333</c:v>
                </c:pt>
                <c:pt idx="469">
                  <c:v>0.792378666666667</c:v>
                </c:pt>
                <c:pt idx="470">
                  <c:v>0.792733333333334</c:v>
                </c:pt>
                <c:pt idx="471">
                  <c:v>0.792942</c:v>
                </c:pt>
                <c:pt idx="472">
                  <c:v>0.792955333333333</c:v>
                </c:pt>
                <c:pt idx="473">
                  <c:v>0.793097333333333</c:v>
                </c:pt>
                <c:pt idx="474">
                  <c:v>0.793227333333333</c:v>
                </c:pt>
                <c:pt idx="475">
                  <c:v>0.793282666666667</c:v>
                </c:pt>
                <c:pt idx="476">
                  <c:v>0.793468</c:v>
                </c:pt>
                <c:pt idx="477">
                  <c:v>0.793546666666667</c:v>
                </c:pt>
                <c:pt idx="478">
                  <c:v>0.793684</c:v>
                </c:pt>
                <c:pt idx="479">
                  <c:v>0.793739333333333</c:v>
                </c:pt>
                <c:pt idx="480">
                  <c:v>0.794073666666667</c:v>
                </c:pt>
                <c:pt idx="481">
                  <c:v>0.794093666666667</c:v>
                </c:pt>
                <c:pt idx="482">
                  <c:v>0.794499333333333</c:v>
                </c:pt>
                <c:pt idx="483">
                  <c:v>0.794766666666667</c:v>
                </c:pt>
                <c:pt idx="484">
                  <c:v>0.794870666666667</c:v>
                </c:pt>
                <c:pt idx="485">
                  <c:v>0.795508333333333</c:v>
                </c:pt>
                <c:pt idx="486">
                  <c:v>0.795666666666667</c:v>
                </c:pt>
                <c:pt idx="487">
                  <c:v>0.79569</c:v>
                </c:pt>
                <c:pt idx="488">
                  <c:v>0.795716666666667</c:v>
                </c:pt>
                <c:pt idx="489">
                  <c:v>0.796005333333333</c:v>
                </c:pt>
                <c:pt idx="490">
                  <c:v>0.796143666666667</c:v>
                </c:pt>
                <c:pt idx="491">
                  <c:v>0.796288333333333</c:v>
                </c:pt>
                <c:pt idx="492">
                  <c:v>0.796510666666667</c:v>
                </c:pt>
                <c:pt idx="493">
                  <c:v>0.796806</c:v>
                </c:pt>
                <c:pt idx="494">
                  <c:v>0.796876666666667</c:v>
                </c:pt>
                <c:pt idx="495">
                  <c:v>0.797181333333333</c:v>
                </c:pt>
                <c:pt idx="496">
                  <c:v>0.79745</c:v>
                </c:pt>
                <c:pt idx="497">
                  <c:v>0.79748</c:v>
                </c:pt>
                <c:pt idx="498">
                  <c:v>0.797616666666667</c:v>
                </c:pt>
                <c:pt idx="499">
                  <c:v>0.798530333333333</c:v>
                </c:pt>
                <c:pt idx="500">
                  <c:v>0.798673333333333</c:v>
                </c:pt>
                <c:pt idx="501">
                  <c:v>0.798937333333333</c:v>
                </c:pt>
                <c:pt idx="502">
                  <c:v>0.799256</c:v>
                </c:pt>
                <c:pt idx="503">
                  <c:v>0.79928</c:v>
                </c:pt>
                <c:pt idx="504">
                  <c:v>0.799482</c:v>
                </c:pt>
                <c:pt idx="505">
                  <c:v>0.799549333333333</c:v>
                </c:pt>
                <c:pt idx="506">
                  <c:v>0.799645333333333</c:v>
                </c:pt>
                <c:pt idx="507">
                  <c:v>0.799676666666667</c:v>
                </c:pt>
                <c:pt idx="508">
                  <c:v>0.799866666666667</c:v>
                </c:pt>
                <c:pt idx="509">
                  <c:v>0.800057666666667</c:v>
                </c:pt>
                <c:pt idx="510">
                  <c:v>0.800069666666667</c:v>
                </c:pt>
                <c:pt idx="511">
                  <c:v>0.800166666666667</c:v>
                </c:pt>
                <c:pt idx="512">
                  <c:v>0.800352</c:v>
                </c:pt>
                <c:pt idx="513">
                  <c:v>0.800562666666667</c:v>
                </c:pt>
                <c:pt idx="514">
                  <c:v>0.800583333333333</c:v>
                </c:pt>
                <c:pt idx="515">
                  <c:v>0.800605333333333</c:v>
                </c:pt>
                <c:pt idx="516">
                  <c:v>0.800800666666666</c:v>
                </c:pt>
                <c:pt idx="517">
                  <c:v>0.800864</c:v>
                </c:pt>
                <c:pt idx="518">
                  <c:v>0.800906666666667</c:v>
                </c:pt>
                <c:pt idx="519">
                  <c:v>0.800925</c:v>
                </c:pt>
                <c:pt idx="520">
                  <c:v>0.801086666666667</c:v>
                </c:pt>
                <c:pt idx="521">
                  <c:v>0.801333333333333</c:v>
                </c:pt>
                <c:pt idx="522">
                  <c:v>0.8016</c:v>
                </c:pt>
                <c:pt idx="523">
                  <c:v>0.80178</c:v>
                </c:pt>
                <c:pt idx="524">
                  <c:v>0.801930666666667</c:v>
                </c:pt>
                <c:pt idx="525">
                  <c:v>0.802053333333333</c:v>
                </c:pt>
                <c:pt idx="526">
                  <c:v>0.802344666666667</c:v>
                </c:pt>
                <c:pt idx="527">
                  <c:v>0.802874</c:v>
                </c:pt>
                <c:pt idx="528">
                  <c:v>0.803153333333333</c:v>
                </c:pt>
                <c:pt idx="529">
                  <c:v>0.803173333333333</c:v>
                </c:pt>
                <c:pt idx="530">
                  <c:v>0.803263333333333</c:v>
                </c:pt>
                <c:pt idx="531">
                  <c:v>0.803335</c:v>
                </c:pt>
                <c:pt idx="532">
                  <c:v>0.803725333333333</c:v>
                </c:pt>
                <c:pt idx="533">
                  <c:v>0.803844</c:v>
                </c:pt>
                <c:pt idx="534">
                  <c:v>0.804201</c:v>
                </c:pt>
                <c:pt idx="535">
                  <c:v>0.804390666666666</c:v>
                </c:pt>
                <c:pt idx="536">
                  <c:v>0.804459666666667</c:v>
                </c:pt>
                <c:pt idx="537">
                  <c:v>0.804864333333334</c:v>
                </c:pt>
                <c:pt idx="538">
                  <c:v>0.805489666666667</c:v>
                </c:pt>
                <c:pt idx="539">
                  <c:v>0.805583333333333</c:v>
                </c:pt>
                <c:pt idx="540">
                  <c:v>0.806101333333333</c:v>
                </c:pt>
                <c:pt idx="541">
                  <c:v>0.806512</c:v>
                </c:pt>
                <c:pt idx="542">
                  <c:v>0.806722</c:v>
                </c:pt>
                <c:pt idx="543">
                  <c:v>0.806816666666667</c:v>
                </c:pt>
                <c:pt idx="544">
                  <c:v>0.806906666666667</c:v>
                </c:pt>
                <c:pt idx="545">
                  <c:v>0.806949333333333</c:v>
                </c:pt>
                <c:pt idx="546">
                  <c:v>0.807408</c:v>
                </c:pt>
                <c:pt idx="547">
                  <c:v>0.807500666666667</c:v>
                </c:pt>
                <c:pt idx="548">
                  <c:v>0.807514666666667</c:v>
                </c:pt>
                <c:pt idx="549">
                  <c:v>0.807889333333333</c:v>
                </c:pt>
                <c:pt idx="550">
                  <c:v>0.808414</c:v>
                </c:pt>
                <c:pt idx="551">
                  <c:v>0.80865</c:v>
                </c:pt>
                <c:pt idx="552">
                  <c:v>0.808740333333333</c:v>
                </c:pt>
                <c:pt idx="553">
                  <c:v>0.809</c:v>
                </c:pt>
                <c:pt idx="554">
                  <c:v>0.809592</c:v>
                </c:pt>
                <c:pt idx="555">
                  <c:v>0.809633333333333</c:v>
                </c:pt>
                <c:pt idx="556">
                  <c:v>0.809686666666667</c:v>
                </c:pt>
                <c:pt idx="557">
                  <c:v>0.809874666666667</c:v>
                </c:pt>
                <c:pt idx="558">
                  <c:v>0.809956666666667</c:v>
                </c:pt>
                <c:pt idx="559">
                  <c:v>0.810404</c:v>
                </c:pt>
                <c:pt idx="560">
                  <c:v>0.810862</c:v>
                </c:pt>
                <c:pt idx="561">
                  <c:v>0.810954</c:v>
                </c:pt>
                <c:pt idx="562">
                  <c:v>0.810984</c:v>
                </c:pt>
                <c:pt idx="563">
                  <c:v>0.811116666666667</c:v>
                </c:pt>
                <c:pt idx="564">
                  <c:v>0.811126666666667</c:v>
                </c:pt>
                <c:pt idx="565">
                  <c:v>0.811256666666667</c:v>
                </c:pt>
                <c:pt idx="566">
                  <c:v>0.811939333333333</c:v>
                </c:pt>
                <c:pt idx="567">
                  <c:v>0.812264333333333</c:v>
                </c:pt>
                <c:pt idx="568">
                  <c:v>0.813212</c:v>
                </c:pt>
                <c:pt idx="569">
                  <c:v>0.813531</c:v>
                </c:pt>
                <c:pt idx="570">
                  <c:v>0.814216666666667</c:v>
                </c:pt>
                <c:pt idx="571">
                  <c:v>0.814283333333333</c:v>
                </c:pt>
                <c:pt idx="572">
                  <c:v>0.816566666666667</c:v>
                </c:pt>
                <c:pt idx="573">
                  <c:v>0.81784</c:v>
                </c:pt>
                <c:pt idx="574">
                  <c:v>0.817939333333333</c:v>
                </c:pt>
                <c:pt idx="575">
                  <c:v>0.818406666666667</c:v>
                </c:pt>
                <c:pt idx="576">
                  <c:v>0.819016666666667</c:v>
                </c:pt>
                <c:pt idx="577">
                  <c:v>0.81972</c:v>
                </c:pt>
                <c:pt idx="578">
                  <c:v>0.820103666666667</c:v>
                </c:pt>
                <c:pt idx="579">
                  <c:v>0.820666666666667</c:v>
                </c:pt>
                <c:pt idx="580">
                  <c:v>0.820974666666667</c:v>
                </c:pt>
                <c:pt idx="581">
                  <c:v>0.822042</c:v>
                </c:pt>
                <c:pt idx="582">
                  <c:v>0.822391333333333</c:v>
                </c:pt>
                <c:pt idx="583">
                  <c:v>0.822889666666667</c:v>
                </c:pt>
                <c:pt idx="584">
                  <c:v>0.822949333333333</c:v>
                </c:pt>
                <c:pt idx="585">
                  <c:v>0.82465</c:v>
                </c:pt>
                <c:pt idx="586">
                  <c:v>0.824765333333333</c:v>
                </c:pt>
                <c:pt idx="587">
                  <c:v>0.826633</c:v>
                </c:pt>
                <c:pt idx="588">
                  <c:v>0.826784666666667</c:v>
                </c:pt>
                <c:pt idx="589">
                  <c:v>0.828233333333334</c:v>
                </c:pt>
                <c:pt idx="590">
                  <c:v>0.828503333333333</c:v>
                </c:pt>
                <c:pt idx="591">
                  <c:v>0.830256</c:v>
                </c:pt>
                <c:pt idx="592">
                  <c:v>0.830921333333333</c:v>
                </c:pt>
                <c:pt idx="593">
                  <c:v>0.832821333333333</c:v>
                </c:pt>
                <c:pt idx="594">
                  <c:v>0.833181333333333</c:v>
                </c:pt>
                <c:pt idx="595">
                  <c:v>0.835722666666667</c:v>
                </c:pt>
                <c:pt idx="596">
                  <c:v>0.837923666666667</c:v>
                </c:pt>
                <c:pt idx="597">
                  <c:v>0.83794</c:v>
                </c:pt>
                <c:pt idx="598">
                  <c:v>0.840923333333333</c:v>
                </c:pt>
                <c:pt idx="599">
                  <c:v>0.841574333333333</c:v>
                </c:pt>
                <c:pt idx="600">
                  <c:v>0.841876</c:v>
                </c:pt>
                <c:pt idx="601">
                  <c:v>0.84964</c:v>
                </c:pt>
                <c:pt idx="602">
                  <c:v>0.850851666666667</c:v>
                </c:pt>
                <c:pt idx="603">
                  <c:v>0.85684</c:v>
                </c:pt>
                <c:pt idx="604">
                  <c:v>0.872289333333333</c:v>
                </c:pt>
                <c:pt idx="605">
                  <c:v>0.87236</c:v>
                </c:pt>
              </c:strCache>
            </c:strRef>
          </c:cat>
          <c:val>
            <c:numRef>
              <c:f>'Ecomonic Values'!$B$25:$B$631</c:f>
              <c:numCache>
                <c:formatCode>0.00</c:formatCode>
                <c:ptCount val="60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2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7D9-C849-B7D3-A04B473F0829}"/>
            </c:ext>
          </c:extLst>
        </c:ser>
        <c:ser>
          <c:idx val="1"/>
          <c:order val="1"/>
          <c:tx>
            <c:strRef>
              <c:f>'Ecomonic Values'!$C$24</c:f>
              <c:strCache>
                <c:ptCount val="1"/>
                <c:pt idx="0">
                  <c:v>Sum of Length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'Ecomonic Values'!$A$25:$A$631</c:f>
              <c:strCache>
                <c:ptCount val="606"/>
                <c:pt idx="0">
                  <c:v>0.619489</c:v>
                </c:pt>
                <c:pt idx="1">
                  <c:v>0.620692</c:v>
                </c:pt>
                <c:pt idx="2">
                  <c:v>0.628516666666667</c:v>
                </c:pt>
                <c:pt idx="3">
                  <c:v>0.6308</c:v>
                </c:pt>
                <c:pt idx="4">
                  <c:v>0.6311</c:v>
                </c:pt>
                <c:pt idx="5">
                  <c:v>0.634939333333333</c:v>
                </c:pt>
                <c:pt idx="6">
                  <c:v>0.636157333333333</c:v>
                </c:pt>
                <c:pt idx="7">
                  <c:v>0.638656</c:v>
                </c:pt>
                <c:pt idx="8">
                  <c:v>0.63878</c:v>
                </c:pt>
                <c:pt idx="9">
                  <c:v>0.638848</c:v>
                </c:pt>
                <c:pt idx="10">
                  <c:v>0.644037333333333</c:v>
                </c:pt>
                <c:pt idx="11">
                  <c:v>0.650225</c:v>
                </c:pt>
                <c:pt idx="12">
                  <c:v>0.650465</c:v>
                </c:pt>
                <c:pt idx="13">
                  <c:v>0.652734666666667</c:v>
                </c:pt>
                <c:pt idx="14">
                  <c:v>0.655434</c:v>
                </c:pt>
                <c:pt idx="15">
                  <c:v>0.655447333333333</c:v>
                </c:pt>
                <c:pt idx="16">
                  <c:v>0.659883666666667</c:v>
                </c:pt>
                <c:pt idx="17">
                  <c:v>0.662998666666667</c:v>
                </c:pt>
                <c:pt idx="18">
                  <c:v>0.667696333333333</c:v>
                </c:pt>
                <c:pt idx="19">
                  <c:v>0.673026666666667</c:v>
                </c:pt>
                <c:pt idx="20">
                  <c:v>0.679512</c:v>
                </c:pt>
                <c:pt idx="21">
                  <c:v>0.682043666666667</c:v>
                </c:pt>
                <c:pt idx="22">
                  <c:v>0.682292</c:v>
                </c:pt>
                <c:pt idx="23">
                  <c:v>0.682411666666667</c:v>
                </c:pt>
                <c:pt idx="24">
                  <c:v>0.683211666666667</c:v>
                </c:pt>
                <c:pt idx="25">
                  <c:v>0.683488666666667</c:v>
                </c:pt>
                <c:pt idx="26">
                  <c:v>0.684096</c:v>
                </c:pt>
                <c:pt idx="27">
                  <c:v>0.684112333333333</c:v>
                </c:pt>
                <c:pt idx="28">
                  <c:v>0.685708666666667</c:v>
                </c:pt>
                <c:pt idx="29">
                  <c:v>0.686368</c:v>
                </c:pt>
                <c:pt idx="30">
                  <c:v>0.68771</c:v>
                </c:pt>
                <c:pt idx="31">
                  <c:v>0.689612</c:v>
                </c:pt>
                <c:pt idx="32">
                  <c:v>0.6904</c:v>
                </c:pt>
                <c:pt idx="33">
                  <c:v>0.690624</c:v>
                </c:pt>
                <c:pt idx="34">
                  <c:v>0.690973333333333</c:v>
                </c:pt>
                <c:pt idx="35">
                  <c:v>0.691266666666667</c:v>
                </c:pt>
                <c:pt idx="36">
                  <c:v>0.691789333333333</c:v>
                </c:pt>
                <c:pt idx="37">
                  <c:v>0.692277333333333</c:v>
                </c:pt>
                <c:pt idx="38">
                  <c:v>0.693312</c:v>
                </c:pt>
                <c:pt idx="39">
                  <c:v>0.693796</c:v>
                </c:pt>
                <c:pt idx="40">
                  <c:v>0.694099333333333</c:v>
                </c:pt>
                <c:pt idx="41">
                  <c:v>0.694799333333333</c:v>
                </c:pt>
                <c:pt idx="42">
                  <c:v>0.695319</c:v>
                </c:pt>
                <c:pt idx="43">
                  <c:v>0.695923333333333</c:v>
                </c:pt>
                <c:pt idx="44">
                  <c:v>0.697055</c:v>
                </c:pt>
                <c:pt idx="45">
                  <c:v>0.698186666666667</c:v>
                </c:pt>
                <c:pt idx="46">
                  <c:v>0.699466666666667</c:v>
                </c:pt>
                <c:pt idx="47">
                  <c:v>0.699896666666667</c:v>
                </c:pt>
                <c:pt idx="48">
                  <c:v>0.700022</c:v>
                </c:pt>
                <c:pt idx="49">
                  <c:v>0.700231666666667</c:v>
                </c:pt>
                <c:pt idx="50">
                  <c:v>0.70052</c:v>
                </c:pt>
                <c:pt idx="51">
                  <c:v>0.701098333333333</c:v>
                </c:pt>
                <c:pt idx="52">
                  <c:v>0.701664</c:v>
                </c:pt>
                <c:pt idx="53">
                  <c:v>0.702193333333333</c:v>
                </c:pt>
                <c:pt idx="54">
                  <c:v>0.702563333333333</c:v>
                </c:pt>
                <c:pt idx="55">
                  <c:v>0.703306333333333</c:v>
                </c:pt>
                <c:pt idx="56">
                  <c:v>0.703831333333333</c:v>
                </c:pt>
                <c:pt idx="57">
                  <c:v>0.703904</c:v>
                </c:pt>
                <c:pt idx="58">
                  <c:v>0.70394</c:v>
                </c:pt>
                <c:pt idx="59">
                  <c:v>0.703978666666667</c:v>
                </c:pt>
                <c:pt idx="60">
                  <c:v>0.704058333333333</c:v>
                </c:pt>
                <c:pt idx="61">
                  <c:v>0.706151333333333</c:v>
                </c:pt>
                <c:pt idx="62">
                  <c:v>0.706465</c:v>
                </c:pt>
                <c:pt idx="63">
                  <c:v>0.708746666666667</c:v>
                </c:pt>
                <c:pt idx="64">
                  <c:v>0.710986666666667</c:v>
                </c:pt>
                <c:pt idx="65">
                  <c:v>0.711466666666667</c:v>
                </c:pt>
                <c:pt idx="66">
                  <c:v>0.712090333333333</c:v>
                </c:pt>
                <c:pt idx="67">
                  <c:v>0.713679333333333</c:v>
                </c:pt>
                <c:pt idx="68">
                  <c:v>0.713955333333333</c:v>
                </c:pt>
                <c:pt idx="69">
                  <c:v>0.715358666666667</c:v>
                </c:pt>
                <c:pt idx="70">
                  <c:v>0.715857333333333</c:v>
                </c:pt>
                <c:pt idx="71">
                  <c:v>0.715918666666667</c:v>
                </c:pt>
                <c:pt idx="72">
                  <c:v>0.715988666666667</c:v>
                </c:pt>
                <c:pt idx="73">
                  <c:v>0.716332666666667</c:v>
                </c:pt>
                <c:pt idx="74">
                  <c:v>0.716663333333333</c:v>
                </c:pt>
                <c:pt idx="75">
                  <c:v>0.716713</c:v>
                </c:pt>
                <c:pt idx="76">
                  <c:v>0.716839333333333</c:v>
                </c:pt>
                <c:pt idx="77">
                  <c:v>0.718463333333333</c:v>
                </c:pt>
                <c:pt idx="78">
                  <c:v>0.718707666666667</c:v>
                </c:pt>
                <c:pt idx="79">
                  <c:v>0.718975</c:v>
                </c:pt>
                <c:pt idx="80">
                  <c:v>0.7191</c:v>
                </c:pt>
                <c:pt idx="81">
                  <c:v>0.719423333333333</c:v>
                </c:pt>
                <c:pt idx="82">
                  <c:v>0.719735</c:v>
                </c:pt>
                <c:pt idx="83">
                  <c:v>0.719866666666667</c:v>
                </c:pt>
                <c:pt idx="84">
                  <c:v>0.720208666666667</c:v>
                </c:pt>
                <c:pt idx="85">
                  <c:v>0.72048</c:v>
                </c:pt>
                <c:pt idx="86">
                  <c:v>0.720723333333333</c:v>
                </c:pt>
                <c:pt idx="87">
                  <c:v>0.720974</c:v>
                </c:pt>
                <c:pt idx="88">
                  <c:v>0.721682333333333</c:v>
                </c:pt>
                <c:pt idx="89">
                  <c:v>0.722731333333333</c:v>
                </c:pt>
                <c:pt idx="90">
                  <c:v>0.722783333333333</c:v>
                </c:pt>
                <c:pt idx="91">
                  <c:v>0.722999333333333</c:v>
                </c:pt>
                <c:pt idx="92">
                  <c:v>0.723309</c:v>
                </c:pt>
                <c:pt idx="93">
                  <c:v>0.723702666666667</c:v>
                </c:pt>
                <c:pt idx="94">
                  <c:v>0.724033333333333</c:v>
                </c:pt>
                <c:pt idx="95">
                  <c:v>0.724093333333333</c:v>
                </c:pt>
                <c:pt idx="96">
                  <c:v>0.724322666666667</c:v>
                </c:pt>
                <c:pt idx="97">
                  <c:v>0.724406666666667</c:v>
                </c:pt>
                <c:pt idx="98">
                  <c:v>0.724427333333333</c:v>
                </c:pt>
                <c:pt idx="99">
                  <c:v>0.724479666666667</c:v>
                </c:pt>
                <c:pt idx="100">
                  <c:v>0.72466</c:v>
                </c:pt>
                <c:pt idx="101">
                  <c:v>0.725480666666667</c:v>
                </c:pt>
                <c:pt idx="102">
                  <c:v>0.725833333333333</c:v>
                </c:pt>
                <c:pt idx="103">
                  <c:v>0.725874</c:v>
                </c:pt>
                <c:pt idx="104">
                  <c:v>0.726246666666667</c:v>
                </c:pt>
                <c:pt idx="105">
                  <c:v>0.726293333333333</c:v>
                </c:pt>
                <c:pt idx="106">
                  <c:v>0.72644</c:v>
                </c:pt>
                <c:pt idx="107">
                  <c:v>0.7265</c:v>
                </c:pt>
                <c:pt idx="108">
                  <c:v>0.726933333333333</c:v>
                </c:pt>
                <c:pt idx="109">
                  <c:v>0.727316333333333</c:v>
                </c:pt>
                <c:pt idx="110">
                  <c:v>0.727379333333333</c:v>
                </c:pt>
                <c:pt idx="111">
                  <c:v>0.728418666666667</c:v>
                </c:pt>
                <c:pt idx="112">
                  <c:v>0.729069666666667</c:v>
                </c:pt>
                <c:pt idx="113">
                  <c:v>0.729694</c:v>
                </c:pt>
                <c:pt idx="114">
                  <c:v>0.729953333333333</c:v>
                </c:pt>
                <c:pt idx="115">
                  <c:v>0.730131666666667</c:v>
                </c:pt>
                <c:pt idx="116">
                  <c:v>0.730304</c:v>
                </c:pt>
                <c:pt idx="117">
                  <c:v>0.730961</c:v>
                </c:pt>
                <c:pt idx="118">
                  <c:v>0.73166</c:v>
                </c:pt>
                <c:pt idx="119">
                  <c:v>0.73228</c:v>
                </c:pt>
                <c:pt idx="120">
                  <c:v>0.732433333333333</c:v>
                </c:pt>
                <c:pt idx="121">
                  <c:v>0.73253</c:v>
                </c:pt>
                <c:pt idx="122">
                  <c:v>0.733067333333333</c:v>
                </c:pt>
                <c:pt idx="123">
                  <c:v>0.73334</c:v>
                </c:pt>
                <c:pt idx="124">
                  <c:v>0.73368</c:v>
                </c:pt>
                <c:pt idx="125">
                  <c:v>0.73376</c:v>
                </c:pt>
                <c:pt idx="126">
                  <c:v>0.733987333333333</c:v>
                </c:pt>
                <c:pt idx="127">
                  <c:v>0.734152</c:v>
                </c:pt>
                <c:pt idx="128">
                  <c:v>0.73434</c:v>
                </c:pt>
                <c:pt idx="129">
                  <c:v>0.734582666666667</c:v>
                </c:pt>
                <c:pt idx="130">
                  <c:v>0.734876</c:v>
                </c:pt>
                <c:pt idx="131">
                  <c:v>0.735253</c:v>
                </c:pt>
                <c:pt idx="132">
                  <c:v>0.735526</c:v>
                </c:pt>
                <c:pt idx="133">
                  <c:v>0.735574666666667</c:v>
                </c:pt>
                <c:pt idx="134">
                  <c:v>0.736146666666667</c:v>
                </c:pt>
                <c:pt idx="135">
                  <c:v>0.736738333333333</c:v>
                </c:pt>
                <c:pt idx="136">
                  <c:v>0.737026666666667</c:v>
                </c:pt>
                <c:pt idx="137">
                  <c:v>0.737766666666667</c:v>
                </c:pt>
                <c:pt idx="138">
                  <c:v>0.737820333333333</c:v>
                </c:pt>
                <c:pt idx="139">
                  <c:v>0.738053333333333</c:v>
                </c:pt>
                <c:pt idx="140">
                  <c:v>0.738350666666667</c:v>
                </c:pt>
                <c:pt idx="141">
                  <c:v>0.738351333333333</c:v>
                </c:pt>
                <c:pt idx="142">
                  <c:v>0.738366666666667</c:v>
                </c:pt>
                <c:pt idx="143">
                  <c:v>0.738613333333333</c:v>
                </c:pt>
                <c:pt idx="144">
                  <c:v>0.739472333333333</c:v>
                </c:pt>
                <c:pt idx="145">
                  <c:v>0.739570666666667</c:v>
                </c:pt>
                <c:pt idx="146">
                  <c:v>0.739673333333333</c:v>
                </c:pt>
                <c:pt idx="147">
                  <c:v>0.739964</c:v>
                </c:pt>
                <c:pt idx="148">
                  <c:v>0.740920666666667</c:v>
                </c:pt>
                <c:pt idx="149">
                  <c:v>0.741333333333333</c:v>
                </c:pt>
                <c:pt idx="150">
                  <c:v>0.741442666666667</c:v>
                </c:pt>
                <c:pt idx="151">
                  <c:v>0.741558</c:v>
                </c:pt>
                <c:pt idx="152">
                  <c:v>0.742018666666667</c:v>
                </c:pt>
                <c:pt idx="153">
                  <c:v>0.742253333333333</c:v>
                </c:pt>
                <c:pt idx="154">
                  <c:v>0.742853</c:v>
                </c:pt>
                <c:pt idx="155">
                  <c:v>0.74302</c:v>
                </c:pt>
                <c:pt idx="156">
                  <c:v>0.743316666666667</c:v>
                </c:pt>
                <c:pt idx="157">
                  <c:v>0.743558666666667</c:v>
                </c:pt>
                <c:pt idx="158">
                  <c:v>0.743766666666667</c:v>
                </c:pt>
                <c:pt idx="159">
                  <c:v>0.743807333333333</c:v>
                </c:pt>
                <c:pt idx="160">
                  <c:v>0.744473333333333</c:v>
                </c:pt>
                <c:pt idx="161">
                  <c:v>0.74458</c:v>
                </c:pt>
                <c:pt idx="162">
                  <c:v>0.744607666666667</c:v>
                </c:pt>
                <c:pt idx="163">
                  <c:v>0.744813333333333</c:v>
                </c:pt>
                <c:pt idx="164">
                  <c:v>0.745114666666667</c:v>
                </c:pt>
                <c:pt idx="165">
                  <c:v>0.745214666666667</c:v>
                </c:pt>
                <c:pt idx="166">
                  <c:v>0.745624</c:v>
                </c:pt>
                <c:pt idx="167">
                  <c:v>0.745905333333333</c:v>
                </c:pt>
                <c:pt idx="168">
                  <c:v>0.745981333333333</c:v>
                </c:pt>
                <c:pt idx="169">
                  <c:v>0.746225</c:v>
                </c:pt>
                <c:pt idx="170">
                  <c:v>0.746378666666667</c:v>
                </c:pt>
                <c:pt idx="171">
                  <c:v>0.747146666666667</c:v>
                </c:pt>
                <c:pt idx="172">
                  <c:v>0.747202666666667</c:v>
                </c:pt>
                <c:pt idx="173">
                  <c:v>0.747662666666667</c:v>
                </c:pt>
                <c:pt idx="174">
                  <c:v>0.747703666666667</c:v>
                </c:pt>
                <c:pt idx="175">
                  <c:v>0.747742666666667</c:v>
                </c:pt>
                <c:pt idx="176">
                  <c:v>0.747752</c:v>
                </c:pt>
                <c:pt idx="177">
                  <c:v>0.748026666666667</c:v>
                </c:pt>
                <c:pt idx="178">
                  <c:v>0.748030666666667</c:v>
                </c:pt>
                <c:pt idx="179">
                  <c:v>0.748623333333333</c:v>
                </c:pt>
                <c:pt idx="180">
                  <c:v>0.74865</c:v>
                </c:pt>
                <c:pt idx="181">
                  <c:v>0.748926333333333</c:v>
                </c:pt>
                <c:pt idx="182">
                  <c:v>0.748966666666667</c:v>
                </c:pt>
                <c:pt idx="183">
                  <c:v>0.74949</c:v>
                </c:pt>
                <c:pt idx="184">
                  <c:v>0.749888</c:v>
                </c:pt>
                <c:pt idx="185">
                  <c:v>0.750051666666667</c:v>
                </c:pt>
                <c:pt idx="186">
                  <c:v>0.750345666666667</c:v>
                </c:pt>
                <c:pt idx="187">
                  <c:v>0.750562666666667</c:v>
                </c:pt>
                <c:pt idx="188">
                  <c:v>0.75064</c:v>
                </c:pt>
                <c:pt idx="189">
                  <c:v>0.751152</c:v>
                </c:pt>
                <c:pt idx="190">
                  <c:v>0.751190666666667</c:v>
                </c:pt>
                <c:pt idx="191">
                  <c:v>0.751208666666667</c:v>
                </c:pt>
                <c:pt idx="192">
                  <c:v>0.751648</c:v>
                </c:pt>
                <c:pt idx="193">
                  <c:v>0.751882666666667</c:v>
                </c:pt>
                <c:pt idx="194">
                  <c:v>0.752824</c:v>
                </c:pt>
                <c:pt idx="195">
                  <c:v>0.752925</c:v>
                </c:pt>
                <c:pt idx="196">
                  <c:v>0.752938</c:v>
                </c:pt>
                <c:pt idx="197">
                  <c:v>0.752964666666667</c:v>
                </c:pt>
                <c:pt idx="198">
                  <c:v>0.753112666666667</c:v>
                </c:pt>
                <c:pt idx="199">
                  <c:v>0.753152</c:v>
                </c:pt>
                <c:pt idx="200">
                  <c:v>0.753525333333333</c:v>
                </c:pt>
                <c:pt idx="201">
                  <c:v>0.753682666666667</c:v>
                </c:pt>
                <c:pt idx="202">
                  <c:v>0.753826666666667</c:v>
                </c:pt>
                <c:pt idx="203">
                  <c:v>0.753946666666667</c:v>
                </c:pt>
                <c:pt idx="204">
                  <c:v>0.753955</c:v>
                </c:pt>
                <c:pt idx="205">
                  <c:v>0.754380333333333</c:v>
                </c:pt>
                <c:pt idx="206">
                  <c:v>0.754453333333333</c:v>
                </c:pt>
                <c:pt idx="207">
                  <c:v>0.755032</c:v>
                </c:pt>
                <c:pt idx="208">
                  <c:v>0.755296666666667</c:v>
                </c:pt>
                <c:pt idx="209">
                  <c:v>0.75548</c:v>
                </c:pt>
                <c:pt idx="210">
                  <c:v>0.755746666666667</c:v>
                </c:pt>
                <c:pt idx="211">
                  <c:v>0.755814333333333</c:v>
                </c:pt>
                <c:pt idx="212">
                  <c:v>0.755835</c:v>
                </c:pt>
                <c:pt idx="213">
                  <c:v>0.755843333333333</c:v>
                </c:pt>
                <c:pt idx="214">
                  <c:v>0.755861333333333</c:v>
                </c:pt>
                <c:pt idx="215">
                  <c:v>0.756262</c:v>
                </c:pt>
                <c:pt idx="216">
                  <c:v>0.756356666666667</c:v>
                </c:pt>
                <c:pt idx="217">
                  <c:v>0.756450666666667</c:v>
                </c:pt>
                <c:pt idx="218">
                  <c:v>0.756475</c:v>
                </c:pt>
                <c:pt idx="219">
                  <c:v>0.756773333333333</c:v>
                </c:pt>
                <c:pt idx="220">
                  <c:v>0.756957333333333</c:v>
                </c:pt>
                <c:pt idx="221">
                  <c:v>0.757189333333333</c:v>
                </c:pt>
                <c:pt idx="222">
                  <c:v>0.7572</c:v>
                </c:pt>
                <c:pt idx="223">
                  <c:v>0.757292666666667</c:v>
                </c:pt>
                <c:pt idx="224">
                  <c:v>0.757382666666667</c:v>
                </c:pt>
                <c:pt idx="225">
                  <c:v>0.757454333333333</c:v>
                </c:pt>
                <c:pt idx="226">
                  <c:v>0.757661333333333</c:v>
                </c:pt>
                <c:pt idx="227">
                  <c:v>0.757685</c:v>
                </c:pt>
                <c:pt idx="228">
                  <c:v>0.757856</c:v>
                </c:pt>
                <c:pt idx="229">
                  <c:v>0.75852</c:v>
                </c:pt>
                <c:pt idx="230">
                  <c:v>0.75861</c:v>
                </c:pt>
                <c:pt idx="231">
                  <c:v>0.758633333333333</c:v>
                </c:pt>
                <c:pt idx="232">
                  <c:v>0.758721333333333</c:v>
                </c:pt>
                <c:pt idx="233">
                  <c:v>0.758894</c:v>
                </c:pt>
                <c:pt idx="234">
                  <c:v>0.759801333333333</c:v>
                </c:pt>
                <c:pt idx="235">
                  <c:v>0.760160666666667</c:v>
                </c:pt>
                <c:pt idx="236">
                  <c:v>0.760207666666667</c:v>
                </c:pt>
                <c:pt idx="237">
                  <c:v>0.760597666666667</c:v>
                </c:pt>
                <c:pt idx="238">
                  <c:v>0.760628333333333</c:v>
                </c:pt>
                <c:pt idx="239">
                  <c:v>0.760683666666667</c:v>
                </c:pt>
                <c:pt idx="240">
                  <c:v>0.760746</c:v>
                </c:pt>
                <c:pt idx="241">
                  <c:v>0.760880666666667</c:v>
                </c:pt>
                <c:pt idx="242">
                  <c:v>0.760938666666667</c:v>
                </c:pt>
                <c:pt idx="243">
                  <c:v>0.761286666666667</c:v>
                </c:pt>
                <c:pt idx="244">
                  <c:v>0.761334666666667</c:v>
                </c:pt>
                <c:pt idx="245">
                  <c:v>0.761416</c:v>
                </c:pt>
                <c:pt idx="246">
                  <c:v>0.761536666666667</c:v>
                </c:pt>
                <c:pt idx="247">
                  <c:v>0.761703333333333</c:v>
                </c:pt>
                <c:pt idx="248">
                  <c:v>0.761890666666667</c:v>
                </c:pt>
                <c:pt idx="249">
                  <c:v>0.762020666666667</c:v>
                </c:pt>
                <c:pt idx="250">
                  <c:v>0.762210666666667</c:v>
                </c:pt>
                <c:pt idx="251">
                  <c:v>0.762221333333333</c:v>
                </c:pt>
                <c:pt idx="252">
                  <c:v>0.762374666666667</c:v>
                </c:pt>
                <c:pt idx="253">
                  <c:v>0.762492</c:v>
                </c:pt>
                <c:pt idx="254">
                  <c:v>0.762513333333333</c:v>
                </c:pt>
                <c:pt idx="255">
                  <c:v>0.762778666666667</c:v>
                </c:pt>
                <c:pt idx="256">
                  <c:v>0.762925333333333</c:v>
                </c:pt>
                <c:pt idx="257">
                  <c:v>0.762957</c:v>
                </c:pt>
                <c:pt idx="258">
                  <c:v>0.763084</c:v>
                </c:pt>
                <c:pt idx="259">
                  <c:v>0.763394</c:v>
                </c:pt>
                <c:pt idx="260">
                  <c:v>0.763518666666667</c:v>
                </c:pt>
                <c:pt idx="261">
                  <c:v>0.763576</c:v>
                </c:pt>
                <c:pt idx="262">
                  <c:v>0.763587333333333</c:v>
                </c:pt>
                <c:pt idx="263">
                  <c:v>0.76378</c:v>
                </c:pt>
                <c:pt idx="264">
                  <c:v>0.764412</c:v>
                </c:pt>
                <c:pt idx="265">
                  <c:v>0.764553333333333</c:v>
                </c:pt>
                <c:pt idx="266">
                  <c:v>0.764672666666667</c:v>
                </c:pt>
                <c:pt idx="267">
                  <c:v>0.764751</c:v>
                </c:pt>
                <c:pt idx="268">
                  <c:v>0.764865333333333</c:v>
                </c:pt>
                <c:pt idx="269">
                  <c:v>0.76519</c:v>
                </c:pt>
                <c:pt idx="270">
                  <c:v>0.765526666666667</c:v>
                </c:pt>
                <c:pt idx="271">
                  <c:v>0.765636</c:v>
                </c:pt>
                <c:pt idx="272">
                  <c:v>0.765651</c:v>
                </c:pt>
                <c:pt idx="273">
                  <c:v>0.76592</c:v>
                </c:pt>
                <c:pt idx="274">
                  <c:v>0.765992</c:v>
                </c:pt>
                <c:pt idx="275">
                  <c:v>0.766126666666667</c:v>
                </c:pt>
                <c:pt idx="276">
                  <c:v>0.766193666666667</c:v>
                </c:pt>
                <c:pt idx="277">
                  <c:v>0.766235333333333</c:v>
                </c:pt>
                <c:pt idx="278">
                  <c:v>0.766306333333333</c:v>
                </c:pt>
                <c:pt idx="279">
                  <c:v>0.766434666666667</c:v>
                </c:pt>
                <c:pt idx="280">
                  <c:v>0.766435</c:v>
                </c:pt>
                <c:pt idx="281">
                  <c:v>0.766656</c:v>
                </c:pt>
                <c:pt idx="282">
                  <c:v>0.766868</c:v>
                </c:pt>
                <c:pt idx="283">
                  <c:v>0.766887666666667</c:v>
                </c:pt>
                <c:pt idx="284">
                  <c:v>0.766893333333333</c:v>
                </c:pt>
                <c:pt idx="285">
                  <c:v>0.767158</c:v>
                </c:pt>
                <c:pt idx="286">
                  <c:v>0.767181666666667</c:v>
                </c:pt>
                <c:pt idx="287">
                  <c:v>0.767314</c:v>
                </c:pt>
                <c:pt idx="288">
                  <c:v>0.76735</c:v>
                </c:pt>
                <c:pt idx="289">
                  <c:v>0.767377333333333</c:v>
                </c:pt>
                <c:pt idx="290">
                  <c:v>0.767477333333333</c:v>
                </c:pt>
                <c:pt idx="291">
                  <c:v>0.767643333333333</c:v>
                </c:pt>
                <c:pt idx="292">
                  <c:v>0.767818666666667</c:v>
                </c:pt>
                <c:pt idx="293">
                  <c:v>0.76795</c:v>
                </c:pt>
                <c:pt idx="294">
                  <c:v>0.768153333333333</c:v>
                </c:pt>
                <c:pt idx="295">
                  <c:v>0.768338333333333</c:v>
                </c:pt>
                <c:pt idx="296">
                  <c:v>0.768352</c:v>
                </c:pt>
                <c:pt idx="297">
                  <c:v>0.768530666666667</c:v>
                </c:pt>
                <c:pt idx="298">
                  <c:v>0.768742666666667</c:v>
                </c:pt>
                <c:pt idx="299">
                  <c:v>0.768983333333333</c:v>
                </c:pt>
                <c:pt idx="300">
                  <c:v>0.76904</c:v>
                </c:pt>
                <c:pt idx="301">
                  <c:v>0.769126333333333</c:v>
                </c:pt>
                <c:pt idx="302">
                  <c:v>0.769324333333333</c:v>
                </c:pt>
                <c:pt idx="303">
                  <c:v>0.769407333333333</c:v>
                </c:pt>
                <c:pt idx="304">
                  <c:v>0.769688</c:v>
                </c:pt>
                <c:pt idx="305">
                  <c:v>0.769817</c:v>
                </c:pt>
                <c:pt idx="306">
                  <c:v>0.769865333333333</c:v>
                </c:pt>
                <c:pt idx="307">
                  <c:v>0.770441333333333</c:v>
                </c:pt>
                <c:pt idx="308">
                  <c:v>0.770616666666667</c:v>
                </c:pt>
                <c:pt idx="309">
                  <c:v>0.770677333333333</c:v>
                </c:pt>
                <c:pt idx="310">
                  <c:v>0.770742333333333</c:v>
                </c:pt>
                <c:pt idx="311">
                  <c:v>0.770837333333333</c:v>
                </c:pt>
                <c:pt idx="312">
                  <c:v>0.771046666666667</c:v>
                </c:pt>
                <c:pt idx="313">
                  <c:v>0.771083333333333</c:v>
                </c:pt>
                <c:pt idx="314">
                  <c:v>0.771091</c:v>
                </c:pt>
                <c:pt idx="315">
                  <c:v>0.771108</c:v>
                </c:pt>
                <c:pt idx="316">
                  <c:v>0.771536</c:v>
                </c:pt>
                <c:pt idx="317">
                  <c:v>0.771663333333333</c:v>
                </c:pt>
                <c:pt idx="318">
                  <c:v>0.771713333333333</c:v>
                </c:pt>
                <c:pt idx="319">
                  <c:v>0.771779</c:v>
                </c:pt>
                <c:pt idx="320">
                  <c:v>0.7721</c:v>
                </c:pt>
                <c:pt idx="321">
                  <c:v>0.772283</c:v>
                </c:pt>
                <c:pt idx="322">
                  <c:v>0.772341333333333</c:v>
                </c:pt>
                <c:pt idx="323">
                  <c:v>0.772394666666667</c:v>
                </c:pt>
                <c:pt idx="324">
                  <c:v>0.772574</c:v>
                </c:pt>
                <c:pt idx="325">
                  <c:v>0.772596</c:v>
                </c:pt>
                <c:pt idx="326">
                  <c:v>0.772844</c:v>
                </c:pt>
                <c:pt idx="327">
                  <c:v>0.77286</c:v>
                </c:pt>
                <c:pt idx="328">
                  <c:v>0.772883666666667</c:v>
                </c:pt>
                <c:pt idx="329">
                  <c:v>0.772994</c:v>
                </c:pt>
                <c:pt idx="330">
                  <c:v>0.7731</c:v>
                </c:pt>
                <c:pt idx="331">
                  <c:v>0.773118666666667</c:v>
                </c:pt>
                <c:pt idx="332">
                  <c:v>0.773144</c:v>
                </c:pt>
                <c:pt idx="333">
                  <c:v>0.77351</c:v>
                </c:pt>
                <c:pt idx="334">
                  <c:v>0.773551666666667</c:v>
                </c:pt>
                <c:pt idx="335">
                  <c:v>0.773554</c:v>
                </c:pt>
                <c:pt idx="336">
                  <c:v>0.773584</c:v>
                </c:pt>
                <c:pt idx="337">
                  <c:v>0.773678666666667</c:v>
                </c:pt>
                <c:pt idx="338">
                  <c:v>0.77382</c:v>
                </c:pt>
                <c:pt idx="339">
                  <c:v>0.773824</c:v>
                </c:pt>
                <c:pt idx="340">
                  <c:v>0.773844333333333</c:v>
                </c:pt>
                <c:pt idx="341">
                  <c:v>0.773866</c:v>
                </c:pt>
                <c:pt idx="342">
                  <c:v>0.773925333333333</c:v>
                </c:pt>
                <c:pt idx="343">
                  <c:v>0.774031</c:v>
                </c:pt>
                <c:pt idx="344">
                  <c:v>0.774049666666667</c:v>
                </c:pt>
                <c:pt idx="345">
                  <c:v>0.774167333333333</c:v>
                </c:pt>
                <c:pt idx="346">
                  <c:v>0.774218666666667</c:v>
                </c:pt>
                <c:pt idx="347">
                  <c:v>0.774288</c:v>
                </c:pt>
                <c:pt idx="348">
                  <c:v>0.774298333333333</c:v>
                </c:pt>
                <c:pt idx="349">
                  <c:v>0.774455333333333</c:v>
                </c:pt>
                <c:pt idx="350">
                  <c:v>0.774491666666667</c:v>
                </c:pt>
                <c:pt idx="351">
                  <c:v>0.774782666666667</c:v>
                </c:pt>
                <c:pt idx="352">
                  <c:v>0.77485</c:v>
                </c:pt>
                <c:pt idx="353">
                  <c:v>0.775213666666667</c:v>
                </c:pt>
                <c:pt idx="354">
                  <c:v>0.775333333333333</c:v>
                </c:pt>
                <c:pt idx="355">
                  <c:v>0.77548</c:v>
                </c:pt>
                <c:pt idx="356">
                  <c:v>0.775525</c:v>
                </c:pt>
                <c:pt idx="357">
                  <c:v>0.775565333333333</c:v>
                </c:pt>
                <c:pt idx="358">
                  <c:v>0.775566666666667</c:v>
                </c:pt>
                <c:pt idx="359">
                  <c:v>0.77568</c:v>
                </c:pt>
                <c:pt idx="360">
                  <c:v>0.775711333333333</c:v>
                </c:pt>
                <c:pt idx="361">
                  <c:v>0.775823333333333</c:v>
                </c:pt>
                <c:pt idx="362">
                  <c:v>0.7761</c:v>
                </c:pt>
                <c:pt idx="363">
                  <c:v>0.776412</c:v>
                </c:pt>
                <c:pt idx="364">
                  <c:v>0.776424</c:v>
                </c:pt>
                <c:pt idx="365">
                  <c:v>0.776514666666667</c:v>
                </c:pt>
                <c:pt idx="366">
                  <c:v>0.776688</c:v>
                </c:pt>
                <c:pt idx="367">
                  <c:v>0.776828666666667</c:v>
                </c:pt>
                <c:pt idx="368">
                  <c:v>0.777068</c:v>
                </c:pt>
                <c:pt idx="369">
                  <c:v>0.777121333333333</c:v>
                </c:pt>
                <c:pt idx="370">
                  <c:v>0.777380333333333</c:v>
                </c:pt>
                <c:pt idx="371">
                  <c:v>0.7775</c:v>
                </c:pt>
                <c:pt idx="372">
                  <c:v>0.777613</c:v>
                </c:pt>
                <c:pt idx="373">
                  <c:v>0.777833333333333</c:v>
                </c:pt>
                <c:pt idx="374">
                  <c:v>0.777849</c:v>
                </c:pt>
                <c:pt idx="375">
                  <c:v>0.777985333333333</c:v>
                </c:pt>
                <c:pt idx="376">
                  <c:v>0.778091666666667</c:v>
                </c:pt>
                <c:pt idx="377">
                  <c:v>0.778468</c:v>
                </c:pt>
                <c:pt idx="378">
                  <c:v>0.778480666666667</c:v>
                </c:pt>
                <c:pt idx="379">
                  <c:v>0.7785</c:v>
                </c:pt>
                <c:pt idx="380">
                  <c:v>0.778608333333333</c:v>
                </c:pt>
                <c:pt idx="381">
                  <c:v>0.77874</c:v>
                </c:pt>
                <c:pt idx="382">
                  <c:v>0.778861666666667</c:v>
                </c:pt>
                <c:pt idx="383">
                  <c:v>0.778932333333333</c:v>
                </c:pt>
                <c:pt idx="384">
                  <c:v>0.779255333333333</c:v>
                </c:pt>
                <c:pt idx="385">
                  <c:v>0.779341333333333</c:v>
                </c:pt>
                <c:pt idx="386">
                  <c:v>0.779390333333333</c:v>
                </c:pt>
                <c:pt idx="387">
                  <c:v>0.779418333333333</c:v>
                </c:pt>
                <c:pt idx="388">
                  <c:v>0.779500666666667</c:v>
                </c:pt>
                <c:pt idx="389">
                  <c:v>0.779509</c:v>
                </c:pt>
                <c:pt idx="390">
                  <c:v>0.779603333333333</c:v>
                </c:pt>
                <c:pt idx="391">
                  <c:v>0.780048333333333</c:v>
                </c:pt>
                <c:pt idx="392">
                  <c:v>0.780081333333333</c:v>
                </c:pt>
                <c:pt idx="393">
                  <c:v>0.780496</c:v>
                </c:pt>
                <c:pt idx="394">
                  <c:v>0.78055</c:v>
                </c:pt>
                <c:pt idx="395">
                  <c:v>0.780781666666667</c:v>
                </c:pt>
                <c:pt idx="396">
                  <c:v>0.780814666666667</c:v>
                </c:pt>
                <c:pt idx="397">
                  <c:v>0.780937666666667</c:v>
                </c:pt>
                <c:pt idx="398">
                  <c:v>0.781012666666667</c:v>
                </c:pt>
                <c:pt idx="399">
                  <c:v>0.781027</c:v>
                </c:pt>
                <c:pt idx="400">
                  <c:v>0.781132666666667</c:v>
                </c:pt>
                <c:pt idx="401">
                  <c:v>0.78145</c:v>
                </c:pt>
                <c:pt idx="402">
                  <c:v>0.781601666666667</c:v>
                </c:pt>
                <c:pt idx="403">
                  <c:v>0.781634</c:v>
                </c:pt>
                <c:pt idx="404">
                  <c:v>0.781703333333333</c:v>
                </c:pt>
                <c:pt idx="405">
                  <c:v>0.7818</c:v>
                </c:pt>
                <c:pt idx="406">
                  <c:v>0.78195</c:v>
                </c:pt>
                <c:pt idx="407">
                  <c:v>0.782036</c:v>
                </c:pt>
                <c:pt idx="408">
                  <c:v>0.782225</c:v>
                </c:pt>
                <c:pt idx="409">
                  <c:v>0.782427</c:v>
                </c:pt>
                <c:pt idx="410">
                  <c:v>0.782436</c:v>
                </c:pt>
                <c:pt idx="411">
                  <c:v>0.78247</c:v>
                </c:pt>
                <c:pt idx="412">
                  <c:v>0.782556</c:v>
                </c:pt>
                <c:pt idx="413">
                  <c:v>0.782656</c:v>
                </c:pt>
                <c:pt idx="414">
                  <c:v>0.782704666666667</c:v>
                </c:pt>
                <c:pt idx="415">
                  <c:v>0.782715</c:v>
                </c:pt>
                <c:pt idx="416">
                  <c:v>0.782745666666667</c:v>
                </c:pt>
                <c:pt idx="417">
                  <c:v>0.782765333333333</c:v>
                </c:pt>
                <c:pt idx="418">
                  <c:v>0.782782333333333</c:v>
                </c:pt>
                <c:pt idx="419">
                  <c:v>0.782893333333333</c:v>
                </c:pt>
                <c:pt idx="420">
                  <c:v>0.783214666666667</c:v>
                </c:pt>
                <c:pt idx="421">
                  <c:v>0.783258666666667</c:v>
                </c:pt>
                <c:pt idx="422">
                  <c:v>0.783313333333334</c:v>
                </c:pt>
                <c:pt idx="423">
                  <c:v>0.783362333333333</c:v>
                </c:pt>
                <c:pt idx="424">
                  <c:v>0.783571333333333</c:v>
                </c:pt>
                <c:pt idx="425">
                  <c:v>0.78368</c:v>
                </c:pt>
                <c:pt idx="426">
                  <c:v>0.783768</c:v>
                </c:pt>
                <c:pt idx="427">
                  <c:v>0.784274666666667</c:v>
                </c:pt>
                <c:pt idx="428">
                  <c:v>0.784434666666667</c:v>
                </c:pt>
                <c:pt idx="429">
                  <c:v>0.784583333333333</c:v>
                </c:pt>
                <c:pt idx="430">
                  <c:v>0.784703333333333</c:v>
                </c:pt>
                <c:pt idx="431">
                  <c:v>0.784890666666667</c:v>
                </c:pt>
                <c:pt idx="432">
                  <c:v>0.784928666666667</c:v>
                </c:pt>
                <c:pt idx="433">
                  <c:v>0.785029333333333</c:v>
                </c:pt>
                <c:pt idx="434">
                  <c:v>0.785065</c:v>
                </c:pt>
                <c:pt idx="435">
                  <c:v>0.785689333333333</c:v>
                </c:pt>
                <c:pt idx="436">
                  <c:v>0.78635</c:v>
                </c:pt>
                <c:pt idx="437">
                  <c:v>0.786455333333333</c:v>
                </c:pt>
                <c:pt idx="438">
                  <c:v>0.786482666666667</c:v>
                </c:pt>
                <c:pt idx="439">
                  <c:v>0.786550666666667</c:v>
                </c:pt>
                <c:pt idx="440">
                  <c:v>0.786646666666667</c:v>
                </c:pt>
                <c:pt idx="441">
                  <c:v>0.786732333333333</c:v>
                </c:pt>
                <c:pt idx="442">
                  <c:v>0.786901333333333</c:v>
                </c:pt>
                <c:pt idx="443">
                  <c:v>0.786944</c:v>
                </c:pt>
                <c:pt idx="444">
                  <c:v>0.787233333333333</c:v>
                </c:pt>
                <c:pt idx="445">
                  <c:v>0.787360666666667</c:v>
                </c:pt>
                <c:pt idx="446">
                  <c:v>0.787808</c:v>
                </c:pt>
                <c:pt idx="447">
                  <c:v>0.787999333333333</c:v>
                </c:pt>
                <c:pt idx="448">
                  <c:v>0.788145333333333</c:v>
                </c:pt>
                <c:pt idx="449">
                  <c:v>0.788854666666667</c:v>
                </c:pt>
                <c:pt idx="450">
                  <c:v>0.78896</c:v>
                </c:pt>
                <c:pt idx="451">
                  <c:v>0.789077333333333</c:v>
                </c:pt>
                <c:pt idx="452">
                  <c:v>0.78913</c:v>
                </c:pt>
                <c:pt idx="453">
                  <c:v>0.78925</c:v>
                </c:pt>
                <c:pt idx="454">
                  <c:v>0.789394666666667</c:v>
                </c:pt>
                <c:pt idx="455">
                  <c:v>0.789526666666667</c:v>
                </c:pt>
                <c:pt idx="456">
                  <c:v>0.789833333333333</c:v>
                </c:pt>
                <c:pt idx="457">
                  <c:v>0.790116666666667</c:v>
                </c:pt>
                <c:pt idx="458">
                  <c:v>0.790257333333333</c:v>
                </c:pt>
                <c:pt idx="459">
                  <c:v>0.790293333333333</c:v>
                </c:pt>
                <c:pt idx="460">
                  <c:v>0.790634333333333</c:v>
                </c:pt>
                <c:pt idx="461">
                  <c:v>0.790638</c:v>
                </c:pt>
                <c:pt idx="462">
                  <c:v>0.790690666666667</c:v>
                </c:pt>
                <c:pt idx="463">
                  <c:v>0.790732</c:v>
                </c:pt>
                <c:pt idx="464">
                  <c:v>0.790784</c:v>
                </c:pt>
                <c:pt idx="465">
                  <c:v>0.791043333333333</c:v>
                </c:pt>
                <c:pt idx="466">
                  <c:v>0.791111333333333</c:v>
                </c:pt>
                <c:pt idx="467">
                  <c:v>0.7913</c:v>
                </c:pt>
                <c:pt idx="468">
                  <c:v>0.791310333333333</c:v>
                </c:pt>
                <c:pt idx="469">
                  <c:v>0.792378666666667</c:v>
                </c:pt>
                <c:pt idx="470">
                  <c:v>0.792733333333334</c:v>
                </c:pt>
                <c:pt idx="471">
                  <c:v>0.792942</c:v>
                </c:pt>
                <c:pt idx="472">
                  <c:v>0.792955333333333</c:v>
                </c:pt>
                <c:pt idx="473">
                  <c:v>0.793097333333333</c:v>
                </c:pt>
                <c:pt idx="474">
                  <c:v>0.793227333333333</c:v>
                </c:pt>
                <c:pt idx="475">
                  <c:v>0.793282666666667</c:v>
                </c:pt>
                <c:pt idx="476">
                  <c:v>0.793468</c:v>
                </c:pt>
                <c:pt idx="477">
                  <c:v>0.793546666666667</c:v>
                </c:pt>
                <c:pt idx="478">
                  <c:v>0.793684</c:v>
                </c:pt>
                <c:pt idx="479">
                  <c:v>0.793739333333333</c:v>
                </c:pt>
                <c:pt idx="480">
                  <c:v>0.794073666666667</c:v>
                </c:pt>
                <c:pt idx="481">
                  <c:v>0.794093666666667</c:v>
                </c:pt>
                <c:pt idx="482">
                  <c:v>0.794499333333333</c:v>
                </c:pt>
                <c:pt idx="483">
                  <c:v>0.794766666666667</c:v>
                </c:pt>
                <c:pt idx="484">
                  <c:v>0.794870666666667</c:v>
                </c:pt>
                <c:pt idx="485">
                  <c:v>0.795508333333333</c:v>
                </c:pt>
                <c:pt idx="486">
                  <c:v>0.795666666666667</c:v>
                </c:pt>
                <c:pt idx="487">
                  <c:v>0.79569</c:v>
                </c:pt>
                <c:pt idx="488">
                  <c:v>0.795716666666667</c:v>
                </c:pt>
                <c:pt idx="489">
                  <c:v>0.796005333333333</c:v>
                </c:pt>
                <c:pt idx="490">
                  <c:v>0.796143666666667</c:v>
                </c:pt>
                <c:pt idx="491">
                  <c:v>0.796288333333333</c:v>
                </c:pt>
                <c:pt idx="492">
                  <c:v>0.796510666666667</c:v>
                </c:pt>
                <c:pt idx="493">
                  <c:v>0.796806</c:v>
                </c:pt>
                <c:pt idx="494">
                  <c:v>0.796876666666667</c:v>
                </c:pt>
                <c:pt idx="495">
                  <c:v>0.797181333333333</c:v>
                </c:pt>
                <c:pt idx="496">
                  <c:v>0.79745</c:v>
                </c:pt>
                <c:pt idx="497">
                  <c:v>0.79748</c:v>
                </c:pt>
                <c:pt idx="498">
                  <c:v>0.797616666666667</c:v>
                </c:pt>
                <c:pt idx="499">
                  <c:v>0.798530333333333</c:v>
                </c:pt>
                <c:pt idx="500">
                  <c:v>0.798673333333333</c:v>
                </c:pt>
                <c:pt idx="501">
                  <c:v>0.798937333333333</c:v>
                </c:pt>
                <c:pt idx="502">
                  <c:v>0.799256</c:v>
                </c:pt>
                <c:pt idx="503">
                  <c:v>0.79928</c:v>
                </c:pt>
                <c:pt idx="504">
                  <c:v>0.799482</c:v>
                </c:pt>
                <c:pt idx="505">
                  <c:v>0.799549333333333</c:v>
                </c:pt>
                <c:pt idx="506">
                  <c:v>0.799645333333333</c:v>
                </c:pt>
                <c:pt idx="507">
                  <c:v>0.799676666666667</c:v>
                </c:pt>
                <c:pt idx="508">
                  <c:v>0.799866666666667</c:v>
                </c:pt>
                <c:pt idx="509">
                  <c:v>0.800057666666667</c:v>
                </c:pt>
                <c:pt idx="510">
                  <c:v>0.800069666666667</c:v>
                </c:pt>
                <c:pt idx="511">
                  <c:v>0.800166666666667</c:v>
                </c:pt>
                <c:pt idx="512">
                  <c:v>0.800352</c:v>
                </c:pt>
                <c:pt idx="513">
                  <c:v>0.800562666666667</c:v>
                </c:pt>
                <c:pt idx="514">
                  <c:v>0.800583333333333</c:v>
                </c:pt>
                <c:pt idx="515">
                  <c:v>0.800605333333333</c:v>
                </c:pt>
                <c:pt idx="516">
                  <c:v>0.800800666666666</c:v>
                </c:pt>
                <c:pt idx="517">
                  <c:v>0.800864</c:v>
                </c:pt>
                <c:pt idx="518">
                  <c:v>0.800906666666667</c:v>
                </c:pt>
                <c:pt idx="519">
                  <c:v>0.800925</c:v>
                </c:pt>
                <c:pt idx="520">
                  <c:v>0.801086666666667</c:v>
                </c:pt>
                <c:pt idx="521">
                  <c:v>0.801333333333333</c:v>
                </c:pt>
                <c:pt idx="522">
                  <c:v>0.8016</c:v>
                </c:pt>
                <c:pt idx="523">
                  <c:v>0.80178</c:v>
                </c:pt>
                <c:pt idx="524">
                  <c:v>0.801930666666667</c:v>
                </c:pt>
                <c:pt idx="525">
                  <c:v>0.802053333333333</c:v>
                </c:pt>
                <c:pt idx="526">
                  <c:v>0.802344666666667</c:v>
                </c:pt>
                <c:pt idx="527">
                  <c:v>0.802874</c:v>
                </c:pt>
                <c:pt idx="528">
                  <c:v>0.803153333333333</c:v>
                </c:pt>
                <c:pt idx="529">
                  <c:v>0.803173333333333</c:v>
                </c:pt>
                <c:pt idx="530">
                  <c:v>0.803263333333333</c:v>
                </c:pt>
                <c:pt idx="531">
                  <c:v>0.803335</c:v>
                </c:pt>
                <c:pt idx="532">
                  <c:v>0.803725333333333</c:v>
                </c:pt>
                <c:pt idx="533">
                  <c:v>0.803844</c:v>
                </c:pt>
                <c:pt idx="534">
                  <c:v>0.804201</c:v>
                </c:pt>
                <c:pt idx="535">
                  <c:v>0.804390666666666</c:v>
                </c:pt>
                <c:pt idx="536">
                  <c:v>0.804459666666667</c:v>
                </c:pt>
                <c:pt idx="537">
                  <c:v>0.804864333333334</c:v>
                </c:pt>
                <c:pt idx="538">
                  <c:v>0.805489666666667</c:v>
                </c:pt>
                <c:pt idx="539">
                  <c:v>0.805583333333333</c:v>
                </c:pt>
                <c:pt idx="540">
                  <c:v>0.806101333333333</c:v>
                </c:pt>
                <c:pt idx="541">
                  <c:v>0.806512</c:v>
                </c:pt>
                <c:pt idx="542">
                  <c:v>0.806722</c:v>
                </c:pt>
                <c:pt idx="543">
                  <c:v>0.806816666666667</c:v>
                </c:pt>
                <c:pt idx="544">
                  <c:v>0.806906666666667</c:v>
                </c:pt>
                <c:pt idx="545">
                  <c:v>0.806949333333333</c:v>
                </c:pt>
                <c:pt idx="546">
                  <c:v>0.807408</c:v>
                </c:pt>
                <c:pt idx="547">
                  <c:v>0.807500666666667</c:v>
                </c:pt>
                <c:pt idx="548">
                  <c:v>0.807514666666667</c:v>
                </c:pt>
                <c:pt idx="549">
                  <c:v>0.807889333333333</c:v>
                </c:pt>
                <c:pt idx="550">
                  <c:v>0.808414</c:v>
                </c:pt>
                <c:pt idx="551">
                  <c:v>0.80865</c:v>
                </c:pt>
                <c:pt idx="552">
                  <c:v>0.808740333333333</c:v>
                </c:pt>
                <c:pt idx="553">
                  <c:v>0.809</c:v>
                </c:pt>
                <c:pt idx="554">
                  <c:v>0.809592</c:v>
                </c:pt>
                <c:pt idx="555">
                  <c:v>0.809633333333333</c:v>
                </c:pt>
                <c:pt idx="556">
                  <c:v>0.809686666666667</c:v>
                </c:pt>
                <c:pt idx="557">
                  <c:v>0.809874666666667</c:v>
                </c:pt>
                <c:pt idx="558">
                  <c:v>0.809956666666667</c:v>
                </c:pt>
                <c:pt idx="559">
                  <c:v>0.810404</c:v>
                </c:pt>
                <c:pt idx="560">
                  <c:v>0.810862</c:v>
                </c:pt>
                <c:pt idx="561">
                  <c:v>0.810954</c:v>
                </c:pt>
                <c:pt idx="562">
                  <c:v>0.810984</c:v>
                </c:pt>
                <c:pt idx="563">
                  <c:v>0.811116666666667</c:v>
                </c:pt>
                <c:pt idx="564">
                  <c:v>0.811126666666667</c:v>
                </c:pt>
                <c:pt idx="565">
                  <c:v>0.811256666666667</c:v>
                </c:pt>
                <c:pt idx="566">
                  <c:v>0.811939333333333</c:v>
                </c:pt>
                <c:pt idx="567">
                  <c:v>0.812264333333333</c:v>
                </c:pt>
                <c:pt idx="568">
                  <c:v>0.813212</c:v>
                </c:pt>
                <c:pt idx="569">
                  <c:v>0.813531</c:v>
                </c:pt>
                <c:pt idx="570">
                  <c:v>0.814216666666667</c:v>
                </c:pt>
                <c:pt idx="571">
                  <c:v>0.814283333333333</c:v>
                </c:pt>
                <c:pt idx="572">
                  <c:v>0.816566666666667</c:v>
                </c:pt>
                <c:pt idx="573">
                  <c:v>0.81784</c:v>
                </c:pt>
                <c:pt idx="574">
                  <c:v>0.817939333333333</c:v>
                </c:pt>
                <c:pt idx="575">
                  <c:v>0.818406666666667</c:v>
                </c:pt>
                <c:pt idx="576">
                  <c:v>0.819016666666667</c:v>
                </c:pt>
                <c:pt idx="577">
                  <c:v>0.81972</c:v>
                </c:pt>
                <c:pt idx="578">
                  <c:v>0.820103666666667</c:v>
                </c:pt>
                <c:pt idx="579">
                  <c:v>0.820666666666667</c:v>
                </c:pt>
                <c:pt idx="580">
                  <c:v>0.820974666666667</c:v>
                </c:pt>
                <c:pt idx="581">
                  <c:v>0.822042</c:v>
                </c:pt>
                <c:pt idx="582">
                  <c:v>0.822391333333333</c:v>
                </c:pt>
                <c:pt idx="583">
                  <c:v>0.822889666666667</c:v>
                </c:pt>
                <c:pt idx="584">
                  <c:v>0.822949333333333</c:v>
                </c:pt>
                <c:pt idx="585">
                  <c:v>0.82465</c:v>
                </c:pt>
                <c:pt idx="586">
                  <c:v>0.824765333333333</c:v>
                </c:pt>
                <c:pt idx="587">
                  <c:v>0.826633</c:v>
                </c:pt>
                <c:pt idx="588">
                  <c:v>0.826784666666667</c:v>
                </c:pt>
                <c:pt idx="589">
                  <c:v>0.828233333333334</c:v>
                </c:pt>
                <c:pt idx="590">
                  <c:v>0.828503333333333</c:v>
                </c:pt>
                <c:pt idx="591">
                  <c:v>0.830256</c:v>
                </c:pt>
                <c:pt idx="592">
                  <c:v>0.830921333333333</c:v>
                </c:pt>
                <c:pt idx="593">
                  <c:v>0.832821333333333</c:v>
                </c:pt>
                <c:pt idx="594">
                  <c:v>0.833181333333333</c:v>
                </c:pt>
                <c:pt idx="595">
                  <c:v>0.835722666666667</c:v>
                </c:pt>
                <c:pt idx="596">
                  <c:v>0.837923666666667</c:v>
                </c:pt>
                <c:pt idx="597">
                  <c:v>0.83794</c:v>
                </c:pt>
                <c:pt idx="598">
                  <c:v>0.840923333333333</c:v>
                </c:pt>
                <c:pt idx="599">
                  <c:v>0.841574333333333</c:v>
                </c:pt>
                <c:pt idx="600">
                  <c:v>0.841876</c:v>
                </c:pt>
                <c:pt idx="601">
                  <c:v>0.84964</c:v>
                </c:pt>
                <c:pt idx="602">
                  <c:v>0.850851666666667</c:v>
                </c:pt>
                <c:pt idx="603">
                  <c:v>0.85684</c:v>
                </c:pt>
                <c:pt idx="604">
                  <c:v>0.872289333333333</c:v>
                </c:pt>
                <c:pt idx="605">
                  <c:v>0.87236</c:v>
                </c:pt>
              </c:strCache>
            </c:strRef>
          </c:cat>
          <c:val>
            <c:numRef>
              <c:f>'Ecomonic Values'!$C$25:$C$631</c:f>
              <c:numCache>
                <c:formatCode>0.00</c:formatCode>
                <c:ptCount val="606"/>
                <c:pt idx="0">
                  <c:v>0.13</c:v>
                </c:pt>
                <c:pt idx="1">
                  <c:v>0.13</c:v>
                </c:pt>
                <c:pt idx="2">
                  <c:v>0.155</c:v>
                </c:pt>
                <c:pt idx="3">
                  <c:v>0.155</c:v>
                </c:pt>
                <c:pt idx="4">
                  <c:v>0.16</c:v>
                </c:pt>
                <c:pt idx="5">
                  <c:v>0.16500000000000001</c:v>
                </c:pt>
                <c:pt idx="6">
                  <c:v>0.16500000000000001</c:v>
                </c:pt>
                <c:pt idx="7">
                  <c:v>0.17499999999999999</c:v>
                </c:pt>
                <c:pt idx="8">
                  <c:v>0.17</c:v>
                </c:pt>
                <c:pt idx="9">
                  <c:v>0.17499999999999999</c:v>
                </c:pt>
                <c:pt idx="10">
                  <c:v>0.185</c:v>
                </c:pt>
                <c:pt idx="11">
                  <c:v>0.19500000000000001</c:v>
                </c:pt>
                <c:pt idx="12">
                  <c:v>0.23499999999999999</c:v>
                </c:pt>
                <c:pt idx="13">
                  <c:v>0.20499999999999999</c:v>
                </c:pt>
                <c:pt idx="14">
                  <c:v>0.215</c:v>
                </c:pt>
                <c:pt idx="15">
                  <c:v>0.215</c:v>
                </c:pt>
                <c:pt idx="16">
                  <c:v>0.215</c:v>
                </c:pt>
                <c:pt idx="17">
                  <c:v>0.23</c:v>
                </c:pt>
                <c:pt idx="18">
                  <c:v>0.24</c:v>
                </c:pt>
                <c:pt idx="19">
                  <c:v>0.245</c:v>
                </c:pt>
                <c:pt idx="20">
                  <c:v>0.27</c:v>
                </c:pt>
                <c:pt idx="21">
                  <c:v>0.27500000000000002</c:v>
                </c:pt>
                <c:pt idx="22">
                  <c:v>0.26500000000000001</c:v>
                </c:pt>
                <c:pt idx="23">
                  <c:v>0.27500000000000002</c:v>
                </c:pt>
                <c:pt idx="24">
                  <c:v>0.27500000000000002</c:v>
                </c:pt>
                <c:pt idx="25">
                  <c:v>0.27500000000000002</c:v>
                </c:pt>
                <c:pt idx="26">
                  <c:v>0.28000000000000003</c:v>
                </c:pt>
                <c:pt idx="27">
                  <c:v>0.28000000000000003</c:v>
                </c:pt>
                <c:pt idx="28">
                  <c:v>0.28000000000000003</c:v>
                </c:pt>
                <c:pt idx="29">
                  <c:v>0.28000000000000003</c:v>
                </c:pt>
                <c:pt idx="30">
                  <c:v>0.28999999999999998</c:v>
                </c:pt>
                <c:pt idx="31">
                  <c:v>0.28999999999999998</c:v>
                </c:pt>
                <c:pt idx="32">
                  <c:v>0.29499999999999998</c:v>
                </c:pt>
                <c:pt idx="33">
                  <c:v>0.29499999999999998</c:v>
                </c:pt>
                <c:pt idx="34">
                  <c:v>0.29499999999999998</c:v>
                </c:pt>
                <c:pt idx="35">
                  <c:v>0.28999999999999998</c:v>
                </c:pt>
                <c:pt idx="36">
                  <c:v>0.29499999999999998</c:v>
                </c:pt>
                <c:pt idx="37">
                  <c:v>0.32</c:v>
                </c:pt>
                <c:pt idx="38">
                  <c:v>0.3</c:v>
                </c:pt>
                <c:pt idx="39">
                  <c:v>0.30499999999999999</c:v>
                </c:pt>
                <c:pt idx="40">
                  <c:v>0.29499999999999998</c:v>
                </c:pt>
                <c:pt idx="41">
                  <c:v>0.30499999999999999</c:v>
                </c:pt>
                <c:pt idx="42">
                  <c:v>0.31</c:v>
                </c:pt>
                <c:pt idx="43">
                  <c:v>0.31</c:v>
                </c:pt>
                <c:pt idx="44">
                  <c:v>0.31</c:v>
                </c:pt>
                <c:pt idx="45">
                  <c:v>0.315</c:v>
                </c:pt>
                <c:pt idx="46">
                  <c:v>0.315</c:v>
                </c:pt>
                <c:pt idx="47">
                  <c:v>0.33</c:v>
                </c:pt>
                <c:pt idx="48">
                  <c:v>0.315</c:v>
                </c:pt>
                <c:pt idx="49">
                  <c:v>0.315</c:v>
                </c:pt>
                <c:pt idx="50">
                  <c:v>0.33500000000000002</c:v>
                </c:pt>
                <c:pt idx="51">
                  <c:v>0.315</c:v>
                </c:pt>
                <c:pt idx="52">
                  <c:v>0.32</c:v>
                </c:pt>
                <c:pt idx="53">
                  <c:v>0.32</c:v>
                </c:pt>
                <c:pt idx="54">
                  <c:v>0.32500000000000001</c:v>
                </c:pt>
                <c:pt idx="55">
                  <c:v>0.315</c:v>
                </c:pt>
                <c:pt idx="56">
                  <c:v>0.32</c:v>
                </c:pt>
                <c:pt idx="57">
                  <c:v>0.32</c:v>
                </c:pt>
                <c:pt idx="58">
                  <c:v>0.35</c:v>
                </c:pt>
                <c:pt idx="59">
                  <c:v>0.32500000000000001</c:v>
                </c:pt>
                <c:pt idx="60">
                  <c:v>0.32500000000000001</c:v>
                </c:pt>
                <c:pt idx="61">
                  <c:v>0.33</c:v>
                </c:pt>
                <c:pt idx="62">
                  <c:v>0.32500000000000001</c:v>
                </c:pt>
                <c:pt idx="63">
                  <c:v>0.35</c:v>
                </c:pt>
                <c:pt idx="64">
                  <c:v>0.33500000000000002</c:v>
                </c:pt>
                <c:pt idx="65">
                  <c:v>0.34</c:v>
                </c:pt>
                <c:pt idx="66">
                  <c:v>0.34499999999999997</c:v>
                </c:pt>
                <c:pt idx="67">
                  <c:v>0.35</c:v>
                </c:pt>
                <c:pt idx="68">
                  <c:v>0.35</c:v>
                </c:pt>
                <c:pt idx="69">
                  <c:v>0.35</c:v>
                </c:pt>
                <c:pt idx="70">
                  <c:v>0.35</c:v>
                </c:pt>
                <c:pt idx="71">
                  <c:v>0.35</c:v>
                </c:pt>
                <c:pt idx="72">
                  <c:v>0.34499999999999997</c:v>
                </c:pt>
                <c:pt idx="73">
                  <c:v>0.35</c:v>
                </c:pt>
                <c:pt idx="74">
                  <c:v>0.35</c:v>
                </c:pt>
                <c:pt idx="75">
                  <c:v>0.35</c:v>
                </c:pt>
                <c:pt idx="76">
                  <c:v>0.35</c:v>
                </c:pt>
                <c:pt idx="77">
                  <c:v>0.35499999999999998</c:v>
                </c:pt>
                <c:pt idx="78">
                  <c:v>0.36</c:v>
                </c:pt>
                <c:pt idx="79">
                  <c:v>0.35499999999999998</c:v>
                </c:pt>
                <c:pt idx="80">
                  <c:v>0.34499999999999997</c:v>
                </c:pt>
                <c:pt idx="81">
                  <c:v>0.36</c:v>
                </c:pt>
                <c:pt idx="82">
                  <c:v>0.36499999999999999</c:v>
                </c:pt>
                <c:pt idx="83">
                  <c:v>0.36</c:v>
                </c:pt>
                <c:pt idx="84">
                  <c:v>0.36</c:v>
                </c:pt>
                <c:pt idx="85">
                  <c:v>0.375</c:v>
                </c:pt>
                <c:pt idx="86">
                  <c:v>0.36499999999999999</c:v>
                </c:pt>
                <c:pt idx="87">
                  <c:v>0.36499999999999999</c:v>
                </c:pt>
                <c:pt idx="88">
                  <c:v>0.37</c:v>
                </c:pt>
                <c:pt idx="89">
                  <c:v>0.37</c:v>
                </c:pt>
                <c:pt idx="90">
                  <c:v>0.40500000000000003</c:v>
                </c:pt>
                <c:pt idx="91">
                  <c:v>0.37</c:v>
                </c:pt>
                <c:pt idx="92">
                  <c:v>0.375</c:v>
                </c:pt>
                <c:pt idx="93">
                  <c:v>0.37</c:v>
                </c:pt>
                <c:pt idx="94">
                  <c:v>0.375</c:v>
                </c:pt>
                <c:pt idx="95">
                  <c:v>0.375</c:v>
                </c:pt>
                <c:pt idx="96">
                  <c:v>0.37</c:v>
                </c:pt>
                <c:pt idx="97">
                  <c:v>0.375</c:v>
                </c:pt>
                <c:pt idx="98">
                  <c:v>0.38</c:v>
                </c:pt>
                <c:pt idx="99">
                  <c:v>0.38</c:v>
                </c:pt>
                <c:pt idx="100">
                  <c:v>0.36</c:v>
                </c:pt>
                <c:pt idx="101">
                  <c:v>0.375</c:v>
                </c:pt>
                <c:pt idx="102">
                  <c:v>0.36499999999999999</c:v>
                </c:pt>
                <c:pt idx="103">
                  <c:v>0.37</c:v>
                </c:pt>
                <c:pt idx="104">
                  <c:v>0.36</c:v>
                </c:pt>
                <c:pt idx="105">
                  <c:v>0.375</c:v>
                </c:pt>
                <c:pt idx="106">
                  <c:v>0.375</c:v>
                </c:pt>
                <c:pt idx="107">
                  <c:v>0.37</c:v>
                </c:pt>
                <c:pt idx="108">
                  <c:v>0.375</c:v>
                </c:pt>
                <c:pt idx="109">
                  <c:v>0.375</c:v>
                </c:pt>
                <c:pt idx="110">
                  <c:v>0.38</c:v>
                </c:pt>
                <c:pt idx="111">
                  <c:v>0.38500000000000001</c:v>
                </c:pt>
                <c:pt idx="112">
                  <c:v>0.38</c:v>
                </c:pt>
                <c:pt idx="113">
                  <c:v>0.39500000000000002</c:v>
                </c:pt>
                <c:pt idx="114">
                  <c:v>0.39</c:v>
                </c:pt>
                <c:pt idx="115">
                  <c:v>0.39</c:v>
                </c:pt>
                <c:pt idx="116">
                  <c:v>0.39500000000000002</c:v>
                </c:pt>
                <c:pt idx="117">
                  <c:v>0.38500000000000001</c:v>
                </c:pt>
                <c:pt idx="118">
                  <c:v>0.39</c:v>
                </c:pt>
                <c:pt idx="119">
                  <c:v>0.39500000000000002</c:v>
                </c:pt>
                <c:pt idx="120">
                  <c:v>0.39</c:v>
                </c:pt>
                <c:pt idx="121">
                  <c:v>0.38500000000000001</c:v>
                </c:pt>
                <c:pt idx="122">
                  <c:v>0.40500000000000003</c:v>
                </c:pt>
                <c:pt idx="123">
                  <c:v>0.39</c:v>
                </c:pt>
                <c:pt idx="124">
                  <c:v>0.4</c:v>
                </c:pt>
                <c:pt idx="125">
                  <c:v>0.375</c:v>
                </c:pt>
                <c:pt idx="126">
                  <c:v>0.43</c:v>
                </c:pt>
                <c:pt idx="127">
                  <c:v>0.39500000000000002</c:v>
                </c:pt>
                <c:pt idx="128">
                  <c:v>0.4</c:v>
                </c:pt>
                <c:pt idx="129">
                  <c:v>0.4</c:v>
                </c:pt>
                <c:pt idx="130">
                  <c:v>0.39500000000000002</c:v>
                </c:pt>
                <c:pt idx="131">
                  <c:v>0.40500000000000003</c:v>
                </c:pt>
                <c:pt idx="132">
                  <c:v>0.4</c:v>
                </c:pt>
                <c:pt idx="133">
                  <c:v>0.39500000000000002</c:v>
                </c:pt>
                <c:pt idx="134">
                  <c:v>0.41</c:v>
                </c:pt>
                <c:pt idx="135">
                  <c:v>0.40500000000000003</c:v>
                </c:pt>
                <c:pt idx="136">
                  <c:v>0.4</c:v>
                </c:pt>
                <c:pt idx="137">
                  <c:v>0.4</c:v>
                </c:pt>
                <c:pt idx="138">
                  <c:v>0.41499999999999998</c:v>
                </c:pt>
                <c:pt idx="139">
                  <c:v>0.41</c:v>
                </c:pt>
                <c:pt idx="140">
                  <c:v>0.4</c:v>
                </c:pt>
                <c:pt idx="141">
                  <c:v>0.40500000000000003</c:v>
                </c:pt>
                <c:pt idx="142">
                  <c:v>0.39500000000000002</c:v>
                </c:pt>
                <c:pt idx="143">
                  <c:v>0.40500000000000003</c:v>
                </c:pt>
                <c:pt idx="144">
                  <c:v>0.41</c:v>
                </c:pt>
                <c:pt idx="145">
                  <c:v>0.42</c:v>
                </c:pt>
                <c:pt idx="146">
                  <c:v>0.42</c:v>
                </c:pt>
                <c:pt idx="147">
                  <c:v>0.39500000000000002</c:v>
                </c:pt>
                <c:pt idx="148">
                  <c:v>0.40500000000000003</c:v>
                </c:pt>
                <c:pt idx="149">
                  <c:v>0.41</c:v>
                </c:pt>
                <c:pt idx="150">
                  <c:v>0.4</c:v>
                </c:pt>
                <c:pt idx="151">
                  <c:v>0.41499999999999998</c:v>
                </c:pt>
                <c:pt idx="152">
                  <c:v>0.41</c:v>
                </c:pt>
                <c:pt idx="153">
                  <c:v>0.42499999999999999</c:v>
                </c:pt>
                <c:pt idx="154">
                  <c:v>0.41</c:v>
                </c:pt>
                <c:pt idx="155">
                  <c:v>0.41</c:v>
                </c:pt>
                <c:pt idx="156">
                  <c:v>0.42</c:v>
                </c:pt>
                <c:pt idx="157">
                  <c:v>0.42499999999999999</c:v>
                </c:pt>
                <c:pt idx="158">
                  <c:v>0.43</c:v>
                </c:pt>
                <c:pt idx="159">
                  <c:v>0.41499999999999998</c:v>
                </c:pt>
                <c:pt idx="160">
                  <c:v>0.41499999999999998</c:v>
                </c:pt>
                <c:pt idx="161">
                  <c:v>0.43</c:v>
                </c:pt>
                <c:pt idx="162">
                  <c:v>0.42499999999999999</c:v>
                </c:pt>
                <c:pt idx="163">
                  <c:v>0.41499999999999998</c:v>
                </c:pt>
                <c:pt idx="164">
                  <c:v>0.41499999999999998</c:v>
                </c:pt>
                <c:pt idx="165">
                  <c:v>0.42</c:v>
                </c:pt>
                <c:pt idx="166">
                  <c:v>0.44</c:v>
                </c:pt>
                <c:pt idx="167">
                  <c:v>0.42499999999999999</c:v>
                </c:pt>
                <c:pt idx="168">
                  <c:v>0.42499999999999999</c:v>
                </c:pt>
                <c:pt idx="169">
                  <c:v>0.44</c:v>
                </c:pt>
                <c:pt idx="170">
                  <c:v>0.44</c:v>
                </c:pt>
                <c:pt idx="171">
                  <c:v>0.435</c:v>
                </c:pt>
                <c:pt idx="172">
                  <c:v>0.435</c:v>
                </c:pt>
                <c:pt idx="173">
                  <c:v>0.42499999999999999</c:v>
                </c:pt>
                <c:pt idx="174">
                  <c:v>0.42</c:v>
                </c:pt>
                <c:pt idx="175">
                  <c:v>0.42499999999999999</c:v>
                </c:pt>
                <c:pt idx="176">
                  <c:v>0.435</c:v>
                </c:pt>
                <c:pt idx="177">
                  <c:v>0.435</c:v>
                </c:pt>
                <c:pt idx="178">
                  <c:v>0.435</c:v>
                </c:pt>
                <c:pt idx="179">
                  <c:v>0.44</c:v>
                </c:pt>
                <c:pt idx="180">
                  <c:v>0.44500000000000001</c:v>
                </c:pt>
                <c:pt idx="181">
                  <c:v>0.42499999999999999</c:v>
                </c:pt>
                <c:pt idx="182">
                  <c:v>0.42499999999999999</c:v>
                </c:pt>
                <c:pt idx="183">
                  <c:v>0.435</c:v>
                </c:pt>
                <c:pt idx="184">
                  <c:v>0.44500000000000001</c:v>
                </c:pt>
                <c:pt idx="185">
                  <c:v>0.44</c:v>
                </c:pt>
                <c:pt idx="186">
                  <c:v>0.43</c:v>
                </c:pt>
                <c:pt idx="187">
                  <c:v>0.43</c:v>
                </c:pt>
                <c:pt idx="188">
                  <c:v>0.44</c:v>
                </c:pt>
                <c:pt idx="189">
                  <c:v>0.44</c:v>
                </c:pt>
                <c:pt idx="190">
                  <c:v>0.45</c:v>
                </c:pt>
                <c:pt idx="191">
                  <c:v>0.42499999999999999</c:v>
                </c:pt>
                <c:pt idx="192">
                  <c:v>0.44</c:v>
                </c:pt>
                <c:pt idx="193">
                  <c:v>0.435</c:v>
                </c:pt>
                <c:pt idx="194">
                  <c:v>0.44500000000000001</c:v>
                </c:pt>
                <c:pt idx="195">
                  <c:v>0.45</c:v>
                </c:pt>
                <c:pt idx="196">
                  <c:v>0.44</c:v>
                </c:pt>
                <c:pt idx="197">
                  <c:v>0.45500000000000002</c:v>
                </c:pt>
                <c:pt idx="198">
                  <c:v>0.45</c:v>
                </c:pt>
                <c:pt idx="199">
                  <c:v>0.45</c:v>
                </c:pt>
                <c:pt idx="200">
                  <c:v>0.48499999999999999</c:v>
                </c:pt>
                <c:pt idx="201">
                  <c:v>0.44</c:v>
                </c:pt>
                <c:pt idx="202">
                  <c:v>0.45</c:v>
                </c:pt>
                <c:pt idx="203">
                  <c:v>0.44</c:v>
                </c:pt>
                <c:pt idx="204">
                  <c:v>0.44</c:v>
                </c:pt>
                <c:pt idx="205">
                  <c:v>0.45</c:v>
                </c:pt>
                <c:pt idx="206">
                  <c:v>0.45500000000000002</c:v>
                </c:pt>
                <c:pt idx="207">
                  <c:v>0.44</c:v>
                </c:pt>
                <c:pt idx="208">
                  <c:v>0.44</c:v>
                </c:pt>
                <c:pt idx="209">
                  <c:v>0.44500000000000001</c:v>
                </c:pt>
                <c:pt idx="210">
                  <c:v>0.44</c:v>
                </c:pt>
                <c:pt idx="211">
                  <c:v>0.45</c:v>
                </c:pt>
                <c:pt idx="212">
                  <c:v>0.45</c:v>
                </c:pt>
                <c:pt idx="213">
                  <c:v>0.46</c:v>
                </c:pt>
                <c:pt idx="214">
                  <c:v>0.45</c:v>
                </c:pt>
                <c:pt idx="215">
                  <c:v>0.44500000000000001</c:v>
                </c:pt>
                <c:pt idx="216">
                  <c:v>0.48</c:v>
                </c:pt>
                <c:pt idx="217">
                  <c:v>0.45</c:v>
                </c:pt>
                <c:pt idx="218">
                  <c:v>0.45500000000000002</c:v>
                </c:pt>
                <c:pt idx="219">
                  <c:v>0.46</c:v>
                </c:pt>
                <c:pt idx="220">
                  <c:v>0.45500000000000002</c:v>
                </c:pt>
                <c:pt idx="221">
                  <c:v>0.49</c:v>
                </c:pt>
                <c:pt idx="222">
                  <c:v>0.45500000000000002</c:v>
                </c:pt>
                <c:pt idx="223">
                  <c:v>0.45</c:v>
                </c:pt>
                <c:pt idx="224">
                  <c:v>0.46500000000000002</c:v>
                </c:pt>
                <c:pt idx="225">
                  <c:v>0.45</c:v>
                </c:pt>
                <c:pt idx="226">
                  <c:v>0.45500000000000002</c:v>
                </c:pt>
                <c:pt idx="227">
                  <c:v>0.45</c:v>
                </c:pt>
                <c:pt idx="228">
                  <c:v>0.45</c:v>
                </c:pt>
                <c:pt idx="229">
                  <c:v>0.46</c:v>
                </c:pt>
                <c:pt idx="230">
                  <c:v>0.46</c:v>
                </c:pt>
                <c:pt idx="231">
                  <c:v>0.45</c:v>
                </c:pt>
                <c:pt idx="232">
                  <c:v>0.46</c:v>
                </c:pt>
                <c:pt idx="233">
                  <c:v>0.45500000000000002</c:v>
                </c:pt>
                <c:pt idx="234">
                  <c:v>0.44</c:v>
                </c:pt>
                <c:pt idx="235">
                  <c:v>0.47</c:v>
                </c:pt>
                <c:pt idx="236">
                  <c:v>0.46500000000000002</c:v>
                </c:pt>
                <c:pt idx="237">
                  <c:v>0.46</c:v>
                </c:pt>
                <c:pt idx="238">
                  <c:v>0.45500000000000002</c:v>
                </c:pt>
                <c:pt idx="239">
                  <c:v>0.48</c:v>
                </c:pt>
                <c:pt idx="240">
                  <c:v>0.46</c:v>
                </c:pt>
                <c:pt idx="241">
                  <c:v>0.46</c:v>
                </c:pt>
                <c:pt idx="242">
                  <c:v>0.47</c:v>
                </c:pt>
                <c:pt idx="243">
                  <c:v>0.46</c:v>
                </c:pt>
                <c:pt idx="244">
                  <c:v>0.47</c:v>
                </c:pt>
                <c:pt idx="245">
                  <c:v>0.46</c:v>
                </c:pt>
                <c:pt idx="246">
                  <c:v>0.47499999999999998</c:v>
                </c:pt>
                <c:pt idx="247">
                  <c:v>0.47</c:v>
                </c:pt>
                <c:pt idx="248">
                  <c:v>0.47</c:v>
                </c:pt>
                <c:pt idx="249">
                  <c:v>0.46</c:v>
                </c:pt>
                <c:pt idx="250">
                  <c:v>0.46500000000000002</c:v>
                </c:pt>
                <c:pt idx="251">
                  <c:v>0.46500000000000002</c:v>
                </c:pt>
                <c:pt idx="252">
                  <c:v>0.46500000000000002</c:v>
                </c:pt>
                <c:pt idx="253">
                  <c:v>0.47499999999999998</c:v>
                </c:pt>
                <c:pt idx="254">
                  <c:v>0.47</c:v>
                </c:pt>
                <c:pt idx="255">
                  <c:v>0.45500000000000002</c:v>
                </c:pt>
                <c:pt idx="256">
                  <c:v>0.47499999999999998</c:v>
                </c:pt>
                <c:pt idx="257">
                  <c:v>0.46</c:v>
                </c:pt>
                <c:pt idx="258">
                  <c:v>0.48499999999999999</c:v>
                </c:pt>
                <c:pt idx="259">
                  <c:v>0.49</c:v>
                </c:pt>
                <c:pt idx="260">
                  <c:v>0.48</c:v>
                </c:pt>
                <c:pt idx="261">
                  <c:v>0.47</c:v>
                </c:pt>
                <c:pt idx="262">
                  <c:v>0.46500000000000002</c:v>
                </c:pt>
                <c:pt idx="263">
                  <c:v>0.45500000000000002</c:v>
                </c:pt>
                <c:pt idx="264">
                  <c:v>0.48499999999999999</c:v>
                </c:pt>
                <c:pt idx="265">
                  <c:v>0.48</c:v>
                </c:pt>
                <c:pt idx="266">
                  <c:v>0.47</c:v>
                </c:pt>
                <c:pt idx="267">
                  <c:v>0.47</c:v>
                </c:pt>
                <c:pt idx="268">
                  <c:v>0.47499999999999998</c:v>
                </c:pt>
                <c:pt idx="269">
                  <c:v>0.47</c:v>
                </c:pt>
                <c:pt idx="270">
                  <c:v>0.47499999999999998</c:v>
                </c:pt>
                <c:pt idx="271">
                  <c:v>0.49</c:v>
                </c:pt>
                <c:pt idx="272">
                  <c:v>0.47</c:v>
                </c:pt>
                <c:pt idx="273">
                  <c:v>0.47</c:v>
                </c:pt>
                <c:pt idx="274">
                  <c:v>0.48</c:v>
                </c:pt>
                <c:pt idx="275">
                  <c:v>0.48</c:v>
                </c:pt>
                <c:pt idx="276">
                  <c:v>0.48499999999999999</c:v>
                </c:pt>
                <c:pt idx="277">
                  <c:v>0.48</c:v>
                </c:pt>
                <c:pt idx="278">
                  <c:v>0.48499999999999999</c:v>
                </c:pt>
                <c:pt idx="279">
                  <c:v>0.47</c:v>
                </c:pt>
                <c:pt idx="280">
                  <c:v>0.48</c:v>
                </c:pt>
                <c:pt idx="281">
                  <c:v>0.48</c:v>
                </c:pt>
                <c:pt idx="282">
                  <c:v>0.47</c:v>
                </c:pt>
                <c:pt idx="283">
                  <c:v>0.47499999999999998</c:v>
                </c:pt>
                <c:pt idx="284">
                  <c:v>0.48</c:v>
                </c:pt>
                <c:pt idx="285">
                  <c:v>0.47499999999999998</c:v>
                </c:pt>
                <c:pt idx="286">
                  <c:v>0.46500000000000002</c:v>
                </c:pt>
                <c:pt idx="287">
                  <c:v>0.49</c:v>
                </c:pt>
                <c:pt idx="288">
                  <c:v>0.48</c:v>
                </c:pt>
                <c:pt idx="289">
                  <c:v>0.5</c:v>
                </c:pt>
                <c:pt idx="290">
                  <c:v>0.48</c:v>
                </c:pt>
                <c:pt idx="291">
                  <c:v>0.48499999999999999</c:v>
                </c:pt>
                <c:pt idx="292">
                  <c:v>0.48</c:v>
                </c:pt>
                <c:pt idx="293">
                  <c:v>0.51</c:v>
                </c:pt>
                <c:pt idx="294">
                  <c:v>0.48499999999999999</c:v>
                </c:pt>
                <c:pt idx="295">
                  <c:v>0.47499999999999998</c:v>
                </c:pt>
                <c:pt idx="296">
                  <c:v>0.5</c:v>
                </c:pt>
                <c:pt idx="297">
                  <c:v>0.49</c:v>
                </c:pt>
                <c:pt idx="298">
                  <c:v>0.46500000000000002</c:v>
                </c:pt>
                <c:pt idx="299">
                  <c:v>0.51500000000000001</c:v>
                </c:pt>
                <c:pt idx="300">
                  <c:v>0.47</c:v>
                </c:pt>
                <c:pt idx="301">
                  <c:v>0.47</c:v>
                </c:pt>
                <c:pt idx="302">
                  <c:v>0.48499999999999999</c:v>
                </c:pt>
                <c:pt idx="303">
                  <c:v>0.48499999999999999</c:v>
                </c:pt>
                <c:pt idx="304">
                  <c:v>0.48499999999999999</c:v>
                </c:pt>
                <c:pt idx="305">
                  <c:v>0.48499999999999999</c:v>
                </c:pt>
                <c:pt idx="306">
                  <c:v>0.49</c:v>
                </c:pt>
                <c:pt idx="307">
                  <c:v>0.48499999999999999</c:v>
                </c:pt>
                <c:pt idx="308">
                  <c:v>0.48</c:v>
                </c:pt>
                <c:pt idx="309">
                  <c:v>0.48</c:v>
                </c:pt>
                <c:pt idx="310">
                  <c:v>0.5</c:v>
                </c:pt>
                <c:pt idx="311">
                  <c:v>0.49</c:v>
                </c:pt>
                <c:pt idx="312">
                  <c:v>0.48499999999999999</c:v>
                </c:pt>
                <c:pt idx="313">
                  <c:v>0.48</c:v>
                </c:pt>
                <c:pt idx="314">
                  <c:v>0.495</c:v>
                </c:pt>
                <c:pt idx="315">
                  <c:v>0.5</c:v>
                </c:pt>
                <c:pt idx="316">
                  <c:v>0.47499999999999998</c:v>
                </c:pt>
                <c:pt idx="317">
                  <c:v>0.48499999999999999</c:v>
                </c:pt>
                <c:pt idx="318">
                  <c:v>0.495</c:v>
                </c:pt>
                <c:pt idx="319">
                  <c:v>0.505</c:v>
                </c:pt>
                <c:pt idx="320">
                  <c:v>0.495</c:v>
                </c:pt>
                <c:pt idx="321">
                  <c:v>0.495</c:v>
                </c:pt>
                <c:pt idx="322">
                  <c:v>0.49</c:v>
                </c:pt>
                <c:pt idx="323">
                  <c:v>0.5</c:v>
                </c:pt>
                <c:pt idx="324">
                  <c:v>0.48499999999999999</c:v>
                </c:pt>
                <c:pt idx="325">
                  <c:v>0.49</c:v>
                </c:pt>
                <c:pt idx="326">
                  <c:v>0.48499999999999999</c:v>
                </c:pt>
                <c:pt idx="327">
                  <c:v>0.51</c:v>
                </c:pt>
                <c:pt idx="328">
                  <c:v>0.505</c:v>
                </c:pt>
                <c:pt idx="329">
                  <c:v>0.5</c:v>
                </c:pt>
                <c:pt idx="330">
                  <c:v>0.505</c:v>
                </c:pt>
                <c:pt idx="331">
                  <c:v>0.49</c:v>
                </c:pt>
                <c:pt idx="332">
                  <c:v>0.5</c:v>
                </c:pt>
                <c:pt idx="333">
                  <c:v>0.5</c:v>
                </c:pt>
                <c:pt idx="334">
                  <c:v>0.49</c:v>
                </c:pt>
                <c:pt idx="335">
                  <c:v>0.51</c:v>
                </c:pt>
                <c:pt idx="336">
                  <c:v>0.5</c:v>
                </c:pt>
                <c:pt idx="337">
                  <c:v>0.5</c:v>
                </c:pt>
                <c:pt idx="338">
                  <c:v>0.49</c:v>
                </c:pt>
                <c:pt idx="339">
                  <c:v>0.505</c:v>
                </c:pt>
                <c:pt idx="340">
                  <c:v>0.505</c:v>
                </c:pt>
                <c:pt idx="341">
                  <c:v>0.505</c:v>
                </c:pt>
                <c:pt idx="342">
                  <c:v>0.505</c:v>
                </c:pt>
                <c:pt idx="343">
                  <c:v>0.5</c:v>
                </c:pt>
                <c:pt idx="344">
                  <c:v>0.5</c:v>
                </c:pt>
                <c:pt idx="345">
                  <c:v>0.505</c:v>
                </c:pt>
                <c:pt idx="346">
                  <c:v>0.495</c:v>
                </c:pt>
                <c:pt idx="347">
                  <c:v>0.505</c:v>
                </c:pt>
                <c:pt idx="348">
                  <c:v>0.505</c:v>
                </c:pt>
                <c:pt idx="349">
                  <c:v>0.5</c:v>
                </c:pt>
                <c:pt idx="350">
                  <c:v>0.48499999999999999</c:v>
                </c:pt>
                <c:pt idx="351">
                  <c:v>0.51500000000000001</c:v>
                </c:pt>
                <c:pt idx="352">
                  <c:v>0.5</c:v>
                </c:pt>
                <c:pt idx="353">
                  <c:v>0.5</c:v>
                </c:pt>
                <c:pt idx="354">
                  <c:v>0.51500000000000001</c:v>
                </c:pt>
                <c:pt idx="355">
                  <c:v>0.505</c:v>
                </c:pt>
                <c:pt idx="356">
                  <c:v>0.5</c:v>
                </c:pt>
                <c:pt idx="357">
                  <c:v>0.5</c:v>
                </c:pt>
                <c:pt idx="358">
                  <c:v>0.49</c:v>
                </c:pt>
                <c:pt idx="359">
                  <c:v>0.47</c:v>
                </c:pt>
                <c:pt idx="360">
                  <c:v>0.49</c:v>
                </c:pt>
                <c:pt idx="361">
                  <c:v>0.495</c:v>
                </c:pt>
                <c:pt idx="362">
                  <c:v>0.5</c:v>
                </c:pt>
                <c:pt idx="363">
                  <c:v>0.5</c:v>
                </c:pt>
                <c:pt idx="364">
                  <c:v>0.52500000000000002</c:v>
                </c:pt>
                <c:pt idx="365">
                  <c:v>0.51</c:v>
                </c:pt>
                <c:pt idx="366">
                  <c:v>0.495</c:v>
                </c:pt>
                <c:pt idx="367">
                  <c:v>0.51</c:v>
                </c:pt>
                <c:pt idx="368">
                  <c:v>0.5</c:v>
                </c:pt>
                <c:pt idx="369">
                  <c:v>0.5</c:v>
                </c:pt>
                <c:pt idx="370">
                  <c:v>0.505</c:v>
                </c:pt>
                <c:pt idx="371">
                  <c:v>0.52500000000000002</c:v>
                </c:pt>
                <c:pt idx="372">
                  <c:v>0.495</c:v>
                </c:pt>
                <c:pt idx="373">
                  <c:v>0.51</c:v>
                </c:pt>
                <c:pt idx="374">
                  <c:v>0.505</c:v>
                </c:pt>
                <c:pt idx="375">
                  <c:v>0.5</c:v>
                </c:pt>
                <c:pt idx="376">
                  <c:v>0.5</c:v>
                </c:pt>
                <c:pt idx="377">
                  <c:v>0.51500000000000001</c:v>
                </c:pt>
                <c:pt idx="378">
                  <c:v>0.52</c:v>
                </c:pt>
                <c:pt idx="379">
                  <c:v>0.505</c:v>
                </c:pt>
                <c:pt idx="380">
                  <c:v>0.51</c:v>
                </c:pt>
                <c:pt idx="381">
                  <c:v>0.995</c:v>
                </c:pt>
                <c:pt idx="382">
                  <c:v>0.5</c:v>
                </c:pt>
                <c:pt idx="383">
                  <c:v>0.52</c:v>
                </c:pt>
                <c:pt idx="384">
                  <c:v>0.52</c:v>
                </c:pt>
                <c:pt idx="385">
                  <c:v>0.51500000000000001</c:v>
                </c:pt>
                <c:pt idx="386">
                  <c:v>0.51500000000000001</c:v>
                </c:pt>
                <c:pt idx="387">
                  <c:v>0.52</c:v>
                </c:pt>
                <c:pt idx="388">
                  <c:v>0.51</c:v>
                </c:pt>
                <c:pt idx="389">
                  <c:v>0.52</c:v>
                </c:pt>
                <c:pt idx="390">
                  <c:v>0.52500000000000002</c:v>
                </c:pt>
                <c:pt idx="391">
                  <c:v>0.51</c:v>
                </c:pt>
                <c:pt idx="392">
                  <c:v>0.51</c:v>
                </c:pt>
                <c:pt idx="393">
                  <c:v>0.51500000000000001</c:v>
                </c:pt>
                <c:pt idx="394">
                  <c:v>0.51</c:v>
                </c:pt>
                <c:pt idx="395">
                  <c:v>0.505</c:v>
                </c:pt>
                <c:pt idx="396">
                  <c:v>0.52500000000000002</c:v>
                </c:pt>
                <c:pt idx="397">
                  <c:v>0.52</c:v>
                </c:pt>
                <c:pt idx="398">
                  <c:v>0.505</c:v>
                </c:pt>
                <c:pt idx="399">
                  <c:v>0.52</c:v>
                </c:pt>
                <c:pt idx="400">
                  <c:v>0.51</c:v>
                </c:pt>
                <c:pt idx="401">
                  <c:v>0.51500000000000001</c:v>
                </c:pt>
                <c:pt idx="402">
                  <c:v>0.54500000000000004</c:v>
                </c:pt>
                <c:pt idx="403">
                  <c:v>0.52</c:v>
                </c:pt>
                <c:pt idx="404">
                  <c:v>0.51500000000000001</c:v>
                </c:pt>
                <c:pt idx="405">
                  <c:v>0.52</c:v>
                </c:pt>
                <c:pt idx="406">
                  <c:v>0.53500000000000003</c:v>
                </c:pt>
                <c:pt idx="407">
                  <c:v>0.51500000000000001</c:v>
                </c:pt>
                <c:pt idx="408">
                  <c:v>0.51</c:v>
                </c:pt>
                <c:pt idx="409">
                  <c:v>0.5</c:v>
                </c:pt>
                <c:pt idx="410">
                  <c:v>0.51</c:v>
                </c:pt>
                <c:pt idx="411">
                  <c:v>0.53</c:v>
                </c:pt>
                <c:pt idx="412">
                  <c:v>0.52500000000000002</c:v>
                </c:pt>
                <c:pt idx="413">
                  <c:v>0.52500000000000002</c:v>
                </c:pt>
                <c:pt idx="414">
                  <c:v>0.52</c:v>
                </c:pt>
                <c:pt idx="415">
                  <c:v>0.52</c:v>
                </c:pt>
                <c:pt idx="416">
                  <c:v>0.52500000000000002</c:v>
                </c:pt>
                <c:pt idx="417">
                  <c:v>0.53</c:v>
                </c:pt>
                <c:pt idx="418">
                  <c:v>0.52500000000000002</c:v>
                </c:pt>
                <c:pt idx="419">
                  <c:v>0.52</c:v>
                </c:pt>
                <c:pt idx="420">
                  <c:v>0.52</c:v>
                </c:pt>
                <c:pt idx="421">
                  <c:v>0.52</c:v>
                </c:pt>
                <c:pt idx="422">
                  <c:v>0.505</c:v>
                </c:pt>
                <c:pt idx="423">
                  <c:v>0.51500000000000001</c:v>
                </c:pt>
                <c:pt idx="424">
                  <c:v>0.52500000000000002</c:v>
                </c:pt>
                <c:pt idx="425">
                  <c:v>0.52</c:v>
                </c:pt>
                <c:pt idx="426">
                  <c:v>0.52</c:v>
                </c:pt>
                <c:pt idx="427">
                  <c:v>0.52500000000000002</c:v>
                </c:pt>
                <c:pt idx="428">
                  <c:v>0.51500000000000001</c:v>
                </c:pt>
                <c:pt idx="429">
                  <c:v>0.52500000000000002</c:v>
                </c:pt>
                <c:pt idx="430">
                  <c:v>0.53500000000000003</c:v>
                </c:pt>
                <c:pt idx="431">
                  <c:v>0.505</c:v>
                </c:pt>
                <c:pt idx="432">
                  <c:v>0.54</c:v>
                </c:pt>
                <c:pt idx="433">
                  <c:v>0.54500000000000004</c:v>
                </c:pt>
                <c:pt idx="434">
                  <c:v>0.54</c:v>
                </c:pt>
                <c:pt idx="435">
                  <c:v>0.54500000000000004</c:v>
                </c:pt>
                <c:pt idx="436">
                  <c:v>0.53</c:v>
                </c:pt>
                <c:pt idx="437">
                  <c:v>0.53</c:v>
                </c:pt>
                <c:pt idx="438">
                  <c:v>0.53500000000000003</c:v>
                </c:pt>
                <c:pt idx="439">
                  <c:v>0.53</c:v>
                </c:pt>
                <c:pt idx="440">
                  <c:v>0.52</c:v>
                </c:pt>
                <c:pt idx="441">
                  <c:v>0.52</c:v>
                </c:pt>
                <c:pt idx="442">
                  <c:v>0.53</c:v>
                </c:pt>
                <c:pt idx="443">
                  <c:v>0.53</c:v>
                </c:pt>
                <c:pt idx="444">
                  <c:v>0.52</c:v>
                </c:pt>
                <c:pt idx="445">
                  <c:v>0.53</c:v>
                </c:pt>
                <c:pt idx="446">
                  <c:v>0.52500000000000002</c:v>
                </c:pt>
                <c:pt idx="447">
                  <c:v>0.55000000000000004</c:v>
                </c:pt>
                <c:pt idx="448">
                  <c:v>0.54</c:v>
                </c:pt>
                <c:pt idx="449">
                  <c:v>0.53</c:v>
                </c:pt>
                <c:pt idx="450">
                  <c:v>0.55000000000000004</c:v>
                </c:pt>
                <c:pt idx="451">
                  <c:v>0.53</c:v>
                </c:pt>
                <c:pt idx="452">
                  <c:v>0.53</c:v>
                </c:pt>
                <c:pt idx="453">
                  <c:v>0.52500000000000002</c:v>
                </c:pt>
                <c:pt idx="454">
                  <c:v>0.53</c:v>
                </c:pt>
                <c:pt idx="455">
                  <c:v>0.56000000000000005</c:v>
                </c:pt>
                <c:pt idx="456">
                  <c:v>0.55000000000000004</c:v>
                </c:pt>
                <c:pt idx="457">
                  <c:v>0.52500000000000002</c:v>
                </c:pt>
                <c:pt idx="458">
                  <c:v>0.54</c:v>
                </c:pt>
                <c:pt idx="459">
                  <c:v>0.52</c:v>
                </c:pt>
                <c:pt idx="460">
                  <c:v>0.53500000000000003</c:v>
                </c:pt>
                <c:pt idx="461">
                  <c:v>0.53</c:v>
                </c:pt>
                <c:pt idx="462">
                  <c:v>0.54500000000000004</c:v>
                </c:pt>
                <c:pt idx="463">
                  <c:v>0.54</c:v>
                </c:pt>
                <c:pt idx="464">
                  <c:v>0.54</c:v>
                </c:pt>
                <c:pt idx="465">
                  <c:v>0.54500000000000004</c:v>
                </c:pt>
                <c:pt idx="466">
                  <c:v>0.55000000000000004</c:v>
                </c:pt>
                <c:pt idx="467">
                  <c:v>0.53</c:v>
                </c:pt>
                <c:pt idx="468">
                  <c:v>0.53</c:v>
                </c:pt>
                <c:pt idx="469">
                  <c:v>0.56000000000000005</c:v>
                </c:pt>
                <c:pt idx="470">
                  <c:v>0.54500000000000004</c:v>
                </c:pt>
                <c:pt idx="471">
                  <c:v>0.55000000000000004</c:v>
                </c:pt>
                <c:pt idx="472">
                  <c:v>0.57499999999999996</c:v>
                </c:pt>
                <c:pt idx="473">
                  <c:v>0.55000000000000004</c:v>
                </c:pt>
                <c:pt idx="474">
                  <c:v>0.55500000000000005</c:v>
                </c:pt>
                <c:pt idx="475">
                  <c:v>0.55000000000000004</c:v>
                </c:pt>
                <c:pt idx="476">
                  <c:v>0.56000000000000005</c:v>
                </c:pt>
                <c:pt idx="477">
                  <c:v>0.55000000000000004</c:v>
                </c:pt>
                <c:pt idx="478">
                  <c:v>0.55500000000000005</c:v>
                </c:pt>
                <c:pt idx="479">
                  <c:v>0.55500000000000005</c:v>
                </c:pt>
                <c:pt idx="480">
                  <c:v>0.54500000000000004</c:v>
                </c:pt>
                <c:pt idx="481">
                  <c:v>0.55000000000000004</c:v>
                </c:pt>
                <c:pt idx="482">
                  <c:v>0.53</c:v>
                </c:pt>
                <c:pt idx="483">
                  <c:v>0.53500000000000003</c:v>
                </c:pt>
                <c:pt idx="484">
                  <c:v>0.54500000000000004</c:v>
                </c:pt>
                <c:pt idx="485">
                  <c:v>0.49</c:v>
                </c:pt>
                <c:pt idx="486">
                  <c:v>0.55500000000000005</c:v>
                </c:pt>
                <c:pt idx="487">
                  <c:v>0.55000000000000004</c:v>
                </c:pt>
                <c:pt idx="488">
                  <c:v>0.54500000000000004</c:v>
                </c:pt>
                <c:pt idx="489">
                  <c:v>0.55500000000000005</c:v>
                </c:pt>
                <c:pt idx="490">
                  <c:v>0.56499999999999995</c:v>
                </c:pt>
                <c:pt idx="491">
                  <c:v>0.53500000000000003</c:v>
                </c:pt>
                <c:pt idx="492">
                  <c:v>0.55500000000000005</c:v>
                </c:pt>
                <c:pt idx="493">
                  <c:v>0.54</c:v>
                </c:pt>
                <c:pt idx="494">
                  <c:v>0.56499999999999995</c:v>
                </c:pt>
                <c:pt idx="495">
                  <c:v>0.56999999999999995</c:v>
                </c:pt>
                <c:pt idx="496">
                  <c:v>0.53500000000000003</c:v>
                </c:pt>
                <c:pt idx="497">
                  <c:v>0.55500000000000005</c:v>
                </c:pt>
                <c:pt idx="498">
                  <c:v>0.56999999999999995</c:v>
                </c:pt>
                <c:pt idx="499">
                  <c:v>0.56499999999999995</c:v>
                </c:pt>
                <c:pt idx="500">
                  <c:v>0.56499999999999995</c:v>
                </c:pt>
                <c:pt idx="501">
                  <c:v>0.56000000000000005</c:v>
                </c:pt>
                <c:pt idx="502">
                  <c:v>0.56000000000000005</c:v>
                </c:pt>
                <c:pt idx="503">
                  <c:v>0.54500000000000004</c:v>
                </c:pt>
                <c:pt idx="504">
                  <c:v>0.57999999999999996</c:v>
                </c:pt>
                <c:pt idx="505">
                  <c:v>0.57999999999999996</c:v>
                </c:pt>
                <c:pt idx="506">
                  <c:v>0.56499999999999995</c:v>
                </c:pt>
                <c:pt idx="507">
                  <c:v>0.58499999999999996</c:v>
                </c:pt>
                <c:pt idx="508">
                  <c:v>0.57999999999999996</c:v>
                </c:pt>
                <c:pt idx="509">
                  <c:v>0.56999999999999995</c:v>
                </c:pt>
                <c:pt idx="510">
                  <c:v>0.56499999999999995</c:v>
                </c:pt>
                <c:pt idx="511">
                  <c:v>0.55500000000000005</c:v>
                </c:pt>
                <c:pt idx="512">
                  <c:v>0.54</c:v>
                </c:pt>
                <c:pt idx="513">
                  <c:v>0.55000000000000004</c:v>
                </c:pt>
                <c:pt idx="514">
                  <c:v>0.56000000000000005</c:v>
                </c:pt>
                <c:pt idx="515">
                  <c:v>0.57999999999999996</c:v>
                </c:pt>
                <c:pt idx="516">
                  <c:v>0.57499999999999996</c:v>
                </c:pt>
                <c:pt idx="517">
                  <c:v>0.56499999999999995</c:v>
                </c:pt>
                <c:pt idx="518">
                  <c:v>0.57999999999999996</c:v>
                </c:pt>
                <c:pt idx="519">
                  <c:v>0.56499999999999995</c:v>
                </c:pt>
                <c:pt idx="520">
                  <c:v>0.57499999999999996</c:v>
                </c:pt>
                <c:pt idx="521">
                  <c:v>0.56999999999999995</c:v>
                </c:pt>
                <c:pt idx="522">
                  <c:v>0.56999999999999995</c:v>
                </c:pt>
                <c:pt idx="523">
                  <c:v>0.55500000000000005</c:v>
                </c:pt>
                <c:pt idx="524">
                  <c:v>0.56000000000000005</c:v>
                </c:pt>
                <c:pt idx="525">
                  <c:v>0.57499999999999996</c:v>
                </c:pt>
                <c:pt idx="526">
                  <c:v>0.56999999999999995</c:v>
                </c:pt>
                <c:pt idx="527">
                  <c:v>0.56499999999999995</c:v>
                </c:pt>
                <c:pt idx="528">
                  <c:v>0.62</c:v>
                </c:pt>
                <c:pt idx="529">
                  <c:v>0.59499999999999997</c:v>
                </c:pt>
                <c:pt idx="530">
                  <c:v>0.55000000000000004</c:v>
                </c:pt>
                <c:pt idx="531">
                  <c:v>0.56999999999999995</c:v>
                </c:pt>
                <c:pt idx="532">
                  <c:v>0.59</c:v>
                </c:pt>
                <c:pt idx="533">
                  <c:v>0.59</c:v>
                </c:pt>
                <c:pt idx="534">
                  <c:v>0.57499999999999996</c:v>
                </c:pt>
                <c:pt idx="535">
                  <c:v>0.57499999999999996</c:v>
                </c:pt>
                <c:pt idx="536">
                  <c:v>0.57499999999999996</c:v>
                </c:pt>
                <c:pt idx="537">
                  <c:v>0.56499999999999995</c:v>
                </c:pt>
                <c:pt idx="538">
                  <c:v>0.56999999999999995</c:v>
                </c:pt>
                <c:pt idx="539">
                  <c:v>0.59</c:v>
                </c:pt>
                <c:pt idx="540">
                  <c:v>0.57999999999999996</c:v>
                </c:pt>
                <c:pt idx="541">
                  <c:v>0.57999999999999996</c:v>
                </c:pt>
                <c:pt idx="542">
                  <c:v>0.56999999999999995</c:v>
                </c:pt>
                <c:pt idx="543">
                  <c:v>0.57499999999999996</c:v>
                </c:pt>
                <c:pt idx="544">
                  <c:v>0.57999999999999996</c:v>
                </c:pt>
                <c:pt idx="545">
                  <c:v>0.57999999999999996</c:v>
                </c:pt>
                <c:pt idx="546">
                  <c:v>0.56999999999999995</c:v>
                </c:pt>
                <c:pt idx="547">
                  <c:v>0.57499999999999996</c:v>
                </c:pt>
                <c:pt idx="548">
                  <c:v>0.56999999999999995</c:v>
                </c:pt>
                <c:pt idx="549">
                  <c:v>0.58499999999999996</c:v>
                </c:pt>
                <c:pt idx="550">
                  <c:v>0.59</c:v>
                </c:pt>
                <c:pt idx="551">
                  <c:v>0.57999999999999996</c:v>
                </c:pt>
                <c:pt idx="552">
                  <c:v>0.59</c:v>
                </c:pt>
                <c:pt idx="553">
                  <c:v>0.57999999999999996</c:v>
                </c:pt>
                <c:pt idx="554">
                  <c:v>0.60499999999999998</c:v>
                </c:pt>
                <c:pt idx="555">
                  <c:v>0.57499999999999996</c:v>
                </c:pt>
                <c:pt idx="556">
                  <c:v>0.59</c:v>
                </c:pt>
                <c:pt idx="557">
                  <c:v>0.6</c:v>
                </c:pt>
                <c:pt idx="558">
                  <c:v>0.56499999999999995</c:v>
                </c:pt>
                <c:pt idx="559">
                  <c:v>0.59</c:v>
                </c:pt>
                <c:pt idx="560">
                  <c:v>0.57499999999999996</c:v>
                </c:pt>
                <c:pt idx="561">
                  <c:v>0.57999999999999996</c:v>
                </c:pt>
                <c:pt idx="562">
                  <c:v>0.6</c:v>
                </c:pt>
                <c:pt idx="563">
                  <c:v>0.6</c:v>
                </c:pt>
                <c:pt idx="564">
                  <c:v>0.58499999999999996</c:v>
                </c:pt>
                <c:pt idx="565">
                  <c:v>0.61</c:v>
                </c:pt>
                <c:pt idx="566">
                  <c:v>0.57499999999999996</c:v>
                </c:pt>
                <c:pt idx="567">
                  <c:v>0.59</c:v>
                </c:pt>
                <c:pt idx="568">
                  <c:v>0.60499999999999998</c:v>
                </c:pt>
                <c:pt idx="569">
                  <c:v>0.56000000000000005</c:v>
                </c:pt>
                <c:pt idx="570">
                  <c:v>0.61499999999999999</c:v>
                </c:pt>
                <c:pt idx="571">
                  <c:v>0.59499999999999997</c:v>
                </c:pt>
                <c:pt idx="572">
                  <c:v>0.61</c:v>
                </c:pt>
                <c:pt idx="573">
                  <c:v>0.6</c:v>
                </c:pt>
                <c:pt idx="574">
                  <c:v>0.61</c:v>
                </c:pt>
                <c:pt idx="575">
                  <c:v>0.66500000000000004</c:v>
                </c:pt>
                <c:pt idx="576">
                  <c:v>0.57999999999999996</c:v>
                </c:pt>
                <c:pt idx="577">
                  <c:v>0.65500000000000003</c:v>
                </c:pt>
                <c:pt idx="578">
                  <c:v>0.64</c:v>
                </c:pt>
                <c:pt idx="579">
                  <c:v>0.59499999999999997</c:v>
                </c:pt>
                <c:pt idx="580">
                  <c:v>0.62</c:v>
                </c:pt>
                <c:pt idx="581">
                  <c:v>0.63</c:v>
                </c:pt>
                <c:pt idx="582">
                  <c:v>0.625</c:v>
                </c:pt>
                <c:pt idx="583">
                  <c:v>0.61</c:v>
                </c:pt>
                <c:pt idx="584">
                  <c:v>0.6</c:v>
                </c:pt>
                <c:pt idx="585">
                  <c:v>0.62</c:v>
                </c:pt>
                <c:pt idx="586">
                  <c:v>0.62</c:v>
                </c:pt>
                <c:pt idx="587">
                  <c:v>0.64</c:v>
                </c:pt>
                <c:pt idx="588">
                  <c:v>0.64</c:v>
                </c:pt>
                <c:pt idx="589">
                  <c:v>0.625</c:v>
                </c:pt>
                <c:pt idx="590">
                  <c:v>0.63</c:v>
                </c:pt>
                <c:pt idx="591">
                  <c:v>0.66</c:v>
                </c:pt>
                <c:pt idx="592">
                  <c:v>0.64500000000000002</c:v>
                </c:pt>
                <c:pt idx="593">
                  <c:v>0.63</c:v>
                </c:pt>
                <c:pt idx="594">
                  <c:v>0.65500000000000003</c:v>
                </c:pt>
                <c:pt idx="595">
                  <c:v>0.65500000000000003</c:v>
                </c:pt>
                <c:pt idx="596">
                  <c:v>0.67500000000000004</c:v>
                </c:pt>
                <c:pt idx="597">
                  <c:v>0.67500000000000004</c:v>
                </c:pt>
                <c:pt idx="598">
                  <c:v>0.66500000000000004</c:v>
                </c:pt>
                <c:pt idx="599">
                  <c:v>0.69</c:v>
                </c:pt>
                <c:pt idx="600">
                  <c:v>0.7</c:v>
                </c:pt>
                <c:pt idx="601">
                  <c:v>0.67500000000000004</c:v>
                </c:pt>
                <c:pt idx="602">
                  <c:v>0.7</c:v>
                </c:pt>
                <c:pt idx="603">
                  <c:v>0.70499999999999996</c:v>
                </c:pt>
                <c:pt idx="604">
                  <c:v>0.8</c:v>
                </c:pt>
                <c:pt idx="605">
                  <c:v>0.73499999999999999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7D9-C849-B7D3-A04B473F0829}"/>
            </c:ext>
          </c:extLst>
        </c:ser>
        <c:ser>
          <c:idx val="2"/>
          <c:order val="2"/>
          <c:tx>
            <c:strRef>
              <c:f>'Ecomonic Values'!$D$24</c:f>
              <c:strCache>
                <c:ptCount val="1"/>
                <c:pt idx="0">
                  <c:v>Sum of Diameter</c:v>
                </c:pt>
              </c:strCache>
            </c:strRef>
          </c:tx>
          <c:spPr>
            <a:noFill/>
            <a:ln w="9525" cap="flat" cmpd="sng" algn="ctr">
              <a:solidFill>
                <a:schemeClr val="accent3"/>
              </a:solidFill>
              <a:miter lim="800000"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'Ecomonic Values'!$A$25:$A$631</c:f>
              <c:strCache>
                <c:ptCount val="606"/>
                <c:pt idx="0">
                  <c:v>0.619489</c:v>
                </c:pt>
                <c:pt idx="1">
                  <c:v>0.620692</c:v>
                </c:pt>
                <c:pt idx="2">
                  <c:v>0.628516666666667</c:v>
                </c:pt>
                <c:pt idx="3">
                  <c:v>0.6308</c:v>
                </c:pt>
                <c:pt idx="4">
                  <c:v>0.6311</c:v>
                </c:pt>
                <c:pt idx="5">
                  <c:v>0.634939333333333</c:v>
                </c:pt>
                <c:pt idx="6">
                  <c:v>0.636157333333333</c:v>
                </c:pt>
                <c:pt idx="7">
                  <c:v>0.638656</c:v>
                </c:pt>
                <c:pt idx="8">
                  <c:v>0.63878</c:v>
                </c:pt>
                <c:pt idx="9">
                  <c:v>0.638848</c:v>
                </c:pt>
                <c:pt idx="10">
                  <c:v>0.644037333333333</c:v>
                </c:pt>
                <c:pt idx="11">
                  <c:v>0.650225</c:v>
                </c:pt>
                <c:pt idx="12">
                  <c:v>0.650465</c:v>
                </c:pt>
                <c:pt idx="13">
                  <c:v>0.652734666666667</c:v>
                </c:pt>
                <c:pt idx="14">
                  <c:v>0.655434</c:v>
                </c:pt>
                <c:pt idx="15">
                  <c:v>0.655447333333333</c:v>
                </c:pt>
                <c:pt idx="16">
                  <c:v>0.659883666666667</c:v>
                </c:pt>
                <c:pt idx="17">
                  <c:v>0.662998666666667</c:v>
                </c:pt>
                <c:pt idx="18">
                  <c:v>0.667696333333333</c:v>
                </c:pt>
                <c:pt idx="19">
                  <c:v>0.673026666666667</c:v>
                </c:pt>
                <c:pt idx="20">
                  <c:v>0.679512</c:v>
                </c:pt>
                <c:pt idx="21">
                  <c:v>0.682043666666667</c:v>
                </c:pt>
                <c:pt idx="22">
                  <c:v>0.682292</c:v>
                </c:pt>
                <c:pt idx="23">
                  <c:v>0.682411666666667</c:v>
                </c:pt>
                <c:pt idx="24">
                  <c:v>0.683211666666667</c:v>
                </c:pt>
                <c:pt idx="25">
                  <c:v>0.683488666666667</c:v>
                </c:pt>
                <c:pt idx="26">
                  <c:v>0.684096</c:v>
                </c:pt>
                <c:pt idx="27">
                  <c:v>0.684112333333333</c:v>
                </c:pt>
                <c:pt idx="28">
                  <c:v>0.685708666666667</c:v>
                </c:pt>
                <c:pt idx="29">
                  <c:v>0.686368</c:v>
                </c:pt>
                <c:pt idx="30">
                  <c:v>0.68771</c:v>
                </c:pt>
                <c:pt idx="31">
                  <c:v>0.689612</c:v>
                </c:pt>
                <c:pt idx="32">
                  <c:v>0.6904</c:v>
                </c:pt>
                <c:pt idx="33">
                  <c:v>0.690624</c:v>
                </c:pt>
                <c:pt idx="34">
                  <c:v>0.690973333333333</c:v>
                </c:pt>
                <c:pt idx="35">
                  <c:v>0.691266666666667</c:v>
                </c:pt>
                <c:pt idx="36">
                  <c:v>0.691789333333333</c:v>
                </c:pt>
                <c:pt idx="37">
                  <c:v>0.692277333333333</c:v>
                </c:pt>
                <c:pt idx="38">
                  <c:v>0.693312</c:v>
                </c:pt>
                <c:pt idx="39">
                  <c:v>0.693796</c:v>
                </c:pt>
                <c:pt idx="40">
                  <c:v>0.694099333333333</c:v>
                </c:pt>
                <c:pt idx="41">
                  <c:v>0.694799333333333</c:v>
                </c:pt>
                <c:pt idx="42">
                  <c:v>0.695319</c:v>
                </c:pt>
                <c:pt idx="43">
                  <c:v>0.695923333333333</c:v>
                </c:pt>
                <c:pt idx="44">
                  <c:v>0.697055</c:v>
                </c:pt>
                <c:pt idx="45">
                  <c:v>0.698186666666667</c:v>
                </c:pt>
                <c:pt idx="46">
                  <c:v>0.699466666666667</c:v>
                </c:pt>
                <c:pt idx="47">
                  <c:v>0.699896666666667</c:v>
                </c:pt>
                <c:pt idx="48">
                  <c:v>0.700022</c:v>
                </c:pt>
                <c:pt idx="49">
                  <c:v>0.700231666666667</c:v>
                </c:pt>
                <c:pt idx="50">
                  <c:v>0.70052</c:v>
                </c:pt>
                <c:pt idx="51">
                  <c:v>0.701098333333333</c:v>
                </c:pt>
                <c:pt idx="52">
                  <c:v>0.701664</c:v>
                </c:pt>
                <c:pt idx="53">
                  <c:v>0.702193333333333</c:v>
                </c:pt>
                <c:pt idx="54">
                  <c:v>0.702563333333333</c:v>
                </c:pt>
                <c:pt idx="55">
                  <c:v>0.703306333333333</c:v>
                </c:pt>
                <c:pt idx="56">
                  <c:v>0.703831333333333</c:v>
                </c:pt>
                <c:pt idx="57">
                  <c:v>0.703904</c:v>
                </c:pt>
                <c:pt idx="58">
                  <c:v>0.70394</c:v>
                </c:pt>
                <c:pt idx="59">
                  <c:v>0.703978666666667</c:v>
                </c:pt>
                <c:pt idx="60">
                  <c:v>0.704058333333333</c:v>
                </c:pt>
                <c:pt idx="61">
                  <c:v>0.706151333333333</c:v>
                </c:pt>
                <c:pt idx="62">
                  <c:v>0.706465</c:v>
                </c:pt>
                <c:pt idx="63">
                  <c:v>0.708746666666667</c:v>
                </c:pt>
                <c:pt idx="64">
                  <c:v>0.710986666666667</c:v>
                </c:pt>
                <c:pt idx="65">
                  <c:v>0.711466666666667</c:v>
                </c:pt>
                <c:pt idx="66">
                  <c:v>0.712090333333333</c:v>
                </c:pt>
                <c:pt idx="67">
                  <c:v>0.713679333333333</c:v>
                </c:pt>
                <c:pt idx="68">
                  <c:v>0.713955333333333</c:v>
                </c:pt>
                <c:pt idx="69">
                  <c:v>0.715358666666667</c:v>
                </c:pt>
                <c:pt idx="70">
                  <c:v>0.715857333333333</c:v>
                </c:pt>
                <c:pt idx="71">
                  <c:v>0.715918666666667</c:v>
                </c:pt>
                <c:pt idx="72">
                  <c:v>0.715988666666667</c:v>
                </c:pt>
                <c:pt idx="73">
                  <c:v>0.716332666666667</c:v>
                </c:pt>
                <c:pt idx="74">
                  <c:v>0.716663333333333</c:v>
                </c:pt>
                <c:pt idx="75">
                  <c:v>0.716713</c:v>
                </c:pt>
                <c:pt idx="76">
                  <c:v>0.716839333333333</c:v>
                </c:pt>
                <c:pt idx="77">
                  <c:v>0.718463333333333</c:v>
                </c:pt>
                <c:pt idx="78">
                  <c:v>0.718707666666667</c:v>
                </c:pt>
                <c:pt idx="79">
                  <c:v>0.718975</c:v>
                </c:pt>
                <c:pt idx="80">
                  <c:v>0.7191</c:v>
                </c:pt>
                <c:pt idx="81">
                  <c:v>0.719423333333333</c:v>
                </c:pt>
                <c:pt idx="82">
                  <c:v>0.719735</c:v>
                </c:pt>
                <c:pt idx="83">
                  <c:v>0.719866666666667</c:v>
                </c:pt>
                <c:pt idx="84">
                  <c:v>0.720208666666667</c:v>
                </c:pt>
                <c:pt idx="85">
                  <c:v>0.72048</c:v>
                </c:pt>
                <c:pt idx="86">
                  <c:v>0.720723333333333</c:v>
                </c:pt>
                <c:pt idx="87">
                  <c:v>0.720974</c:v>
                </c:pt>
                <c:pt idx="88">
                  <c:v>0.721682333333333</c:v>
                </c:pt>
                <c:pt idx="89">
                  <c:v>0.722731333333333</c:v>
                </c:pt>
                <c:pt idx="90">
                  <c:v>0.722783333333333</c:v>
                </c:pt>
                <c:pt idx="91">
                  <c:v>0.722999333333333</c:v>
                </c:pt>
                <c:pt idx="92">
                  <c:v>0.723309</c:v>
                </c:pt>
                <c:pt idx="93">
                  <c:v>0.723702666666667</c:v>
                </c:pt>
                <c:pt idx="94">
                  <c:v>0.724033333333333</c:v>
                </c:pt>
                <c:pt idx="95">
                  <c:v>0.724093333333333</c:v>
                </c:pt>
                <c:pt idx="96">
                  <c:v>0.724322666666667</c:v>
                </c:pt>
                <c:pt idx="97">
                  <c:v>0.724406666666667</c:v>
                </c:pt>
                <c:pt idx="98">
                  <c:v>0.724427333333333</c:v>
                </c:pt>
                <c:pt idx="99">
                  <c:v>0.724479666666667</c:v>
                </c:pt>
                <c:pt idx="100">
                  <c:v>0.72466</c:v>
                </c:pt>
                <c:pt idx="101">
                  <c:v>0.725480666666667</c:v>
                </c:pt>
                <c:pt idx="102">
                  <c:v>0.725833333333333</c:v>
                </c:pt>
                <c:pt idx="103">
                  <c:v>0.725874</c:v>
                </c:pt>
                <c:pt idx="104">
                  <c:v>0.726246666666667</c:v>
                </c:pt>
                <c:pt idx="105">
                  <c:v>0.726293333333333</c:v>
                </c:pt>
                <c:pt idx="106">
                  <c:v>0.72644</c:v>
                </c:pt>
                <c:pt idx="107">
                  <c:v>0.7265</c:v>
                </c:pt>
                <c:pt idx="108">
                  <c:v>0.726933333333333</c:v>
                </c:pt>
                <c:pt idx="109">
                  <c:v>0.727316333333333</c:v>
                </c:pt>
                <c:pt idx="110">
                  <c:v>0.727379333333333</c:v>
                </c:pt>
                <c:pt idx="111">
                  <c:v>0.728418666666667</c:v>
                </c:pt>
                <c:pt idx="112">
                  <c:v>0.729069666666667</c:v>
                </c:pt>
                <c:pt idx="113">
                  <c:v>0.729694</c:v>
                </c:pt>
                <c:pt idx="114">
                  <c:v>0.729953333333333</c:v>
                </c:pt>
                <c:pt idx="115">
                  <c:v>0.730131666666667</c:v>
                </c:pt>
                <c:pt idx="116">
                  <c:v>0.730304</c:v>
                </c:pt>
                <c:pt idx="117">
                  <c:v>0.730961</c:v>
                </c:pt>
                <c:pt idx="118">
                  <c:v>0.73166</c:v>
                </c:pt>
                <c:pt idx="119">
                  <c:v>0.73228</c:v>
                </c:pt>
                <c:pt idx="120">
                  <c:v>0.732433333333333</c:v>
                </c:pt>
                <c:pt idx="121">
                  <c:v>0.73253</c:v>
                </c:pt>
                <c:pt idx="122">
                  <c:v>0.733067333333333</c:v>
                </c:pt>
                <c:pt idx="123">
                  <c:v>0.73334</c:v>
                </c:pt>
                <c:pt idx="124">
                  <c:v>0.73368</c:v>
                </c:pt>
                <c:pt idx="125">
                  <c:v>0.73376</c:v>
                </c:pt>
                <c:pt idx="126">
                  <c:v>0.733987333333333</c:v>
                </c:pt>
                <c:pt idx="127">
                  <c:v>0.734152</c:v>
                </c:pt>
                <c:pt idx="128">
                  <c:v>0.73434</c:v>
                </c:pt>
                <c:pt idx="129">
                  <c:v>0.734582666666667</c:v>
                </c:pt>
                <c:pt idx="130">
                  <c:v>0.734876</c:v>
                </c:pt>
                <c:pt idx="131">
                  <c:v>0.735253</c:v>
                </c:pt>
                <c:pt idx="132">
                  <c:v>0.735526</c:v>
                </c:pt>
                <c:pt idx="133">
                  <c:v>0.735574666666667</c:v>
                </c:pt>
                <c:pt idx="134">
                  <c:v>0.736146666666667</c:v>
                </c:pt>
                <c:pt idx="135">
                  <c:v>0.736738333333333</c:v>
                </c:pt>
                <c:pt idx="136">
                  <c:v>0.737026666666667</c:v>
                </c:pt>
                <c:pt idx="137">
                  <c:v>0.737766666666667</c:v>
                </c:pt>
                <c:pt idx="138">
                  <c:v>0.737820333333333</c:v>
                </c:pt>
                <c:pt idx="139">
                  <c:v>0.738053333333333</c:v>
                </c:pt>
                <c:pt idx="140">
                  <c:v>0.738350666666667</c:v>
                </c:pt>
                <c:pt idx="141">
                  <c:v>0.738351333333333</c:v>
                </c:pt>
                <c:pt idx="142">
                  <c:v>0.738366666666667</c:v>
                </c:pt>
                <c:pt idx="143">
                  <c:v>0.738613333333333</c:v>
                </c:pt>
                <c:pt idx="144">
                  <c:v>0.739472333333333</c:v>
                </c:pt>
                <c:pt idx="145">
                  <c:v>0.739570666666667</c:v>
                </c:pt>
                <c:pt idx="146">
                  <c:v>0.739673333333333</c:v>
                </c:pt>
                <c:pt idx="147">
                  <c:v>0.739964</c:v>
                </c:pt>
                <c:pt idx="148">
                  <c:v>0.740920666666667</c:v>
                </c:pt>
                <c:pt idx="149">
                  <c:v>0.741333333333333</c:v>
                </c:pt>
                <c:pt idx="150">
                  <c:v>0.741442666666667</c:v>
                </c:pt>
                <c:pt idx="151">
                  <c:v>0.741558</c:v>
                </c:pt>
                <c:pt idx="152">
                  <c:v>0.742018666666667</c:v>
                </c:pt>
                <c:pt idx="153">
                  <c:v>0.742253333333333</c:v>
                </c:pt>
                <c:pt idx="154">
                  <c:v>0.742853</c:v>
                </c:pt>
                <c:pt idx="155">
                  <c:v>0.74302</c:v>
                </c:pt>
                <c:pt idx="156">
                  <c:v>0.743316666666667</c:v>
                </c:pt>
                <c:pt idx="157">
                  <c:v>0.743558666666667</c:v>
                </c:pt>
                <c:pt idx="158">
                  <c:v>0.743766666666667</c:v>
                </c:pt>
                <c:pt idx="159">
                  <c:v>0.743807333333333</c:v>
                </c:pt>
                <c:pt idx="160">
                  <c:v>0.744473333333333</c:v>
                </c:pt>
                <c:pt idx="161">
                  <c:v>0.74458</c:v>
                </c:pt>
                <c:pt idx="162">
                  <c:v>0.744607666666667</c:v>
                </c:pt>
                <c:pt idx="163">
                  <c:v>0.744813333333333</c:v>
                </c:pt>
                <c:pt idx="164">
                  <c:v>0.745114666666667</c:v>
                </c:pt>
                <c:pt idx="165">
                  <c:v>0.745214666666667</c:v>
                </c:pt>
                <c:pt idx="166">
                  <c:v>0.745624</c:v>
                </c:pt>
                <c:pt idx="167">
                  <c:v>0.745905333333333</c:v>
                </c:pt>
                <c:pt idx="168">
                  <c:v>0.745981333333333</c:v>
                </c:pt>
                <c:pt idx="169">
                  <c:v>0.746225</c:v>
                </c:pt>
                <c:pt idx="170">
                  <c:v>0.746378666666667</c:v>
                </c:pt>
                <c:pt idx="171">
                  <c:v>0.747146666666667</c:v>
                </c:pt>
                <c:pt idx="172">
                  <c:v>0.747202666666667</c:v>
                </c:pt>
                <c:pt idx="173">
                  <c:v>0.747662666666667</c:v>
                </c:pt>
                <c:pt idx="174">
                  <c:v>0.747703666666667</c:v>
                </c:pt>
                <c:pt idx="175">
                  <c:v>0.747742666666667</c:v>
                </c:pt>
                <c:pt idx="176">
                  <c:v>0.747752</c:v>
                </c:pt>
                <c:pt idx="177">
                  <c:v>0.748026666666667</c:v>
                </c:pt>
                <c:pt idx="178">
                  <c:v>0.748030666666667</c:v>
                </c:pt>
                <c:pt idx="179">
                  <c:v>0.748623333333333</c:v>
                </c:pt>
                <c:pt idx="180">
                  <c:v>0.74865</c:v>
                </c:pt>
                <c:pt idx="181">
                  <c:v>0.748926333333333</c:v>
                </c:pt>
                <c:pt idx="182">
                  <c:v>0.748966666666667</c:v>
                </c:pt>
                <c:pt idx="183">
                  <c:v>0.74949</c:v>
                </c:pt>
                <c:pt idx="184">
                  <c:v>0.749888</c:v>
                </c:pt>
                <c:pt idx="185">
                  <c:v>0.750051666666667</c:v>
                </c:pt>
                <c:pt idx="186">
                  <c:v>0.750345666666667</c:v>
                </c:pt>
                <c:pt idx="187">
                  <c:v>0.750562666666667</c:v>
                </c:pt>
                <c:pt idx="188">
                  <c:v>0.75064</c:v>
                </c:pt>
                <c:pt idx="189">
                  <c:v>0.751152</c:v>
                </c:pt>
                <c:pt idx="190">
                  <c:v>0.751190666666667</c:v>
                </c:pt>
                <c:pt idx="191">
                  <c:v>0.751208666666667</c:v>
                </c:pt>
                <c:pt idx="192">
                  <c:v>0.751648</c:v>
                </c:pt>
                <c:pt idx="193">
                  <c:v>0.751882666666667</c:v>
                </c:pt>
                <c:pt idx="194">
                  <c:v>0.752824</c:v>
                </c:pt>
                <c:pt idx="195">
                  <c:v>0.752925</c:v>
                </c:pt>
                <c:pt idx="196">
                  <c:v>0.752938</c:v>
                </c:pt>
                <c:pt idx="197">
                  <c:v>0.752964666666667</c:v>
                </c:pt>
                <c:pt idx="198">
                  <c:v>0.753112666666667</c:v>
                </c:pt>
                <c:pt idx="199">
                  <c:v>0.753152</c:v>
                </c:pt>
                <c:pt idx="200">
                  <c:v>0.753525333333333</c:v>
                </c:pt>
                <c:pt idx="201">
                  <c:v>0.753682666666667</c:v>
                </c:pt>
                <c:pt idx="202">
                  <c:v>0.753826666666667</c:v>
                </c:pt>
                <c:pt idx="203">
                  <c:v>0.753946666666667</c:v>
                </c:pt>
                <c:pt idx="204">
                  <c:v>0.753955</c:v>
                </c:pt>
                <c:pt idx="205">
                  <c:v>0.754380333333333</c:v>
                </c:pt>
                <c:pt idx="206">
                  <c:v>0.754453333333333</c:v>
                </c:pt>
                <c:pt idx="207">
                  <c:v>0.755032</c:v>
                </c:pt>
                <c:pt idx="208">
                  <c:v>0.755296666666667</c:v>
                </c:pt>
                <c:pt idx="209">
                  <c:v>0.75548</c:v>
                </c:pt>
                <c:pt idx="210">
                  <c:v>0.755746666666667</c:v>
                </c:pt>
                <c:pt idx="211">
                  <c:v>0.755814333333333</c:v>
                </c:pt>
                <c:pt idx="212">
                  <c:v>0.755835</c:v>
                </c:pt>
                <c:pt idx="213">
                  <c:v>0.755843333333333</c:v>
                </c:pt>
                <c:pt idx="214">
                  <c:v>0.755861333333333</c:v>
                </c:pt>
                <c:pt idx="215">
                  <c:v>0.756262</c:v>
                </c:pt>
                <c:pt idx="216">
                  <c:v>0.756356666666667</c:v>
                </c:pt>
                <c:pt idx="217">
                  <c:v>0.756450666666667</c:v>
                </c:pt>
                <c:pt idx="218">
                  <c:v>0.756475</c:v>
                </c:pt>
                <c:pt idx="219">
                  <c:v>0.756773333333333</c:v>
                </c:pt>
                <c:pt idx="220">
                  <c:v>0.756957333333333</c:v>
                </c:pt>
                <c:pt idx="221">
                  <c:v>0.757189333333333</c:v>
                </c:pt>
                <c:pt idx="222">
                  <c:v>0.7572</c:v>
                </c:pt>
                <c:pt idx="223">
                  <c:v>0.757292666666667</c:v>
                </c:pt>
                <c:pt idx="224">
                  <c:v>0.757382666666667</c:v>
                </c:pt>
                <c:pt idx="225">
                  <c:v>0.757454333333333</c:v>
                </c:pt>
                <c:pt idx="226">
                  <c:v>0.757661333333333</c:v>
                </c:pt>
                <c:pt idx="227">
                  <c:v>0.757685</c:v>
                </c:pt>
                <c:pt idx="228">
                  <c:v>0.757856</c:v>
                </c:pt>
                <c:pt idx="229">
                  <c:v>0.75852</c:v>
                </c:pt>
                <c:pt idx="230">
                  <c:v>0.75861</c:v>
                </c:pt>
                <c:pt idx="231">
                  <c:v>0.758633333333333</c:v>
                </c:pt>
                <c:pt idx="232">
                  <c:v>0.758721333333333</c:v>
                </c:pt>
                <c:pt idx="233">
                  <c:v>0.758894</c:v>
                </c:pt>
                <c:pt idx="234">
                  <c:v>0.759801333333333</c:v>
                </c:pt>
                <c:pt idx="235">
                  <c:v>0.760160666666667</c:v>
                </c:pt>
                <c:pt idx="236">
                  <c:v>0.760207666666667</c:v>
                </c:pt>
                <c:pt idx="237">
                  <c:v>0.760597666666667</c:v>
                </c:pt>
                <c:pt idx="238">
                  <c:v>0.760628333333333</c:v>
                </c:pt>
                <c:pt idx="239">
                  <c:v>0.760683666666667</c:v>
                </c:pt>
                <c:pt idx="240">
                  <c:v>0.760746</c:v>
                </c:pt>
                <c:pt idx="241">
                  <c:v>0.760880666666667</c:v>
                </c:pt>
                <c:pt idx="242">
                  <c:v>0.760938666666667</c:v>
                </c:pt>
                <c:pt idx="243">
                  <c:v>0.761286666666667</c:v>
                </c:pt>
                <c:pt idx="244">
                  <c:v>0.761334666666667</c:v>
                </c:pt>
                <c:pt idx="245">
                  <c:v>0.761416</c:v>
                </c:pt>
                <c:pt idx="246">
                  <c:v>0.761536666666667</c:v>
                </c:pt>
                <c:pt idx="247">
                  <c:v>0.761703333333333</c:v>
                </c:pt>
                <c:pt idx="248">
                  <c:v>0.761890666666667</c:v>
                </c:pt>
                <c:pt idx="249">
                  <c:v>0.762020666666667</c:v>
                </c:pt>
                <c:pt idx="250">
                  <c:v>0.762210666666667</c:v>
                </c:pt>
                <c:pt idx="251">
                  <c:v>0.762221333333333</c:v>
                </c:pt>
                <c:pt idx="252">
                  <c:v>0.762374666666667</c:v>
                </c:pt>
                <c:pt idx="253">
                  <c:v>0.762492</c:v>
                </c:pt>
                <c:pt idx="254">
                  <c:v>0.762513333333333</c:v>
                </c:pt>
                <c:pt idx="255">
                  <c:v>0.762778666666667</c:v>
                </c:pt>
                <c:pt idx="256">
                  <c:v>0.762925333333333</c:v>
                </c:pt>
                <c:pt idx="257">
                  <c:v>0.762957</c:v>
                </c:pt>
                <c:pt idx="258">
                  <c:v>0.763084</c:v>
                </c:pt>
                <c:pt idx="259">
                  <c:v>0.763394</c:v>
                </c:pt>
                <c:pt idx="260">
                  <c:v>0.763518666666667</c:v>
                </c:pt>
                <c:pt idx="261">
                  <c:v>0.763576</c:v>
                </c:pt>
                <c:pt idx="262">
                  <c:v>0.763587333333333</c:v>
                </c:pt>
                <c:pt idx="263">
                  <c:v>0.76378</c:v>
                </c:pt>
                <c:pt idx="264">
                  <c:v>0.764412</c:v>
                </c:pt>
                <c:pt idx="265">
                  <c:v>0.764553333333333</c:v>
                </c:pt>
                <c:pt idx="266">
                  <c:v>0.764672666666667</c:v>
                </c:pt>
                <c:pt idx="267">
                  <c:v>0.764751</c:v>
                </c:pt>
                <c:pt idx="268">
                  <c:v>0.764865333333333</c:v>
                </c:pt>
                <c:pt idx="269">
                  <c:v>0.76519</c:v>
                </c:pt>
                <c:pt idx="270">
                  <c:v>0.765526666666667</c:v>
                </c:pt>
                <c:pt idx="271">
                  <c:v>0.765636</c:v>
                </c:pt>
                <c:pt idx="272">
                  <c:v>0.765651</c:v>
                </c:pt>
                <c:pt idx="273">
                  <c:v>0.76592</c:v>
                </c:pt>
                <c:pt idx="274">
                  <c:v>0.765992</c:v>
                </c:pt>
                <c:pt idx="275">
                  <c:v>0.766126666666667</c:v>
                </c:pt>
                <c:pt idx="276">
                  <c:v>0.766193666666667</c:v>
                </c:pt>
                <c:pt idx="277">
                  <c:v>0.766235333333333</c:v>
                </c:pt>
                <c:pt idx="278">
                  <c:v>0.766306333333333</c:v>
                </c:pt>
                <c:pt idx="279">
                  <c:v>0.766434666666667</c:v>
                </c:pt>
                <c:pt idx="280">
                  <c:v>0.766435</c:v>
                </c:pt>
                <c:pt idx="281">
                  <c:v>0.766656</c:v>
                </c:pt>
                <c:pt idx="282">
                  <c:v>0.766868</c:v>
                </c:pt>
                <c:pt idx="283">
                  <c:v>0.766887666666667</c:v>
                </c:pt>
                <c:pt idx="284">
                  <c:v>0.766893333333333</c:v>
                </c:pt>
                <c:pt idx="285">
                  <c:v>0.767158</c:v>
                </c:pt>
                <c:pt idx="286">
                  <c:v>0.767181666666667</c:v>
                </c:pt>
                <c:pt idx="287">
                  <c:v>0.767314</c:v>
                </c:pt>
                <c:pt idx="288">
                  <c:v>0.76735</c:v>
                </c:pt>
                <c:pt idx="289">
                  <c:v>0.767377333333333</c:v>
                </c:pt>
                <c:pt idx="290">
                  <c:v>0.767477333333333</c:v>
                </c:pt>
                <c:pt idx="291">
                  <c:v>0.767643333333333</c:v>
                </c:pt>
                <c:pt idx="292">
                  <c:v>0.767818666666667</c:v>
                </c:pt>
                <c:pt idx="293">
                  <c:v>0.76795</c:v>
                </c:pt>
                <c:pt idx="294">
                  <c:v>0.768153333333333</c:v>
                </c:pt>
                <c:pt idx="295">
                  <c:v>0.768338333333333</c:v>
                </c:pt>
                <c:pt idx="296">
                  <c:v>0.768352</c:v>
                </c:pt>
                <c:pt idx="297">
                  <c:v>0.768530666666667</c:v>
                </c:pt>
                <c:pt idx="298">
                  <c:v>0.768742666666667</c:v>
                </c:pt>
                <c:pt idx="299">
                  <c:v>0.768983333333333</c:v>
                </c:pt>
                <c:pt idx="300">
                  <c:v>0.76904</c:v>
                </c:pt>
                <c:pt idx="301">
                  <c:v>0.769126333333333</c:v>
                </c:pt>
                <c:pt idx="302">
                  <c:v>0.769324333333333</c:v>
                </c:pt>
                <c:pt idx="303">
                  <c:v>0.769407333333333</c:v>
                </c:pt>
                <c:pt idx="304">
                  <c:v>0.769688</c:v>
                </c:pt>
                <c:pt idx="305">
                  <c:v>0.769817</c:v>
                </c:pt>
                <c:pt idx="306">
                  <c:v>0.769865333333333</c:v>
                </c:pt>
                <c:pt idx="307">
                  <c:v>0.770441333333333</c:v>
                </c:pt>
                <c:pt idx="308">
                  <c:v>0.770616666666667</c:v>
                </c:pt>
                <c:pt idx="309">
                  <c:v>0.770677333333333</c:v>
                </c:pt>
                <c:pt idx="310">
                  <c:v>0.770742333333333</c:v>
                </c:pt>
                <c:pt idx="311">
                  <c:v>0.770837333333333</c:v>
                </c:pt>
                <c:pt idx="312">
                  <c:v>0.771046666666667</c:v>
                </c:pt>
                <c:pt idx="313">
                  <c:v>0.771083333333333</c:v>
                </c:pt>
                <c:pt idx="314">
                  <c:v>0.771091</c:v>
                </c:pt>
                <c:pt idx="315">
                  <c:v>0.771108</c:v>
                </c:pt>
                <c:pt idx="316">
                  <c:v>0.771536</c:v>
                </c:pt>
                <c:pt idx="317">
                  <c:v>0.771663333333333</c:v>
                </c:pt>
                <c:pt idx="318">
                  <c:v>0.771713333333333</c:v>
                </c:pt>
                <c:pt idx="319">
                  <c:v>0.771779</c:v>
                </c:pt>
                <c:pt idx="320">
                  <c:v>0.7721</c:v>
                </c:pt>
                <c:pt idx="321">
                  <c:v>0.772283</c:v>
                </c:pt>
                <c:pt idx="322">
                  <c:v>0.772341333333333</c:v>
                </c:pt>
                <c:pt idx="323">
                  <c:v>0.772394666666667</c:v>
                </c:pt>
                <c:pt idx="324">
                  <c:v>0.772574</c:v>
                </c:pt>
                <c:pt idx="325">
                  <c:v>0.772596</c:v>
                </c:pt>
                <c:pt idx="326">
                  <c:v>0.772844</c:v>
                </c:pt>
                <c:pt idx="327">
                  <c:v>0.77286</c:v>
                </c:pt>
                <c:pt idx="328">
                  <c:v>0.772883666666667</c:v>
                </c:pt>
                <c:pt idx="329">
                  <c:v>0.772994</c:v>
                </c:pt>
                <c:pt idx="330">
                  <c:v>0.7731</c:v>
                </c:pt>
                <c:pt idx="331">
                  <c:v>0.773118666666667</c:v>
                </c:pt>
                <c:pt idx="332">
                  <c:v>0.773144</c:v>
                </c:pt>
                <c:pt idx="333">
                  <c:v>0.77351</c:v>
                </c:pt>
                <c:pt idx="334">
                  <c:v>0.773551666666667</c:v>
                </c:pt>
                <c:pt idx="335">
                  <c:v>0.773554</c:v>
                </c:pt>
                <c:pt idx="336">
                  <c:v>0.773584</c:v>
                </c:pt>
                <c:pt idx="337">
                  <c:v>0.773678666666667</c:v>
                </c:pt>
                <c:pt idx="338">
                  <c:v>0.77382</c:v>
                </c:pt>
                <c:pt idx="339">
                  <c:v>0.773824</c:v>
                </c:pt>
                <c:pt idx="340">
                  <c:v>0.773844333333333</c:v>
                </c:pt>
                <c:pt idx="341">
                  <c:v>0.773866</c:v>
                </c:pt>
                <c:pt idx="342">
                  <c:v>0.773925333333333</c:v>
                </c:pt>
                <c:pt idx="343">
                  <c:v>0.774031</c:v>
                </c:pt>
                <c:pt idx="344">
                  <c:v>0.774049666666667</c:v>
                </c:pt>
                <c:pt idx="345">
                  <c:v>0.774167333333333</c:v>
                </c:pt>
                <c:pt idx="346">
                  <c:v>0.774218666666667</c:v>
                </c:pt>
                <c:pt idx="347">
                  <c:v>0.774288</c:v>
                </c:pt>
                <c:pt idx="348">
                  <c:v>0.774298333333333</c:v>
                </c:pt>
                <c:pt idx="349">
                  <c:v>0.774455333333333</c:v>
                </c:pt>
                <c:pt idx="350">
                  <c:v>0.774491666666667</c:v>
                </c:pt>
                <c:pt idx="351">
                  <c:v>0.774782666666667</c:v>
                </c:pt>
                <c:pt idx="352">
                  <c:v>0.77485</c:v>
                </c:pt>
                <c:pt idx="353">
                  <c:v>0.775213666666667</c:v>
                </c:pt>
                <c:pt idx="354">
                  <c:v>0.775333333333333</c:v>
                </c:pt>
                <c:pt idx="355">
                  <c:v>0.77548</c:v>
                </c:pt>
                <c:pt idx="356">
                  <c:v>0.775525</c:v>
                </c:pt>
                <c:pt idx="357">
                  <c:v>0.775565333333333</c:v>
                </c:pt>
                <c:pt idx="358">
                  <c:v>0.775566666666667</c:v>
                </c:pt>
                <c:pt idx="359">
                  <c:v>0.77568</c:v>
                </c:pt>
                <c:pt idx="360">
                  <c:v>0.775711333333333</c:v>
                </c:pt>
                <c:pt idx="361">
                  <c:v>0.775823333333333</c:v>
                </c:pt>
                <c:pt idx="362">
                  <c:v>0.7761</c:v>
                </c:pt>
                <c:pt idx="363">
                  <c:v>0.776412</c:v>
                </c:pt>
                <c:pt idx="364">
                  <c:v>0.776424</c:v>
                </c:pt>
                <c:pt idx="365">
                  <c:v>0.776514666666667</c:v>
                </c:pt>
                <c:pt idx="366">
                  <c:v>0.776688</c:v>
                </c:pt>
                <c:pt idx="367">
                  <c:v>0.776828666666667</c:v>
                </c:pt>
                <c:pt idx="368">
                  <c:v>0.777068</c:v>
                </c:pt>
                <c:pt idx="369">
                  <c:v>0.777121333333333</c:v>
                </c:pt>
                <c:pt idx="370">
                  <c:v>0.777380333333333</c:v>
                </c:pt>
                <c:pt idx="371">
                  <c:v>0.7775</c:v>
                </c:pt>
                <c:pt idx="372">
                  <c:v>0.777613</c:v>
                </c:pt>
                <c:pt idx="373">
                  <c:v>0.777833333333333</c:v>
                </c:pt>
                <c:pt idx="374">
                  <c:v>0.777849</c:v>
                </c:pt>
                <c:pt idx="375">
                  <c:v>0.777985333333333</c:v>
                </c:pt>
                <c:pt idx="376">
                  <c:v>0.778091666666667</c:v>
                </c:pt>
                <c:pt idx="377">
                  <c:v>0.778468</c:v>
                </c:pt>
                <c:pt idx="378">
                  <c:v>0.778480666666667</c:v>
                </c:pt>
                <c:pt idx="379">
                  <c:v>0.7785</c:v>
                </c:pt>
                <c:pt idx="380">
                  <c:v>0.778608333333333</c:v>
                </c:pt>
                <c:pt idx="381">
                  <c:v>0.77874</c:v>
                </c:pt>
                <c:pt idx="382">
                  <c:v>0.778861666666667</c:v>
                </c:pt>
                <c:pt idx="383">
                  <c:v>0.778932333333333</c:v>
                </c:pt>
                <c:pt idx="384">
                  <c:v>0.779255333333333</c:v>
                </c:pt>
                <c:pt idx="385">
                  <c:v>0.779341333333333</c:v>
                </c:pt>
                <c:pt idx="386">
                  <c:v>0.779390333333333</c:v>
                </c:pt>
                <c:pt idx="387">
                  <c:v>0.779418333333333</c:v>
                </c:pt>
                <c:pt idx="388">
                  <c:v>0.779500666666667</c:v>
                </c:pt>
                <c:pt idx="389">
                  <c:v>0.779509</c:v>
                </c:pt>
                <c:pt idx="390">
                  <c:v>0.779603333333333</c:v>
                </c:pt>
                <c:pt idx="391">
                  <c:v>0.780048333333333</c:v>
                </c:pt>
                <c:pt idx="392">
                  <c:v>0.780081333333333</c:v>
                </c:pt>
                <c:pt idx="393">
                  <c:v>0.780496</c:v>
                </c:pt>
                <c:pt idx="394">
                  <c:v>0.78055</c:v>
                </c:pt>
                <c:pt idx="395">
                  <c:v>0.780781666666667</c:v>
                </c:pt>
                <c:pt idx="396">
                  <c:v>0.780814666666667</c:v>
                </c:pt>
                <c:pt idx="397">
                  <c:v>0.780937666666667</c:v>
                </c:pt>
                <c:pt idx="398">
                  <c:v>0.781012666666667</c:v>
                </c:pt>
                <c:pt idx="399">
                  <c:v>0.781027</c:v>
                </c:pt>
                <c:pt idx="400">
                  <c:v>0.781132666666667</c:v>
                </c:pt>
                <c:pt idx="401">
                  <c:v>0.78145</c:v>
                </c:pt>
                <c:pt idx="402">
                  <c:v>0.781601666666667</c:v>
                </c:pt>
                <c:pt idx="403">
                  <c:v>0.781634</c:v>
                </c:pt>
                <c:pt idx="404">
                  <c:v>0.781703333333333</c:v>
                </c:pt>
                <c:pt idx="405">
                  <c:v>0.7818</c:v>
                </c:pt>
                <c:pt idx="406">
                  <c:v>0.78195</c:v>
                </c:pt>
                <c:pt idx="407">
                  <c:v>0.782036</c:v>
                </c:pt>
                <c:pt idx="408">
                  <c:v>0.782225</c:v>
                </c:pt>
                <c:pt idx="409">
                  <c:v>0.782427</c:v>
                </c:pt>
                <c:pt idx="410">
                  <c:v>0.782436</c:v>
                </c:pt>
                <c:pt idx="411">
                  <c:v>0.78247</c:v>
                </c:pt>
                <c:pt idx="412">
                  <c:v>0.782556</c:v>
                </c:pt>
                <c:pt idx="413">
                  <c:v>0.782656</c:v>
                </c:pt>
                <c:pt idx="414">
                  <c:v>0.782704666666667</c:v>
                </c:pt>
                <c:pt idx="415">
                  <c:v>0.782715</c:v>
                </c:pt>
                <c:pt idx="416">
                  <c:v>0.782745666666667</c:v>
                </c:pt>
                <c:pt idx="417">
                  <c:v>0.782765333333333</c:v>
                </c:pt>
                <c:pt idx="418">
                  <c:v>0.782782333333333</c:v>
                </c:pt>
                <c:pt idx="419">
                  <c:v>0.782893333333333</c:v>
                </c:pt>
                <c:pt idx="420">
                  <c:v>0.783214666666667</c:v>
                </c:pt>
                <c:pt idx="421">
                  <c:v>0.783258666666667</c:v>
                </c:pt>
                <c:pt idx="422">
                  <c:v>0.783313333333334</c:v>
                </c:pt>
                <c:pt idx="423">
                  <c:v>0.783362333333333</c:v>
                </c:pt>
                <c:pt idx="424">
                  <c:v>0.783571333333333</c:v>
                </c:pt>
                <c:pt idx="425">
                  <c:v>0.78368</c:v>
                </c:pt>
                <c:pt idx="426">
                  <c:v>0.783768</c:v>
                </c:pt>
                <c:pt idx="427">
                  <c:v>0.784274666666667</c:v>
                </c:pt>
                <c:pt idx="428">
                  <c:v>0.784434666666667</c:v>
                </c:pt>
                <c:pt idx="429">
                  <c:v>0.784583333333333</c:v>
                </c:pt>
                <c:pt idx="430">
                  <c:v>0.784703333333333</c:v>
                </c:pt>
                <c:pt idx="431">
                  <c:v>0.784890666666667</c:v>
                </c:pt>
                <c:pt idx="432">
                  <c:v>0.784928666666667</c:v>
                </c:pt>
                <c:pt idx="433">
                  <c:v>0.785029333333333</c:v>
                </c:pt>
                <c:pt idx="434">
                  <c:v>0.785065</c:v>
                </c:pt>
                <c:pt idx="435">
                  <c:v>0.785689333333333</c:v>
                </c:pt>
                <c:pt idx="436">
                  <c:v>0.78635</c:v>
                </c:pt>
                <c:pt idx="437">
                  <c:v>0.786455333333333</c:v>
                </c:pt>
                <c:pt idx="438">
                  <c:v>0.786482666666667</c:v>
                </c:pt>
                <c:pt idx="439">
                  <c:v>0.786550666666667</c:v>
                </c:pt>
                <c:pt idx="440">
                  <c:v>0.786646666666667</c:v>
                </c:pt>
                <c:pt idx="441">
                  <c:v>0.786732333333333</c:v>
                </c:pt>
                <c:pt idx="442">
                  <c:v>0.786901333333333</c:v>
                </c:pt>
                <c:pt idx="443">
                  <c:v>0.786944</c:v>
                </c:pt>
                <c:pt idx="444">
                  <c:v>0.787233333333333</c:v>
                </c:pt>
                <c:pt idx="445">
                  <c:v>0.787360666666667</c:v>
                </c:pt>
                <c:pt idx="446">
                  <c:v>0.787808</c:v>
                </c:pt>
                <c:pt idx="447">
                  <c:v>0.787999333333333</c:v>
                </c:pt>
                <c:pt idx="448">
                  <c:v>0.788145333333333</c:v>
                </c:pt>
                <c:pt idx="449">
                  <c:v>0.788854666666667</c:v>
                </c:pt>
                <c:pt idx="450">
                  <c:v>0.78896</c:v>
                </c:pt>
                <c:pt idx="451">
                  <c:v>0.789077333333333</c:v>
                </c:pt>
                <c:pt idx="452">
                  <c:v>0.78913</c:v>
                </c:pt>
                <c:pt idx="453">
                  <c:v>0.78925</c:v>
                </c:pt>
                <c:pt idx="454">
                  <c:v>0.789394666666667</c:v>
                </c:pt>
                <c:pt idx="455">
                  <c:v>0.789526666666667</c:v>
                </c:pt>
                <c:pt idx="456">
                  <c:v>0.789833333333333</c:v>
                </c:pt>
                <c:pt idx="457">
                  <c:v>0.790116666666667</c:v>
                </c:pt>
                <c:pt idx="458">
                  <c:v>0.790257333333333</c:v>
                </c:pt>
                <c:pt idx="459">
                  <c:v>0.790293333333333</c:v>
                </c:pt>
                <c:pt idx="460">
                  <c:v>0.790634333333333</c:v>
                </c:pt>
                <c:pt idx="461">
                  <c:v>0.790638</c:v>
                </c:pt>
                <c:pt idx="462">
                  <c:v>0.790690666666667</c:v>
                </c:pt>
                <c:pt idx="463">
                  <c:v>0.790732</c:v>
                </c:pt>
                <c:pt idx="464">
                  <c:v>0.790784</c:v>
                </c:pt>
                <c:pt idx="465">
                  <c:v>0.791043333333333</c:v>
                </c:pt>
                <c:pt idx="466">
                  <c:v>0.791111333333333</c:v>
                </c:pt>
                <c:pt idx="467">
                  <c:v>0.7913</c:v>
                </c:pt>
                <c:pt idx="468">
                  <c:v>0.791310333333333</c:v>
                </c:pt>
                <c:pt idx="469">
                  <c:v>0.792378666666667</c:v>
                </c:pt>
                <c:pt idx="470">
                  <c:v>0.792733333333334</c:v>
                </c:pt>
                <c:pt idx="471">
                  <c:v>0.792942</c:v>
                </c:pt>
                <c:pt idx="472">
                  <c:v>0.792955333333333</c:v>
                </c:pt>
                <c:pt idx="473">
                  <c:v>0.793097333333333</c:v>
                </c:pt>
                <c:pt idx="474">
                  <c:v>0.793227333333333</c:v>
                </c:pt>
                <c:pt idx="475">
                  <c:v>0.793282666666667</c:v>
                </c:pt>
                <c:pt idx="476">
                  <c:v>0.793468</c:v>
                </c:pt>
                <c:pt idx="477">
                  <c:v>0.793546666666667</c:v>
                </c:pt>
                <c:pt idx="478">
                  <c:v>0.793684</c:v>
                </c:pt>
                <c:pt idx="479">
                  <c:v>0.793739333333333</c:v>
                </c:pt>
                <c:pt idx="480">
                  <c:v>0.794073666666667</c:v>
                </c:pt>
                <c:pt idx="481">
                  <c:v>0.794093666666667</c:v>
                </c:pt>
                <c:pt idx="482">
                  <c:v>0.794499333333333</c:v>
                </c:pt>
                <c:pt idx="483">
                  <c:v>0.794766666666667</c:v>
                </c:pt>
                <c:pt idx="484">
                  <c:v>0.794870666666667</c:v>
                </c:pt>
                <c:pt idx="485">
                  <c:v>0.795508333333333</c:v>
                </c:pt>
                <c:pt idx="486">
                  <c:v>0.795666666666667</c:v>
                </c:pt>
                <c:pt idx="487">
                  <c:v>0.79569</c:v>
                </c:pt>
                <c:pt idx="488">
                  <c:v>0.795716666666667</c:v>
                </c:pt>
                <c:pt idx="489">
                  <c:v>0.796005333333333</c:v>
                </c:pt>
                <c:pt idx="490">
                  <c:v>0.796143666666667</c:v>
                </c:pt>
                <c:pt idx="491">
                  <c:v>0.796288333333333</c:v>
                </c:pt>
                <c:pt idx="492">
                  <c:v>0.796510666666667</c:v>
                </c:pt>
                <c:pt idx="493">
                  <c:v>0.796806</c:v>
                </c:pt>
                <c:pt idx="494">
                  <c:v>0.796876666666667</c:v>
                </c:pt>
                <c:pt idx="495">
                  <c:v>0.797181333333333</c:v>
                </c:pt>
                <c:pt idx="496">
                  <c:v>0.79745</c:v>
                </c:pt>
                <c:pt idx="497">
                  <c:v>0.79748</c:v>
                </c:pt>
                <c:pt idx="498">
                  <c:v>0.797616666666667</c:v>
                </c:pt>
                <c:pt idx="499">
                  <c:v>0.798530333333333</c:v>
                </c:pt>
                <c:pt idx="500">
                  <c:v>0.798673333333333</c:v>
                </c:pt>
                <c:pt idx="501">
                  <c:v>0.798937333333333</c:v>
                </c:pt>
                <c:pt idx="502">
                  <c:v>0.799256</c:v>
                </c:pt>
                <c:pt idx="503">
                  <c:v>0.79928</c:v>
                </c:pt>
                <c:pt idx="504">
                  <c:v>0.799482</c:v>
                </c:pt>
                <c:pt idx="505">
                  <c:v>0.799549333333333</c:v>
                </c:pt>
                <c:pt idx="506">
                  <c:v>0.799645333333333</c:v>
                </c:pt>
                <c:pt idx="507">
                  <c:v>0.799676666666667</c:v>
                </c:pt>
                <c:pt idx="508">
                  <c:v>0.799866666666667</c:v>
                </c:pt>
                <c:pt idx="509">
                  <c:v>0.800057666666667</c:v>
                </c:pt>
                <c:pt idx="510">
                  <c:v>0.800069666666667</c:v>
                </c:pt>
                <c:pt idx="511">
                  <c:v>0.800166666666667</c:v>
                </c:pt>
                <c:pt idx="512">
                  <c:v>0.800352</c:v>
                </c:pt>
                <c:pt idx="513">
                  <c:v>0.800562666666667</c:v>
                </c:pt>
                <c:pt idx="514">
                  <c:v>0.800583333333333</c:v>
                </c:pt>
                <c:pt idx="515">
                  <c:v>0.800605333333333</c:v>
                </c:pt>
                <c:pt idx="516">
                  <c:v>0.800800666666666</c:v>
                </c:pt>
                <c:pt idx="517">
                  <c:v>0.800864</c:v>
                </c:pt>
                <c:pt idx="518">
                  <c:v>0.800906666666667</c:v>
                </c:pt>
                <c:pt idx="519">
                  <c:v>0.800925</c:v>
                </c:pt>
                <c:pt idx="520">
                  <c:v>0.801086666666667</c:v>
                </c:pt>
                <c:pt idx="521">
                  <c:v>0.801333333333333</c:v>
                </c:pt>
                <c:pt idx="522">
                  <c:v>0.8016</c:v>
                </c:pt>
                <c:pt idx="523">
                  <c:v>0.80178</c:v>
                </c:pt>
                <c:pt idx="524">
                  <c:v>0.801930666666667</c:v>
                </c:pt>
                <c:pt idx="525">
                  <c:v>0.802053333333333</c:v>
                </c:pt>
                <c:pt idx="526">
                  <c:v>0.802344666666667</c:v>
                </c:pt>
                <c:pt idx="527">
                  <c:v>0.802874</c:v>
                </c:pt>
                <c:pt idx="528">
                  <c:v>0.803153333333333</c:v>
                </c:pt>
                <c:pt idx="529">
                  <c:v>0.803173333333333</c:v>
                </c:pt>
                <c:pt idx="530">
                  <c:v>0.803263333333333</c:v>
                </c:pt>
                <c:pt idx="531">
                  <c:v>0.803335</c:v>
                </c:pt>
                <c:pt idx="532">
                  <c:v>0.803725333333333</c:v>
                </c:pt>
                <c:pt idx="533">
                  <c:v>0.803844</c:v>
                </c:pt>
                <c:pt idx="534">
                  <c:v>0.804201</c:v>
                </c:pt>
                <c:pt idx="535">
                  <c:v>0.804390666666666</c:v>
                </c:pt>
                <c:pt idx="536">
                  <c:v>0.804459666666667</c:v>
                </c:pt>
                <c:pt idx="537">
                  <c:v>0.804864333333334</c:v>
                </c:pt>
                <c:pt idx="538">
                  <c:v>0.805489666666667</c:v>
                </c:pt>
                <c:pt idx="539">
                  <c:v>0.805583333333333</c:v>
                </c:pt>
                <c:pt idx="540">
                  <c:v>0.806101333333333</c:v>
                </c:pt>
                <c:pt idx="541">
                  <c:v>0.806512</c:v>
                </c:pt>
                <c:pt idx="542">
                  <c:v>0.806722</c:v>
                </c:pt>
                <c:pt idx="543">
                  <c:v>0.806816666666667</c:v>
                </c:pt>
                <c:pt idx="544">
                  <c:v>0.806906666666667</c:v>
                </c:pt>
                <c:pt idx="545">
                  <c:v>0.806949333333333</c:v>
                </c:pt>
                <c:pt idx="546">
                  <c:v>0.807408</c:v>
                </c:pt>
                <c:pt idx="547">
                  <c:v>0.807500666666667</c:v>
                </c:pt>
                <c:pt idx="548">
                  <c:v>0.807514666666667</c:v>
                </c:pt>
                <c:pt idx="549">
                  <c:v>0.807889333333333</c:v>
                </c:pt>
                <c:pt idx="550">
                  <c:v>0.808414</c:v>
                </c:pt>
                <c:pt idx="551">
                  <c:v>0.80865</c:v>
                </c:pt>
                <c:pt idx="552">
                  <c:v>0.808740333333333</c:v>
                </c:pt>
                <c:pt idx="553">
                  <c:v>0.809</c:v>
                </c:pt>
                <c:pt idx="554">
                  <c:v>0.809592</c:v>
                </c:pt>
                <c:pt idx="555">
                  <c:v>0.809633333333333</c:v>
                </c:pt>
                <c:pt idx="556">
                  <c:v>0.809686666666667</c:v>
                </c:pt>
                <c:pt idx="557">
                  <c:v>0.809874666666667</c:v>
                </c:pt>
                <c:pt idx="558">
                  <c:v>0.809956666666667</c:v>
                </c:pt>
                <c:pt idx="559">
                  <c:v>0.810404</c:v>
                </c:pt>
                <c:pt idx="560">
                  <c:v>0.810862</c:v>
                </c:pt>
                <c:pt idx="561">
                  <c:v>0.810954</c:v>
                </c:pt>
                <c:pt idx="562">
                  <c:v>0.810984</c:v>
                </c:pt>
                <c:pt idx="563">
                  <c:v>0.811116666666667</c:v>
                </c:pt>
                <c:pt idx="564">
                  <c:v>0.811126666666667</c:v>
                </c:pt>
                <c:pt idx="565">
                  <c:v>0.811256666666667</c:v>
                </c:pt>
                <c:pt idx="566">
                  <c:v>0.811939333333333</c:v>
                </c:pt>
                <c:pt idx="567">
                  <c:v>0.812264333333333</c:v>
                </c:pt>
                <c:pt idx="568">
                  <c:v>0.813212</c:v>
                </c:pt>
                <c:pt idx="569">
                  <c:v>0.813531</c:v>
                </c:pt>
                <c:pt idx="570">
                  <c:v>0.814216666666667</c:v>
                </c:pt>
                <c:pt idx="571">
                  <c:v>0.814283333333333</c:v>
                </c:pt>
                <c:pt idx="572">
                  <c:v>0.816566666666667</c:v>
                </c:pt>
                <c:pt idx="573">
                  <c:v>0.81784</c:v>
                </c:pt>
                <c:pt idx="574">
                  <c:v>0.817939333333333</c:v>
                </c:pt>
                <c:pt idx="575">
                  <c:v>0.818406666666667</c:v>
                </c:pt>
                <c:pt idx="576">
                  <c:v>0.819016666666667</c:v>
                </c:pt>
                <c:pt idx="577">
                  <c:v>0.81972</c:v>
                </c:pt>
                <c:pt idx="578">
                  <c:v>0.820103666666667</c:v>
                </c:pt>
                <c:pt idx="579">
                  <c:v>0.820666666666667</c:v>
                </c:pt>
                <c:pt idx="580">
                  <c:v>0.820974666666667</c:v>
                </c:pt>
                <c:pt idx="581">
                  <c:v>0.822042</c:v>
                </c:pt>
                <c:pt idx="582">
                  <c:v>0.822391333333333</c:v>
                </c:pt>
                <c:pt idx="583">
                  <c:v>0.822889666666667</c:v>
                </c:pt>
                <c:pt idx="584">
                  <c:v>0.822949333333333</c:v>
                </c:pt>
                <c:pt idx="585">
                  <c:v>0.82465</c:v>
                </c:pt>
                <c:pt idx="586">
                  <c:v>0.824765333333333</c:v>
                </c:pt>
                <c:pt idx="587">
                  <c:v>0.826633</c:v>
                </c:pt>
                <c:pt idx="588">
                  <c:v>0.826784666666667</c:v>
                </c:pt>
                <c:pt idx="589">
                  <c:v>0.828233333333334</c:v>
                </c:pt>
                <c:pt idx="590">
                  <c:v>0.828503333333333</c:v>
                </c:pt>
                <c:pt idx="591">
                  <c:v>0.830256</c:v>
                </c:pt>
                <c:pt idx="592">
                  <c:v>0.830921333333333</c:v>
                </c:pt>
                <c:pt idx="593">
                  <c:v>0.832821333333333</c:v>
                </c:pt>
                <c:pt idx="594">
                  <c:v>0.833181333333333</c:v>
                </c:pt>
                <c:pt idx="595">
                  <c:v>0.835722666666667</c:v>
                </c:pt>
                <c:pt idx="596">
                  <c:v>0.837923666666667</c:v>
                </c:pt>
                <c:pt idx="597">
                  <c:v>0.83794</c:v>
                </c:pt>
                <c:pt idx="598">
                  <c:v>0.840923333333333</c:v>
                </c:pt>
                <c:pt idx="599">
                  <c:v>0.841574333333333</c:v>
                </c:pt>
                <c:pt idx="600">
                  <c:v>0.841876</c:v>
                </c:pt>
                <c:pt idx="601">
                  <c:v>0.84964</c:v>
                </c:pt>
                <c:pt idx="602">
                  <c:v>0.850851666666667</c:v>
                </c:pt>
                <c:pt idx="603">
                  <c:v>0.85684</c:v>
                </c:pt>
                <c:pt idx="604">
                  <c:v>0.872289333333333</c:v>
                </c:pt>
                <c:pt idx="605">
                  <c:v>0.87236</c:v>
                </c:pt>
              </c:strCache>
            </c:strRef>
          </c:cat>
          <c:val>
            <c:numRef>
              <c:f>'Ecomonic Values'!$D$25:$D$631</c:f>
              <c:numCache>
                <c:formatCode>0.00</c:formatCode>
                <c:ptCount val="606"/>
                <c:pt idx="0">
                  <c:v>9.5000000000000001E-2</c:v>
                </c:pt>
                <c:pt idx="1">
                  <c:v>0.1</c:v>
                </c:pt>
                <c:pt idx="2">
                  <c:v>0.105</c:v>
                </c:pt>
                <c:pt idx="3">
                  <c:v>0.115</c:v>
                </c:pt>
                <c:pt idx="4">
                  <c:v>0.11</c:v>
                </c:pt>
                <c:pt idx="5">
                  <c:v>0.12</c:v>
                </c:pt>
                <c:pt idx="6">
                  <c:v>0.125</c:v>
                </c:pt>
                <c:pt idx="7">
                  <c:v>0.125</c:v>
                </c:pt>
                <c:pt idx="8">
                  <c:v>0.13</c:v>
                </c:pt>
                <c:pt idx="9">
                  <c:v>0.125</c:v>
                </c:pt>
                <c:pt idx="10">
                  <c:v>0.13500000000000001</c:v>
                </c:pt>
                <c:pt idx="11">
                  <c:v>0.15</c:v>
                </c:pt>
                <c:pt idx="12">
                  <c:v>0.13</c:v>
                </c:pt>
                <c:pt idx="13">
                  <c:v>0.15</c:v>
                </c:pt>
                <c:pt idx="14">
                  <c:v>0.15</c:v>
                </c:pt>
                <c:pt idx="15">
                  <c:v>0.15</c:v>
                </c:pt>
                <c:pt idx="16">
                  <c:v>0.17</c:v>
                </c:pt>
                <c:pt idx="17">
                  <c:v>0.16500000000000001</c:v>
                </c:pt>
                <c:pt idx="18">
                  <c:v>0.17499999999999999</c:v>
                </c:pt>
                <c:pt idx="19">
                  <c:v>0.19500000000000001</c:v>
                </c:pt>
                <c:pt idx="20">
                  <c:v>0.19500000000000001</c:v>
                </c:pt>
                <c:pt idx="21">
                  <c:v>0.2</c:v>
                </c:pt>
                <c:pt idx="22">
                  <c:v>0.21</c:v>
                </c:pt>
                <c:pt idx="23">
                  <c:v>0.2</c:v>
                </c:pt>
                <c:pt idx="24">
                  <c:v>0.20499999999999999</c:v>
                </c:pt>
                <c:pt idx="25">
                  <c:v>0.20499999999999999</c:v>
                </c:pt>
                <c:pt idx="26">
                  <c:v>0.2</c:v>
                </c:pt>
                <c:pt idx="27">
                  <c:v>0.20499999999999999</c:v>
                </c:pt>
                <c:pt idx="28">
                  <c:v>0.21</c:v>
                </c:pt>
                <c:pt idx="29">
                  <c:v>0.215</c:v>
                </c:pt>
                <c:pt idx="30">
                  <c:v>0.20499999999999999</c:v>
                </c:pt>
                <c:pt idx="31">
                  <c:v>0.215</c:v>
                </c:pt>
                <c:pt idx="32">
                  <c:v>0.21</c:v>
                </c:pt>
                <c:pt idx="33">
                  <c:v>0.215</c:v>
                </c:pt>
                <c:pt idx="34">
                  <c:v>0.215</c:v>
                </c:pt>
                <c:pt idx="35">
                  <c:v>0.22500000000000001</c:v>
                </c:pt>
                <c:pt idx="36">
                  <c:v>0.22</c:v>
                </c:pt>
                <c:pt idx="37">
                  <c:v>0.20499999999999999</c:v>
                </c:pt>
                <c:pt idx="38">
                  <c:v>0.22</c:v>
                </c:pt>
                <c:pt idx="39">
                  <c:v>0.22</c:v>
                </c:pt>
                <c:pt idx="40">
                  <c:v>0.22500000000000001</c:v>
                </c:pt>
                <c:pt idx="41">
                  <c:v>0.22500000000000001</c:v>
                </c:pt>
                <c:pt idx="42">
                  <c:v>0.24</c:v>
                </c:pt>
                <c:pt idx="43">
                  <c:v>0.22500000000000001</c:v>
                </c:pt>
                <c:pt idx="44">
                  <c:v>0.22500000000000001</c:v>
                </c:pt>
                <c:pt idx="45">
                  <c:v>0.23</c:v>
                </c:pt>
                <c:pt idx="46">
                  <c:v>0.23</c:v>
                </c:pt>
                <c:pt idx="47">
                  <c:v>0.22500000000000001</c:v>
                </c:pt>
                <c:pt idx="48">
                  <c:v>0.23</c:v>
                </c:pt>
                <c:pt idx="49">
                  <c:v>0.23499999999999999</c:v>
                </c:pt>
                <c:pt idx="50">
                  <c:v>0.22</c:v>
                </c:pt>
                <c:pt idx="51">
                  <c:v>0.23499999999999999</c:v>
                </c:pt>
                <c:pt idx="52">
                  <c:v>0.23499999999999999</c:v>
                </c:pt>
                <c:pt idx="53">
                  <c:v>0.24</c:v>
                </c:pt>
                <c:pt idx="54">
                  <c:v>0.24</c:v>
                </c:pt>
                <c:pt idx="55">
                  <c:v>0.245</c:v>
                </c:pt>
                <c:pt idx="56">
                  <c:v>0.24</c:v>
                </c:pt>
                <c:pt idx="57">
                  <c:v>0.245</c:v>
                </c:pt>
                <c:pt idx="58">
                  <c:v>0.25</c:v>
                </c:pt>
                <c:pt idx="59">
                  <c:v>0.24</c:v>
                </c:pt>
                <c:pt idx="60">
                  <c:v>0.24</c:v>
                </c:pt>
                <c:pt idx="61">
                  <c:v>0.245</c:v>
                </c:pt>
                <c:pt idx="62">
                  <c:v>0.25</c:v>
                </c:pt>
                <c:pt idx="63">
                  <c:v>0.23499999999999999</c:v>
                </c:pt>
                <c:pt idx="64">
                  <c:v>0.26</c:v>
                </c:pt>
                <c:pt idx="65">
                  <c:v>0.26</c:v>
                </c:pt>
                <c:pt idx="66">
                  <c:v>0.255</c:v>
                </c:pt>
                <c:pt idx="67">
                  <c:v>0.26</c:v>
                </c:pt>
                <c:pt idx="68">
                  <c:v>0.255</c:v>
                </c:pt>
                <c:pt idx="69">
                  <c:v>0.26</c:v>
                </c:pt>
                <c:pt idx="70">
                  <c:v>0.26500000000000001</c:v>
                </c:pt>
                <c:pt idx="71">
                  <c:v>0.26500000000000001</c:v>
                </c:pt>
                <c:pt idx="72">
                  <c:v>0.27</c:v>
                </c:pt>
                <c:pt idx="73">
                  <c:v>0.26500000000000001</c:v>
                </c:pt>
                <c:pt idx="74">
                  <c:v>0.26500000000000001</c:v>
                </c:pt>
                <c:pt idx="75">
                  <c:v>0.26500000000000001</c:v>
                </c:pt>
                <c:pt idx="76">
                  <c:v>0.27</c:v>
                </c:pt>
                <c:pt idx="77">
                  <c:v>0.28999999999999998</c:v>
                </c:pt>
                <c:pt idx="78">
                  <c:v>0.26500000000000001</c:v>
                </c:pt>
                <c:pt idx="79">
                  <c:v>0.27</c:v>
                </c:pt>
                <c:pt idx="80">
                  <c:v>0.28499999999999998</c:v>
                </c:pt>
                <c:pt idx="81">
                  <c:v>0.27</c:v>
                </c:pt>
                <c:pt idx="82">
                  <c:v>0.27</c:v>
                </c:pt>
                <c:pt idx="83">
                  <c:v>0.27</c:v>
                </c:pt>
                <c:pt idx="84">
                  <c:v>0.27</c:v>
                </c:pt>
                <c:pt idx="85">
                  <c:v>0.26</c:v>
                </c:pt>
                <c:pt idx="86">
                  <c:v>0.27</c:v>
                </c:pt>
                <c:pt idx="87">
                  <c:v>0.27500000000000002</c:v>
                </c:pt>
                <c:pt idx="88">
                  <c:v>0.28000000000000003</c:v>
                </c:pt>
                <c:pt idx="89">
                  <c:v>0.28000000000000003</c:v>
                </c:pt>
                <c:pt idx="90">
                  <c:v>0.25</c:v>
                </c:pt>
                <c:pt idx="91">
                  <c:v>0.27</c:v>
                </c:pt>
                <c:pt idx="92">
                  <c:v>0.27500000000000002</c:v>
                </c:pt>
                <c:pt idx="93">
                  <c:v>0.28000000000000003</c:v>
                </c:pt>
                <c:pt idx="94">
                  <c:v>0.27500000000000002</c:v>
                </c:pt>
                <c:pt idx="95">
                  <c:v>0.27500000000000002</c:v>
                </c:pt>
                <c:pt idx="96">
                  <c:v>0.28000000000000003</c:v>
                </c:pt>
                <c:pt idx="97">
                  <c:v>0.28000000000000003</c:v>
                </c:pt>
                <c:pt idx="98">
                  <c:v>0.27</c:v>
                </c:pt>
                <c:pt idx="99">
                  <c:v>0.27500000000000002</c:v>
                </c:pt>
                <c:pt idx="100">
                  <c:v>0.3</c:v>
                </c:pt>
                <c:pt idx="101">
                  <c:v>0.28499999999999998</c:v>
                </c:pt>
                <c:pt idx="102">
                  <c:v>0.29499999999999998</c:v>
                </c:pt>
                <c:pt idx="103">
                  <c:v>0.28999999999999998</c:v>
                </c:pt>
                <c:pt idx="104">
                  <c:v>0.29499999999999998</c:v>
                </c:pt>
                <c:pt idx="105">
                  <c:v>0.28999999999999998</c:v>
                </c:pt>
                <c:pt idx="106">
                  <c:v>0.28499999999999998</c:v>
                </c:pt>
                <c:pt idx="107">
                  <c:v>0.28999999999999998</c:v>
                </c:pt>
                <c:pt idx="108">
                  <c:v>0.28999999999999998</c:v>
                </c:pt>
                <c:pt idx="109">
                  <c:v>0.28999999999999998</c:v>
                </c:pt>
                <c:pt idx="110">
                  <c:v>0.28499999999999998</c:v>
                </c:pt>
                <c:pt idx="111">
                  <c:v>0.28499999999999998</c:v>
                </c:pt>
                <c:pt idx="112">
                  <c:v>0.28999999999999998</c:v>
                </c:pt>
                <c:pt idx="113">
                  <c:v>0.28999999999999998</c:v>
                </c:pt>
                <c:pt idx="114">
                  <c:v>0.28999999999999998</c:v>
                </c:pt>
                <c:pt idx="115">
                  <c:v>0.28999999999999998</c:v>
                </c:pt>
                <c:pt idx="116">
                  <c:v>0.28999999999999998</c:v>
                </c:pt>
                <c:pt idx="117">
                  <c:v>0.30499999999999999</c:v>
                </c:pt>
                <c:pt idx="118">
                  <c:v>0.3</c:v>
                </c:pt>
                <c:pt idx="119">
                  <c:v>0.29499999999999998</c:v>
                </c:pt>
                <c:pt idx="120">
                  <c:v>0.28999999999999998</c:v>
                </c:pt>
                <c:pt idx="121">
                  <c:v>0.30499999999999999</c:v>
                </c:pt>
                <c:pt idx="122">
                  <c:v>0.28499999999999998</c:v>
                </c:pt>
                <c:pt idx="123">
                  <c:v>0.3</c:v>
                </c:pt>
                <c:pt idx="124">
                  <c:v>0.28999999999999998</c:v>
                </c:pt>
                <c:pt idx="125">
                  <c:v>0.3</c:v>
                </c:pt>
                <c:pt idx="126">
                  <c:v>0.31</c:v>
                </c:pt>
                <c:pt idx="127">
                  <c:v>0.3</c:v>
                </c:pt>
                <c:pt idx="128">
                  <c:v>0.30499999999999999</c:v>
                </c:pt>
                <c:pt idx="129">
                  <c:v>0.3</c:v>
                </c:pt>
                <c:pt idx="130">
                  <c:v>0.3</c:v>
                </c:pt>
                <c:pt idx="131">
                  <c:v>0.3</c:v>
                </c:pt>
                <c:pt idx="132">
                  <c:v>0.30499999999999999</c:v>
                </c:pt>
                <c:pt idx="133">
                  <c:v>0.30499999999999999</c:v>
                </c:pt>
                <c:pt idx="134">
                  <c:v>0.30499999999999999</c:v>
                </c:pt>
                <c:pt idx="135">
                  <c:v>0.31</c:v>
                </c:pt>
                <c:pt idx="136">
                  <c:v>0.315</c:v>
                </c:pt>
                <c:pt idx="137">
                  <c:v>0.315</c:v>
                </c:pt>
                <c:pt idx="138">
                  <c:v>0.30499999999999999</c:v>
                </c:pt>
                <c:pt idx="139">
                  <c:v>0.3</c:v>
                </c:pt>
                <c:pt idx="140">
                  <c:v>0.32</c:v>
                </c:pt>
                <c:pt idx="141">
                  <c:v>0.315</c:v>
                </c:pt>
                <c:pt idx="142">
                  <c:v>0.32</c:v>
                </c:pt>
                <c:pt idx="143">
                  <c:v>0.30499999999999999</c:v>
                </c:pt>
                <c:pt idx="144">
                  <c:v>0.3</c:v>
                </c:pt>
                <c:pt idx="145">
                  <c:v>0.3</c:v>
                </c:pt>
                <c:pt idx="146">
                  <c:v>0.30499999999999999</c:v>
                </c:pt>
                <c:pt idx="147">
                  <c:v>0.32500000000000001</c:v>
                </c:pt>
                <c:pt idx="148">
                  <c:v>0.32500000000000001</c:v>
                </c:pt>
                <c:pt idx="149">
                  <c:v>0.315</c:v>
                </c:pt>
                <c:pt idx="150">
                  <c:v>0.32500000000000001</c:v>
                </c:pt>
                <c:pt idx="151">
                  <c:v>0.32</c:v>
                </c:pt>
                <c:pt idx="152">
                  <c:v>0.32500000000000001</c:v>
                </c:pt>
                <c:pt idx="153">
                  <c:v>0.315</c:v>
                </c:pt>
                <c:pt idx="154">
                  <c:v>0.32</c:v>
                </c:pt>
                <c:pt idx="155">
                  <c:v>0.32500000000000001</c:v>
                </c:pt>
                <c:pt idx="156">
                  <c:v>0.32</c:v>
                </c:pt>
                <c:pt idx="157">
                  <c:v>0.31</c:v>
                </c:pt>
                <c:pt idx="158">
                  <c:v>0.32500000000000001</c:v>
                </c:pt>
                <c:pt idx="159">
                  <c:v>0.33</c:v>
                </c:pt>
                <c:pt idx="160">
                  <c:v>0.32500000000000001</c:v>
                </c:pt>
                <c:pt idx="161">
                  <c:v>0.32</c:v>
                </c:pt>
                <c:pt idx="162">
                  <c:v>0.32500000000000001</c:v>
                </c:pt>
                <c:pt idx="163">
                  <c:v>0.32500000000000001</c:v>
                </c:pt>
                <c:pt idx="164">
                  <c:v>0.32500000000000001</c:v>
                </c:pt>
                <c:pt idx="165">
                  <c:v>0.32500000000000001</c:v>
                </c:pt>
                <c:pt idx="166">
                  <c:v>0.32</c:v>
                </c:pt>
                <c:pt idx="167">
                  <c:v>0.33</c:v>
                </c:pt>
                <c:pt idx="168">
                  <c:v>0.32500000000000001</c:v>
                </c:pt>
                <c:pt idx="169">
                  <c:v>0.31</c:v>
                </c:pt>
                <c:pt idx="170">
                  <c:v>0.32500000000000001</c:v>
                </c:pt>
                <c:pt idx="171">
                  <c:v>0.32</c:v>
                </c:pt>
                <c:pt idx="172">
                  <c:v>0.32</c:v>
                </c:pt>
                <c:pt idx="173">
                  <c:v>0.32</c:v>
                </c:pt>
                <c:pt idx="174">
                  <c:v>0.32500000000000001</c:v>
                </c:pt>
                <c:pt idx="175">
                  <c:v>0.32500000000000001</c:v>
                </c:pt>
                <c:pt idx="176">
                  <c:v>0.32500000000000001</c:v>
                </c:pt>
                <c:pt idx="177">
                  <c:v>0.32500000000000001</c:v>
                </c:pt>
                <c:pt idx="178">
                  <c:v>0.33</c:v>
                </c:pt>
                <c:pt idx="179">
                  <c:v>0.34499999999999997</c:v>
                </c:pt>
                <c:pt idx="180">
                  <c:v>0.32500000000000001</c:v>
                </c:pt>
                <c:pt idx="181">
                  <c:v>0.33</c:v>
                </c:pt>
                <c:pt idx="182">
                  <c:v>0.35</c:v>
                </c:pt>
                <c:pt idx="183">
                  <c:v>0.32500000000000001</c:v>
                </c:pt>
                <c:pt idx="184">
                  <c:v>0.32</c:v>
                </c:pt>
                <c:pt idx="185">
                  <c:v>0.34</c:v>
                </c:pt>
                <c:pt idx="186">
                  <c:v>0.34499999999999997</c:v>
                </c:pt>
                <c:pt idx="187">
                  <c:v>0.34</c:v>
                </c:pt>
                <c:pt idx="188">
                  <c:v>0.33</c:v>
                </c:pt>
                <c:pt idx="189">
                  <c:v>0.34499999999999997</c:v>
                </c:pt>
                <c:pt idx="190">
                  <c:v>0.32500000000000001</c:v>
                </c:pt>
                <c:pt idx="191">
                  <c:v>0.35</c:v>
                </c:pt>
                <c:pt idx="192">
                  <c:v>0.34</c:v>
                </c:pt>
                <c:pt idx="193">
                  <c:v>0.34</c:v>
                </c:pt>
                <c:pt idx="194">
                  <c:v>0.33</c:v>
                </c:pt>
                <c:pt idx="195">
                  <c:v>0.33500000000000002</c:v>
                </c:pt>
                <c:pt idx="196">
                  <c:v>0.35</c:v>
                </c:pt>
                <c:pt idx="197">
                  <c:v>0.33500000000000002</c:v>
                </c:pt>
                <c:pt idx="198">
                  <c:v>0.33500000000000002</c:v>
                </c:pt>
                <c:pt idx="199">
                  <c:v>0.34499999999999997</c:v>
                </c:pt>
                <c:pt idx="200">
                  <c:v>0.34499999999999997</c:v>
                </c:pt>
                <c:pt idx="201">
                  <c:v>0.34</c:v>
                </c:pt>
                <c:pt idx="202">
                  <c:v>0.34499999999999997</c:v>
                </c:pt>
                <c:pt idx="203">
                  <c:v>0.35</c:v>
                </c:pt>
                <c:pt idx="204">
                  <c:v>0.34</c:v>
                </c:pt>
                <c:pt idx="205">
                  <c:v>0.33500000000000002</c:v>
                </c:pt>
                <c:pt idx="206">
                  <c:v>0.33</c:v>
                </c:pt>
                <c:pt idx="207">
                  <c:v>0.35</c:v>
                </c:pt>
                <c:pt idx="208">
                  <c:v>0.35</c:v>
                </c:pt>
                <c:pt idx="209">
                  <c:v>0.35</c:v>
                </c:pt>
                <c:pt idx="210">
                  <c:v>0.36499999999999999</c:v>
                </c:pt>
                <c:pt idx="211">
                  <c:v>0.34499999999999997</c:v>
                </c:pt>
                <c:pt idx="212">
                  <c:v>0.34</c:v>
                </c:pt>
                <c:pt idx="213">
                  <c:v>0.34</c:v>
                </c:pt>
                <c:pt idx="214">
                  <c:v>0.35</c:v>
                </c:pt>
                <c:pt idx="215">
                  <c:v>0.35499999999999998</c:v>
                </c:pt>
                <c:pt idx="216">
                  <c:v>0.35</c:v>
                </c:pt>
                <c:pt idx="217">
                  <c:v>0.34499999999999997</c:v>
                </c:pt>
                <c:pt idx="218">
                  <c:v>0.35499999999999998</c:v>
                </c:pt>
                <c:pt idx="219">
                  <c:v>0.35</c:v>
                </c:pt>
                <c:pt idx="220">
                  <c:v>0.35</c:v>
                </c:pt>
                <c:pt idx="221">
                  <c:v>0.35499999999999998</c:v>
                </c:pt>
                <c:pt idx="222">
                  <c:v>0.34499999999999997</c:v>
                </c:pt>
                <c:pt idx="223">
                  <c:v>0.34</c:v>
                </c:pt>
                <c:pt idx="224">
                  <c:v>0.35</c:v>
                </c:pt>
                <c:pt idx="225">
                  <c:v>0.36</c:v>
                </c:pt>
                <c:pt idx="226">
                  <c:v>0.35</c:v>
                </c:pt>
                <c:pt idx="227">
                  <c:v>0.36</c:v>
                </c:pt>
                <c:pt idx="228">
                  <c:v>0.36</c:v>
                </c:pt>
                <c:pt idx="229">
                  <c:v>0.35</c:v>
                </c:pt>
                <c:pt idx="230">
                  <c:v>0.36</c:v>
                </c:pt>
                <c:pt idx="231">
                  <c:v>0.35</c:v>
                </c:pt>
                <c:pt idx="232">
                  <c:v>0.35499999999999998</c:v>
                </c:pt>
                <c:pt idx="233">
                  <c:v>0.35</c:v>
                </c:pt>
                <c:pt idx="234">
                  <c:v>0.375</c:v>
                </c:pt>
                <c:pt idx="235">
                  <c:v>0.35</c:v>
                </c:pt>
                <c:pt idx="236">
                  <c:v>0.34499999999999997</c:v>
                </c:pt>
                <c:pt idx="237">
                  <c:v>0.36</c:v>
                </c:pt>
                <c:pt idx="238">
                  <c:v>0.37</c:v>
                </c:pt>
                <c:pt idx="239">
                  <c:v>0.35499999999999998</c:v>
                </c:pt>
                <c:pt idx="240">
                  <c:v>0.35</c:v>
                </c:pt>
                <c:pt idx="241">
                  <c:v>0.35499999999999998</c:v>
                </c:pt>
                <c:pt idx="242">
                  <c:v>0.36499999999999999</c:v>
                </c:pt>
                <c:pt idx="243">
                  <c:v>0.35499999999999998</c:v>
                </c:pt>
                <c:pt idx="244">
                  <c:v>0.34499999999999997</c:v>
                </c:pt>
                <c:pt idx="245">
                  <c:v>0.37</c:v>
                </c:pt>
                <c:pt idx="246">
                  <c:v>0.37</c:v>
                </c:pt>
                <c:pt idx="247">
                  <c:v>0.35499999999999998</c:v>
                </c:pt>
                <c:pt idx="248">
                  <c:v>0.35</c:v>
                </c:pt>
                <c:pt idx="249">
                  <c:v>0.375</c:v>
                </c:pt>
                <c:pt idx="250">
                  <c:v>0.36</c:v>
                </c:pt>
                <c:pt idx="251">
                  <c:v>0.36</c:v>
                </c:pt>
                <c:pt idx="252">
                  <c:v>0.37</c:v>
                </c:pt>
                <c:pt idx="253">
                  <c:v>0.36499999999999999</c:v>
                </c:pt>
                <c:pt idx="254">
                  <c:v>0.36</c:v>
                </c:pt>
                <c:pt idx="255">
                  <c:v>0.375</c:v>
                </c:pt>
                <c:pt idx="256">
                  <c:v>0.35499999999999998</c:v>
                </c:pt>
                <c:pt idx="257">
                  <c:v>0.36499999999999999</c:v>
                </c:pt>
                <c:pt idx="258">
                  <c:v>0.35499999999999998</c:v>
                </c:pt>
                <c:pt idx="259">
                  <c:v>0.36499999999999999</c:v>
                </c:pt>
                <c:pt idx="260">
                  <c:v>0.37</c:v>
                </c:pt>
                <c:pt idx="261">
                  <c:v>0.34499999999999997</c:v>
                </c:pt>
                <c:pt idx="262">
                  <c:v>0.36499999999999999</c:v>
                </c:pt>
                <c:pt idx="263">
                  <c:v>0.36499999999999999</c:v>
                </c:pt>
                <c:pt idx="264">
                  <c:v>0.35499999999999998</c:v>
                </c:pt>
                <c:pt idx="265">
                  <c:v>0.35499999999999998</c:v>
                </c:pt>
                <c:pt idx="266">
                  <c:v>0.37</c:v>
                </c:pt>
                <c:pt idx="267">
                  <c:v>0.35499999999999998</c:v>
                </c:pt>
                <c:pt idx="268">
                  <c:v>0.36</c:v>
                </c:pt>
                <c:pt idx="269">
                  <c:v>0.37</c:v>
                </c:pt>
                <c:pt idx="270">
                  <c:v>0.36</c:v>
                </c:pt>
                <c:pt idx="271">
                  <c:v>0.38</c:v>
                </c:pt>
                <c:pt idx="272">
                  <c:v>0.37</c:v>
                </c:pt>
                <c:pt idx="273">
                  <c:v>0.35499999999999998</c:v>
                </c:pt>
                <c:pt idx="274">
                  <c:v>0.375</c:v>
                </c:pt>
                <c:pt idx="275">
                  <c:v>0.37</c:v>
                </c:pt>
                <c:pt idx="276">
                  <c:v>0.36499999999999999</c:v>
                </c:pt>
                <c:pt idx="277">
                  <c:v>0.36499999999999999</c:v>
                </c:pt>
                <c:pt idx="278">
                  <c:v>0.39</c:v>
                </c:pt>
                <c:pt idx="279">
                  <c:v>0.37</c:v>
                </c:pt>
                <c:pt idx="280">
                  <c:v>0.38</c:v>
                </c:pt>
                <c:pt idx="281">
                  <c:v>0.37</c:v>
                </c:pt>
                <c:pt idx="282">
                  <c:v>0.38500000000000001</c:v>
                </c:pt>
                <c:pt idx="283">
                  <c:v>0.375</c:v>
                </c:pt>
                <c:pt idx="284">
                  <c:v>0.36499999999999999</c:v>
                </c:pt>
                <c:pt idx="285">
                  <c:v>0.38500000000000001</c:v>
                </c:pt>
                <c:pt idx="286">
                  <c:v>0.37</c:v>
                </c:pt>
                <c:pt idx="287">
                  <c:v>0.36</c:v>
                </c:pt>
                <c:pt idx="288">
                  <c:v>0.375</c:v>
                </c:pt>
                <c:pt idx="289">
                  <c:v>0.375</c:v>
                </c:pt>
                <c:pt idx="290">
                  <c:v>0.37</c:v>
                </c:pt>
                <c:pt idx="291">
                  <c:v>0.375</c:v>
                </c:pt>
                <c:pt idx="292">
                  <c:v>0.35499999999999998</c:v>
                </c:pt>
                <c:pt idx="293">
                  <c:v>0.375</c:v>
                </c:pt>
                <c:pt idx="294">
                  <c:v>0.37</c:v>
                </c:pt>
                <c:pt idx="295">
                  <c:v>0.38500000000000001</c:v>
                </c:pt>
                <c:pt idx="296">
                  <c:v>0.38500000000000001</c:v>
                </c:pt>
                <c:pt idx="297">
                  <c:v>0.37</c:v>
                </c:pt>
                <c:pt idx="298">
                  <c:v>0.39</c:v>
                </c:pt>
                <c:pt idx="299">
                  <c:v>0.4</c:v>
                </c:pt>
                <c:pt idx="300">
                  <c:v>0.37</c:v>
                </c:pt>
                <c:pt idx="301">
                  <c:v>0.375</c:v>
                </c:pt>
                <c:pt idx="302">
                  <c:v>0.375</c:v>
                </c:pt>
                <c:pt idx="303">
                  <c:v>0.375</c:v>
                </c:pt>
                <c:pt idx="304">
                  <c:v>0.375</c:v>
                </c:pt>
                <c:pt idx="305">
                  <c:v>0.37</c:v>
                </c:pt>
                <c:pt idx="306">
                  <c:v>0.38</c:v>
                </c:pt>
                <c:pt idx="307">
                  <c:v>0.37</c:v>
                </c:pt>
                <c:pt idx="308">
                  <c:v>0.39500000000000002</c:v>
                </c:pt>
                <c:pt idx="309">
                  <c:v>0.38</c:v>
                </c:pt>
                <c:pt idx="310">
                  <c:v>0.375</c:v>
                </c:pt>
                <c:pt idx="311">
                  <c:v>0.39500000000000002</c:v>
                </c:pt>
                <c:pt idx="312">
                  <c:v>0.36499999999999999</c:v>
                </c:pt>
                <c:pt idx="313">
                  <c:v>0.39</c:v>
                </c:pt>
                <c:pt idx="314">
                  <c:v>0.38</c:v>
                </c:pt>
                <c:pt idx="315">
                  <c:v>0.38500000000000001</c:v>
                </c:pt>
                <c:pt idx="316">
                  <c:v>0.38</c:v>
                </c:pt>
                <c:pt idx="317">
                  <c:v>0.39</c:v>
                </c:pt>
                <c:pt idx="318">
                  <c:v>0.4</c:v>
                </c:pt>
                <c:pt idx="319">
                  <c:v>0.38</c:v>
                </c:pt>
                <c:pt idx="320">
                  <c:v>0.375</c:v>
                </c:pt>
                <c:pt idx="321">
                  <c:v>0.38500000000000001</c:v>
                </c:pt>
                <c:pt idx="322">
                  <c:v>0.38500000000000001</c:v>
                </c:pt>
                <c:pt idx="323">
                  <c:v>0.375</c:v>
                </c:pt>
                <c:pt idx="324">
                  <c:v>0.4</c:v>
                </c:pt>
                <c:pt idx="325">
                  <c:v>0.38</c:v>
                </c:pt>
                <c:pt idx="326">
                  <c:v>0.39500000000000002</c:v>
                </c:pt>
                <c:pt idx="327">
                  <c:v>0.375</c:v>
                </c:pt>
                <c:pt idx="328">
                  <c:v>0.39</c:v>
                </c:pt>
                <c:pt idx="329">
                  <c:v>0.38</c:v>
                </c:pt>
                <c:pt idx="330">
                  <c:v>0.4</c:v>
                </c:pt>
                <c:pt idx="331">
                  <c:v>0.38</c:v>
                </c:pt>
                <c:pt idx="332">
                  <c:v>0.38</c:v>
                </c:pt>
                <c:pt idx="333">
                  <c:v>0.38</c:v>
                </c:pt>
                <c:pt idx="334">
                  <c:v>0.38500000000000001</c:v>
                </c:pt>
                <c:pt idx="335">
                  <c:v>0.375</c:v>
                </c:pt>
                <c:pt idx="336">
                  <c:v>0.375</c:v>
                </c:pt>
                <c:pt idx="337">
                  <c:v>0.38</c:v>
                </c:pt>
                <c:pt idx="338">
                  <c:v>0.39</c:v>
                </c:pt>
                <c:pt idx="339">
                  <c:v>0.38</c:v>
                </c:pt>
                <c:pt idx="340">
                  <c:v>0.4</c:v>
                </c:pt>
                <c:pt idx="341">
                  <c:v>0.38</c:v>
                </c:pt>
                <c:pt idx="342">
                  <c:v>0.38500000000000001</c:v>
                </c:pt>
                <c:pt idx="343">
                  <c:v>0.39</c:v>
                </c:pt>
                <c:pt idx="344">
                  <c:v>0.38</c:v>
                </c:pt>
                <c:pt idx="345">
                  <c:v>0.38500000000000001</c:v>
                </c:pt>
                <c:pt idx="346">
                  <c:v>0.38</c:v>
                </c:pt>
                <c:pt idx="347">
                  <c:v>0.39</c:v>
                </c:pt>
                <c:pt idx="348">
                  <c:v>0.38500000000000001</c:v>
                </c:pt>
                <c:pt idx="349">
                  <c:v>0.39</c:v>
                </c:pt>
                <c:pt idx="350">
                  <c:v>0.38500000000000001</c:v>
                </c:pt>
                <c:pt idx="351">
                  <c:v>0.375</c:v>
                </c:pt>
                <c:pt idx="352">
                  <c:v>0.39500000000000002</c:v>
                </c:pt>
                <c:pt idx="353">
                  <c:v>0.38</c:v>
                </c:pt>
                <c:pt idx="354">
                  <c:v>0.38</c:v>
                </c:pt>
                <c:pt idx="355">
                  <c:v>0.38500000000000001</c:v>
                </c:pt>
                <c:pt idx="356">
                  <c:v>0.4</c:v>
                </c:pt>
                <c:pt idx="357">
                  <c:v>0.38</c:v>
                </c:pt>
                <c:pt idx="358">
                  <c:v>0.39</c:v>
                </c:pt>
                <c:pt idx="359">
                  <c:v>0.4</c:v>
                </c:pt>
                <c:pt idx="360">
                  <c:v>0.4</c:v>
                </c:pt>
                <c:pt idx="361">
                  <c:v>0.38</c:v>
                </c:pt>
                <c:pt idx="362">
                  <c:v>0.37</c:v>
                </c:pt>
                <c:pt idx="363">
                  <c:v>0.38500000000000001</c:v>
                </c:pt>
                <c:pt idx="364">
                  <c:v>0.375</c:v>
                </c:pt>
                <c:pt idx="365">
                  <c:v>0.4</c:v>
                </c:pt>
                <c:pt idx="366">
                  <c:v>0.39500000000000002</c:v>
                </c:pt>
                <c:pt idx="367">
                  <c:v>0.40500000000000003</c:v>
                </c:pt>
                <c:pt idx="368">
                  <c:v>0.4</c:v>
                </c:pt>
                <c:pt idx="369">
                  <c:v>0.39500000000000002</c:v>
                </c:pt>
                <c:pt idx="370">
                  <c:v>0.4</c:v>
                </c:pt>
                <c:pt idx="371">
                  <c:v>0.38</c:v>
                </c:pt>
                <c:pt idx="372">
                  <c:v>0.4</c:v>
                </c:pt>
                <c:pt idx="373">
                  <c:v>0.38500000000000001</c:v>
                </c:pt>
                <c:pt idx="374">
                  <c:v>0.39500000000000002</c:v>
                </c:pt>
                <c:pt idx="375">
                  <c:v>0.40500000000000003</c:v>
                </c:pt>
                <c:pt idx="376">
                  <c:v>0.4</c:v>
                </c:pt>
                <c:pt idx="377">
                  <c:v>0.4</c:v>
                </c:pt>
                <c:pt idx="378">
                  <c:v>0.40500000000000003</c:v>
                </c:pt>
                <c:pt idx="379">
                  <c:v>0.40500000000000003</c:v>
                </c:pt>
                <c:pt idx="380">
                  <c:v>0.40500000000000003</c:v>
                </c:pt>
                <c:pt idx="381">
                  <c:v>0.77499999999999991</c:v>
                </c:pt>
                <c:pt idx="382">
                  <c:v>0.4</c:v>
                </c:pt>
                <c:pt idx="383">
                  <c:v>0.4</c:v>
                </c:pt>
                <c:pt idx="384">
                  <c:v>0.38500000000000001</c:v>
                </c:pt>
                <c:pt idx="385">
                  <c:v>0.40500000000000003</c:v>
                </c:pt>
                <c:pt idx="386">
                  <c:v>0.4</c:v>
                </c:pt>
                <c:pt idx="387">
                  <c:v>0.38</c:v>
                </c:pt>
                <c:pt idx="388">
                  <c:v>0.4</c:v>
                </c:pt>
                <c:pt idx="389">
                  <c:v>0.39500000000000002</c:v>
                </c:pt>
                <c:pt idx="390">
                  <c:v>0.38</c:v>
                </c:pt>
                <c:pt idx="391">
                  <c:v>0.39500000000000002</c:v>
                </c:pt>
                <c:pt idx="392">
                  <c:v>0.4</c:v>
                </c:pt>
                <c:pt idx="393">
                  <c:v>0.41499999999999998</c:v>
                </c:pt>
                <c:pt idx="394">
                  <c:v>0.40500000000000003</c:v>
                </c:pt>
                <c:pt idx="395">
                  <c:v>0.4</c:v>
                </c:pt>
                <c:pt idx="396">
                  <c:v>0.38500000000000001</c:v>
                </c:pt>
                <c:pt idx="397">
                  <c:v>0.38</c:v>
                </c:pt>
                <c:pt idx="398">
                  <c:v>0.40500000000000003</c:v>
                </c:pt>
                <c:pt idx="399">
                  <c:v>0.42499999999999999</c:v>
                </c:pt>
                <c:pt idx="400">
                  <c:v>0.41499999999999998</c:v>
                </c:pt>
                <c:pt idx="401">
                  <c:v>0.4</c:v>
                </c:pt>
                <c:pt idx="402">
                  <c:v>0.42</c:v>
                </c:pt>
                <c:pt idx="403">
                  <c:v>0.39500000000000002</c:v>
                </c:pt>
                <c:pt idx="404">
                  <c:v>0.40500000000000003</c:v>
                </c:pt>
                <c:pt idx="405">
                  <c:v>0.38</c:v>
                </c:pt>
                <c:pt idx="406">
                  <c:v>0.4</c:v>
                </c:pt>
                <c:pt idx="407">
                  <c:v>0.4</c:v>
                </c:pt>
                <c:pt idx="408">
                  <c:v>0.4</c:v>
                </c:pt>
                <c:pt idx="409">
                  <c:v>0.41499999999999998</c:v>
                </c:pt>
                <c:pt idx="410">
                  <c:v>0.40500000000000003</c:v>
                </c:pt>
                <c:pt idx="411">
                  <c:v>0.41</c:v>
                </c:pt>
                <c:pt idx="412">
                  <c:v>0.4</c:v>
                </c:pt>
                <c:pt idx="413">
                  <c:v>0.40500000000000003</c:v>
                </c:pt>
                <c:pt idx="414">
                  <c:v>0.39</c:v>
                </c:pt>
                <c:pt idx="415">
                  <c:v>0.39500000000000002</c:v>
                </c:pt>
                <c:pt idx="416">
                  <c:v>0.4</c:v>
                </c:pt>
                <c:pt idx="417">
                  <c:v>0.40500000000000003</c:v>
                </c:pt>
                <c:pt idx="418">
                  <c:v>0.39</c:v>
                </c:pt>
                <c:pt idx="419">
                  <c:v>0.4</c:v>
                </c:pt>
                <c:pt idx="420">
                  <c:v>0.40500000000000003</c:v>
                </c:pt>
                <c:pt idx="421">
                  <c:v>0.40500000000000003</c:v>
                </c:pt>
                <c:pt idx="422">
                  <c:v>0.44</c:v>
                </c:pt>
                <c:pt idx="423">
                  <c:v>0.435</c:v>
                </c:pt>
                <c:pt idx="424">
                  <c:v>0.4</c:v>
                </c:pt>
                <c:pt idx="425">
                  <c:v>0.4</c:v>
                </c:pt>
                <c:pt idx="426">
                  <c:v>0.41</c:v>
                </c:pt>
                <c:pt idx="427">
                  <c:v>0.4</c:v>
                </c:pt>
                <c:pt idx="428">
                  <c:v>0.39500000000000002</c:v>
                </c:pt>
                <c:pt idx="429">
                  <c:v>0.41</c:v>
                </c:pt>
                <c:pt idx="430">
                  <c:v>0.39</c:v>
                </c:pt>
                <c:pt idx="431">
                  <c:v>0.40500000000000003</c:v>
                </c:pt>
                <c:pt idx="432">
                  <c:v>0.4</c:v>
                </c:pt>
                <c:pt idx="433">
                  <c:v>0.4</c:v>
                </c:pt>
                <c:pt idx="434">
                  <c:v>0.39</c:v>
                </c:pt>
                <c:pt idx="435">
                  <c:v>0.42</c:v>
                </c:pt>
                <c:pt idx="436">
                  <c:v>0.42499999999999999</c:v>
                </c:pt>
                <c:pt idx="437">
                  <c:v>0.40500000000000003</c:v>
                </c:pt>
                <c:pt idx="438">
                  <c:v>0.41</c:v>
                </c:pt>
                <c:pt idx="439">
                  <c:v>0.42499999999999999</c:v>
                </c:pt>
                <c:pt idx="440">
                  <c:v>0.40500000000000003</c:v>
                </c:pt>
                <c:pt idx="441">
                  <c:v>0.42499999999999999</c:v>
                </c:pt>
                <c:pt idx="442">
                  <c:v>0.41499999999999998</c:v>
                </c:pt>
                <c:pt idx="443">
                  <c:v>0.41499999999999998</c:v>
                </c:pt>
                <c:pt idx="444">
                  <c:v>0.41499999999999998</c:v>
                </c:pt>
                <c:pt idx="445">
                  <c:v>0.42499999999999999</c:v>
                </c:pt>
                <c:pt idx="446">
                  <c:v>0.42</c:v>
                </c:pt>
                <c:pt idx="447">
                  <c:v>0.4</c:v>
                </c:pt>
                <c:pt idx="448">
                  <c:v>0.42</c:v>
                </c:pt>
                <c:pt idx="449">
                  <c:v>0.42499999999999999</c:v>
                </c:pt>
                <c:pt idx="450">
                  <c:v>0.42499999999999999</c:v>
                </c:pt>
                <c:pt idx="451">
                  <c:v>0.435</c:v>
                </c:pt>
                <c:pt idx="452">
                  <c:v>0.4</c:v>
                </c:pt>
                <c:pt idx="453">
                  <c:v>0.44</c:v>
                </c:pt>
                <c:pt idx="454">
                  <c:v>0.42499999999999999</c:v>
                </c:pt>
                <c:pt idx="455">
                  <c:v>0.41</c:v>
                </c:pt>
                <c:pt idx="456">
                  <c:v>0.41</c:v>
                </c:pt>
                <c:pt idx="457">
                  <c:v>0.43</c:v>
                </c:pt>
                <c:pt idx="458">
                  <c:v>0.43</c:v>
                </c:pt>
                <c:pt idx="459">
                  <c:v>0.41499999999999998</c:v>
                </c:pt>
                <c:pt idx="460">
                  <c:v>0.42499999999999999</c:v>
                </c:pt>
                <c:pt idx="461">
                  <c:v>0.43</c:v>
                </c:pt>
                <c:pt idx="462">
                  <c:v>0.44</c:v>
                </c:pt>
                <c:pt idx="463">
                  <c:v>0.41499999999999998</c:v>
                </c:pt>
                <c:pt idx="464">
                  <c:v>0.435</c:v>
                </c:pt>
                <c:pt idx="465">
                  <c:v>0.42</c:v>
                </c:pt>
                <c:pt idx="466">
                  <c:v>0.43</c:v>
                </c:pt>
                <c:pt idx="467">
                  <c:v>0.43</c:v>
                </c:pt>
                <c:pt idx="468">
                  <c:v>0.435</c:v>
                </c:pt>
                <c:pt idx="469">
                  <c:v>0.41</c:v>
                </c:pt>
                <c:pt idx="470">
                  <c:v>0.45</c:v>
                </c:pt>
                <c:pt idx="471">
                  <c:v>0.44</c:v>
                </c:pt>
                <c:pt idx="472">
                  <c:v>0.435</c:v>
                </c:pt>
                <c:pt idx="473">
                  <c:v>0.44</c:v>
                </c:pt>
                <c:pt idx="474">
                  <c:v>0.39500000000000002</c:v>
                </c:pt>
                <c:pt idx="475">
                  <c:v>0.42</c:v>
                </c:pt>
                <c:pt idx="476">
                  <c:v>0.43</c:v>
                </c:pt>
                <c:pt idx="477">
                  <c:v>0.45</c:v>
                </c:pt>
                <c:pt idx="478">
                  <c:v>0.435</c:v>
                </c:pt>
                <c:pt idx="479">
                  <c:v>0.42499999999999999</c:v>
                </c:pt>
                <c:pt idx="480">
                  <c:v>0.435</c:v>
                </c:pt>
                <c:pt idx="481">
                  <c:v>0.44</c:v>
                </c:pt>
                <c:pt idx="482">
                  <c:v>0.435</c:v>
                </c:pt>
                <c:pt idx="483">
                  <c:v>0.435</c:v>
                </c:pt>
                <c:pt idx="484">
                  <c:v>0.43</c:v>
                </c:pt>
                <c:pt idx="485">
                  <c:v>0.46500000000000002</c:v>
                </c:pt>
                <c:pt idx="486">
                  <c:v>0.42499999999999999</c:v>
                </c:pt>
                <c:pt idx="487">
                  <c:v>0.43</c:v>
                </c:pt>
                <c:pt idx="488">
                  <c:v>0.43</c:v>
                </c:pt>
                <c:pt idx="489">
                  <c:v>0.44</c:v>
                </c:pt>
                <c:pt idx="490">
                  <c:v>0.45</c:v>
                </c:pt>
                <c:pt idx="491">
                  <c:v>0.45</c:v>
                </c:pt>
                <c:pt idx="492">
                  <c:v>0.43</c:v>
                </c:pt>
                <c:pt idx="493">
                  <c:v>0.42</c:v>
                </c:pt>
                <c:pt idx="494">
                  <c:v>0.41499999999999998</c:v>
                </c:pt>
                <c:pt idx="495">
                  <c:v>0.42499999999999999</c:v>
                </c:pt>
                <c:pt idx="496">
                  <c:v>0.44</c:v>
                </c:pt>
                <c:pt idx="497">
                  <c:v>0.435</c:v>
                </c:pt>
                <c:pt idx="498">
                  <c:v>0.44</c:v>
                </c:pt>
                <c:pt idx="499">
                  <c:v>0.435</c:v>
                </c:pt>
                <c:pt idx="500">
                  <c:v>0.44</c:v>
                </c:pt>
                <c:pt idx="501">
                  <c:v>0.45</c:v>
                </c:pt>
                <c:pt idx="502">
                  <c:v>0.435</c:v>
                </c:pt>
                <c:pt idx="503">
                  <c:v>0.46</c:v>
                </c:pt>
                <c:pt idx="504">
                  <c:v>0.42499999999999999</c:v>
                </c:pt>
                <c:pt idx="505">
                  <c:v>0.45</c:v>
                </c:pt>
                <c:pt idx="506">
                  <c:v>0.44</c:v>
                </c:pt>
                <c:pt idx="507">
                  <c:v>0.45500000000000002</c:v>
                </c:pt>
                <c:pt idx="508">
                  <c:v>0.42499999999999999</c:v>
                </c:pt>
                <c:pt idx="509">
                  <c:v>0.46</c:v>
                </c:pt>
                <c:pt idx="510">
                  <c:v>0.45</c:v>
                </c:pt>
                <c:pt idx="511">
                  <c:v>0.44</c:v>
                </c:pt>
                <c:pt idx="512">
                  <c:v>0.47499999999999998</c:v>
                </c:pt>
                <c:pt idx="513">
                  <c:v>0.45</c:v>
                </c:pt>
                <c:pt idx="514">
                  <c:v>0.44500000000000001</c:v>
                </c:pt>
                <c:pt idx="515">
                  <c:v>0.43</c:v>
                </c:pt>
                <c:pt idx="516">
                  <c:v>0.44500000000000001</c:v>
                </c:pt>
                <c:pt idx="517">
                  <c:v>0.44</c:v>
                </c:pt>
                <c:pt idx="518">
                  <c:v>0.45500000000000002</c:v>
                </c:pt>
                <c:pt idx="519">
                  <c:v>0.44</c:v>
                </c:pt>
                <c:pt idx="520">
                  <c:v>0.44</c:v>
                </c:pt>
                <c:pt idx="521">
                  <c:v>0.45500000000000002</c:v>
                </c:pt>
                <c:pt idx="522">
                  <c:v>0.45500000000000002</c:v>
                </c:pt>
                <c:pt idx="523">
                  <c:v>0.45</c:v>
                </c:pt>
                <c:pt idx="524">
                  <c:v>0.44500000000000001</c:v>
                </c:pt>
                <c:pt idx="525">
                  <c:v>0.45</c:v>
                </c:pt>
                <c:pt idx="526">
                  <c:v>0.44500000000000001</c:v>
                </c:pt>
                <c:pt idx="527">
                  <c:v>0.45</c:v>
                </c:pt>
                <c:pt idx="528">
                  <c:v>0.495</c:v>
                </c:pt>
                <c:pt idx="529">
                  <c:v>0.47499999999999998</c:v>
                </c:pt>
                <c:pt idx="530">
                  <c:v>0.46</c:v>
                </c:pt>
                <c:pt idx="531">
                  <c:v>0.45</c:v>
                </c:pt>
                <c:pt idx="532">
                  <c:v>0.44500000000000001</c:v>
                </c:pt>
                <c:pt idx="533">
                  <c:v>0.45500000000000002</c:v>
                </c:pt>
                <c:pt idx="534">
                  <c:v>0.45</c:v>
                </c:pt>
                <c:pt idx="535">
                  <c:v>0.45</c:v>
                </c:pt>
                <c:pt idx="536">
                  <c:v>0.45</c:v>
                </c:pt>
                <c:pt idx="537">
                  <c:v>0.46</c:v>
                </c:pt>
                <c:pt idx="538">
                  <c:v>0.44500000000000001</c:v>
                </c:pt>
                <c:pt idx="539">
                  <c:v>0.44</c:v>
                </c:pt>
                <c:pt idx="540">
                  <c:v>0.45</c:v>
                </c:pt>
                <c:pt idx="541">
                  <c:v>0.45500000000000002</c:v>
                </c:pt>
                <c:pt idx="542">
                  <c:v>0.44500000000000001</c:v>
                </c:pt>
                <c:pt idx="543">
                  <c:v>0.45</c:v>
                </c:pt>
                <c:pt idx="544">
                  <c:v>0.45</c:v>
                </c:pt>
                <c:pt idx="545">
                  <c:v>0.44</c:v>
                </c:pt>
                <c:pt idx="546">
                  <c:v>0.46500000000000002</c:v>
                </c:pt>
                <c:pt idx="547">
                  <c:v>0.45500000000000002</c:v>
                </c:pt>
                <c:pt idx="548">
                  <c:v>0.46500000000000002</c:v>
                </c:pt>
                <c:pt idx="549">
                  <c:v>0.435</c:v>
                </c:pt>
                <c:pt idx="550">
                  <c:v>0.46</c:v>
                </c:pt>
                <c:pt idx="551">
                  <c:v>0.47499999999999998</c:v>
                </c:pt>
                <c:pt idx="552">
                  <c:v>0.44500000000000001</c:v>
                </c:pt>
                <c:pt idx="553">
                  <c:v>0.47499999999999998</c:v>
                </c:pt>
                <c:pt idx="554">
                  <c:v>0.46</c:v>
                </c:pt>
                <c:pt idx="555">
                  <c:v>0.47</c:v>
                </c:pt>
                <c:pt idx="556">
                  <c:v>0.45500000000000002</c:v>
                </c:pt>
                <c:pt idx="557">
                  <c:v>0.45</c:v>
                </c:pt>
                <c:pt idx="558">
                  <c:v>0.48</c:v>
                </c:pt>
                <c:pt idx="559">
                  <c:v>0.46</c:v>
                </c:pt>
                <c:pt idx="560">
                  <c:v>0.47499999999999998</c:v>
                </c:pt>
                <c:pt idx="561">
                  <c:v>0.47</c:v>
                </c:pt>
                <c:pt idx="562">
                  <c:v>0.45</c:v>
                </c:pt>
                <c:pt idx="563">
                  <c:v>0.45</c:v>
                </c:pt>
                <c:pt idx="564">
                  <c:v>0.47</c:v>
                </c:pt>
                <c:pt idx="565">
                  <c:v>0.45</c:v>
                </c:pt>
                <c:pt idx="566">
                  <c:v>0.47</c:v>
                </c:pt>
                <c:pt idx="567">
                  <c:v>0.47499999999999998</c:v>
                </c:pt>
                <c:pt idx="568">
                  <c:v>0.47</c:v>
                </c:pt>
                <c:pt idx="569">
                  <c:v>0.46</c:v>
                </c:pt>
                <c:pt idx="570">
                  <c:v>0.45500000000000002</c:v>
                </c:pt>
                <c:pt idx="571">
                  <c:v>0.47</c:v>
                </c:pt>
                <c:pt idx="572">
                  <c:v>0.49</c:v>
                </c:pt>
                <c:pt idx="573">
                  <c:v>0.47</c:v>
                </c:pt>
                <c:pt idx="574">
                  <c:v>0.48499999999999999</c:v>
                </c:pt>
                <c:pt idx="575">
                  <c:v>0.5</c:v>
                </c:pt>
                <c:pt idx="576">
                  <c:v>0.5</c:v>
                </c:pt>
                <c:pt idx="577">
                  <c:v>0.48499999999999999</c:v>
                </c:pt>
                <c:pt idx="578">
                  <c:v>0.505</c:v>
                </c:pt>
                <c:pt idx="579">
                  <c:v>0.48</c:v>
                </c:pt>
                <c:pt idx="580">
                  <c:v>0.47</c:v>
                </c:pt>
                <c:pt idx="581">
                  <c:v>0.51</c:v>
                </c:pt>
                <c:pt idx="582">
                  <c:v>0.47499999999999998</c:v>
                </c:pt>
                <c:pt idx="583">
                  <c:v>0.495</c:v>
                </c:pt>
                <c:pt idx="584">
                  <c:v>0.48499999999999999</c:v>
                </c:pt>
                <c:pt idx="585">
                  <c:v>0.47</c:v>
                </c:pt>
                <c:pt idx="586">
                  <c:v>0.495</c:v>
                </c:pt>
                <c:pt idx="587">
                  <c:v>0.5</c:v>
                </c:pt>
                <c:pt idx="588">
                  <c:v>0.52500000000000002</c:v>
                </c:pt>
                <c:pt idx="589">
                  <c:v>0.5</c:v>
                </c:pt>
                <c:pt idx="590">
                  <c:v>0.5</c:v>
                </c:pt>
                <c:pt idx="591">
                  <c:v>0.52</c:v>
                </c:pt>
                <c:pt idx="592">
                  <c:v>0.5</c:v>
                </c:pt>
                <c:pt idx="593">
                  <c:v>0.51500000000000001</c:v>
                </c:pt>
                <c:pt idx="594">
                  <c:v>0.54</c:v>
                </c:pt>
                <c:pt idx="595">
                  <c:v>0.51</c:v>
                </c:pt>
                <c:pt idx="596">
                  <c:v>0.54500000000000004</c:v>
                </c:pt>
                <c:pt idx="597">
                  <c:v>0.52500000000000002</c:v>
                </c:pt>
                <c:pt idx="598">
                  <c:v>0.54</c:v>
                </c:pt>
                <c:pt idx="599">
                  <c:v>0.54</c:v>
                </c:pt>
                <c:pt idx="600">
                  <c:v>0.54</c:v>
                </c:pt>
                <c:pt idx="601">
                  <c:v>0.55500000000000005</c:v>
                </c:pt>
                <c:pt idx="602">
                  <c:v>0.58499999999999996</c:v>
                </c:pt>
                <c:pt idx="603">
                  <c:v>0.55500000000000005</c:v>
                </c:pt>
                <c:pt idx="604">
                  <c:v>0.63</c:v>
                </c:pt>
                <c:pt idx="605">
                  <c:v>0.59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7D9-C849-B7D3-A04B473F0829}"/>
            </c:ext>
          </c:extLst>
        </c:ser>
        <c:ser>
          <c:idx val="3"/>
          <c:order val="3"/>
          <c:tx>
            <c:strRef>
              <c:f>'Ecomonic Values'!$E$24</c:f>
              <c:strCache>
                <c:ptCount val="1"/>
                <c:pt idx="0">
                  <c:v>Sum of Height</c:v>
                </c:pt>
              </c:strCache>
            </c:strRef>
          </c:tx>
          <c:spPr>
            <a:noFill/>
            <a:ln w="9525" cap="flat" cmpd="sng" algn="ctr">
              <a:solidFill>
                <a:schemeClr val="accent4"/>
              </a:solidFill>
              <a:miter lim="800000"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'Ecomonic Values'!$A$25:$A$631</c:f>
              <c:strCache>
                <c:ptCount val="606"/>
                <c:pt idx="0">
                  <c:v>0.619489</c:v>
                </c:pt>
                <c:pt idx="1">
                  <c:v>0.620692</c:v>
                </c:pt>
                <c:pt idx="2">
                  <c:v>0.628516666666667</c:v>
                </c:pt>
                <c:pt idx="3">
                  <c:v>0.6308</c:v>
                </c:pt>
                <c:pt idx="4">
                  <c:v>0.6311</c:v>
                </c:pt>
                <c:pt idx="5">
                  <c:v>0.634939333333333</c:v>
                </c:pt>
                <c:pt idx="6">
                  <c:v>0.636157333333333</c:v>
                </c:pt>
                <c:pt idx="7">
                  <c:v>0.638656</c:v>
                </c:pt>
                <c:pt idx="8">
                  <c:v>0.63878</c:v>
                </c:pt>
                <c:pt idx="9">
                  <c:v>0.638848</c:v>
                </c:pt>
                <c:pt idx="10">
                  <c:v>0.644037333333333</c:v>
                </c:pt>
                <c:pt idx="11">
                  <c:v>0.650225</c:v>
                </c:pt>
                <c:pt idx="12">
                  <c:v>0.650465</c:v>
                </c:pt>
                <c:pt idx="13">
                  <c:v>0.652734666666667</c:v>
                </c:pt>
                <c:pt idx="14">
                  <c:v>0.655434</c:v>
                </c:pt>
                <c:pt idx="15">
                  <c:v>0.655447333333333</c:v>
                </c:pt>
                <c:pt idx="16">
                  <c:v>0.659883666666667</c:v>
                </c:pt>
                <c:pt idx="17">
                  <c:v>0.662998666666667</c:v>
                </c:pt>
                <c:pt idx="18">
                  <c:v>0.667696333333333</c:v>
                </c:pt>
                <c:pt idx="19">
                  <c:v>0.673026666666667</c:v>
                </c:pt>
                <c:pt idx="20">
                  <c:v>0.679512</c:v>
                </c:pt>
                <c:pt idx="21">
                  <c:v>0.682043666666667</c:v>
                </c:pt>
                <c:pt idx="22">
                  <c:v>0.682292</c:v>
                </c:pt>
                <c:pt idx="23">
                  <c:v>0.682411666666667</c:v>
                </c:pt>
                <c:pt idx="24">
                  <c:v>0.683211666666667</c:v>
                </c:pt>
                <c:pt idx="25">
                  <c:v>0.683488666666667</c:v>
                </c:pt>
                <c:pt idx="26">
                  <c:v>0.684096</c:v>
                </c:pt>
                <c:pt idx="27">
                  <c:v>0.684112333333333</c:v>
                </c:pt>
                <c:pt idx="28">
                  <c:v>0.685708666666667</c:v>
                </c:pt>
                <c:pt idx="29">
                  <c:v>0.686368</c:v>
                </c:pt>
                <c:pt idx="30">
                  <c:v>0.68771</c:v>
                </c:pt>
                <c:pt idx="31">
                  <c:v>0.689612</c:v>
                </c:pt>
                <c:pt idx="32">
                  <c:v>0.6904</c:v>
                </c:pt>
                <c:pt idx="33">
                  <c:v>0.690624</c:v>
                </c:pt>
                <c:pt idx="34">
                  <c:v>0.690973333333333</c:v>
                </c:pt>
                <c:pt idx="35">
                  <c:v>0.691266666666667</c:v>
                </c:pt>
                <c:pt idx="36">
                  <c:v>0.691789333333333</c:v>
                </c:pt>
                <c:pt idx="37">
                  <c:v>0.692277333333333</c:v>
                </c:pt>
                <c:pt idx="38">
                  <c:v>0.693312</c:v>
                </c:pt>
                <c:pt idx="39">
                  <c:v>0.693796</c:v>
                </c:pt>
                <c:pt idx="40">
                  <c:v>0.694099333333333</c:v>
                </c:pt>
                <c:pt idx="41">
                  <c:v>0.694799333333333</c:v>
                </c:pt>
                <c:pt idx="42">
                  <c:v>0.695319</c:v>
                </c:pt>
                <c:pt idx="43">
                  <c:v>0.695923333333333</c:v>
                </c:pt>
                <c:pt idx="44">
                  <c:v>0.697055</c:v>
                </c:pt>
                <c:pt idx="45">
                  <c:v>0.698186666666667</c:v>
                </c:pt>
                <c:pt idx="46">
                  <c:v>0.699466666666667</c:v>
                </c:pt>
                <c:pt idx="47">
                  <c:v>0.699896666666667</c:v>
                </c:pt>
                <c:pt idx="48">
                  <c:v>0.700022</c:v>
                </c:pt>
                <c:pt idx="49">
                  <c:v>0.700231666666667</c:v>
                </c:pt>
                <c:pt idx="50">
                  <c:v>0.70052</c:v>
                </c:pt>
                <c:pt idx="51">
                  <c:v>0.701098333333333</c:v>
                </c:pt>
                <c:pt idx="52">
                  <c:v>0.701664</c:v>
                </c:pt>
                <c:pt idx="53">
                  <c:v>0.702193333333333</c:v>
                </c:pt>
                <c:pt idx="54">
                  <c:v>0.702563333333333</c:v>
                </c:pt>
                <c:pt idx="55">
                  <c:v>0.703306333333333</c:v>
                </c:pt>
                <c:pt idx="56">
                  <c:v>0.703831333333333</c:v>
                </c:pt>
                <c:pt idx="57">
                  <c:v>0.703904</c:v>
                </c:pt>
                <c:pt idx="58">
                  <c:v>0.70394</c:v>
                </c:pt>
                <c:pt idx="59">
                  <c:v>0.703978666666667</c:v>
                </c:pt>
                <c:pt idx="60">
                  <c:v>0.704058333333333</c:v>
                </c:pt>
                <c:pt idx="61">
                  <c:v>0.706151333333333</c:v>
                </c:pt>
                <c:pt idx="62">
                  <c:v>0.706465</c:v>
                </c:pt>
                <c:pt idx="63">
                  <c:v>0.708746666666667</c:v>
                </c:pt>
                <c:pt idx="64">
                  <c:v>0.710986666666667</c:v>
                </c:pt>
                <c:pt idx="65">
                  <c:v>0.711466666666667</c:v>
                </c:pt>
                <c:pt idx="66">
                  <c:v>0.712090333333333</c:v>
                </c:pt>
                <c:pt idx="67">
                  <c:v>0.713679333333333</c:v>
                </c:pt>
                <c:pt idx="68">
                  <c:v>0.713955333333333</c:v>
                </c:pt>
                <c:pt idx="69">
                  <c:v>0.715358666666667</c:v>
                </c:pt>
                <c:pt idx="70">
                  <c:v>0.715857333333333</c:v>
                </c:pt>
                <c:pt idx="71">
                  <c:v>0.715918666666667</c:v>
                </c:pt>
                <c:pt idx="72">
                  <c:v>0.715988666666667</c:v>
                </c:pt>
                <c:pt idx="73">
                  <c:v>0.716332666666667</c:v>
                </c:pt>
                <c:pt idx="74">
                  <c:v>0.716663333333333</c:v>
                </c:pt>
                <c:pt idx="75">
                  <c:v>0.716713</c:v>
                </c:pt>
                <c:pt idx="76">
                  <c:v>0.716839333333333</c:v>
                </c:pt>
                <c:pt idx="77">
                  <c:v>0.718463333333333</c:v>
                </c:pt>
                <c:pt idx="78">
                  <c:v>0.718707666666667</c:v>
                </c:pt>
                <c:pt idx="79">
                  <c:v>0.718975</c:v>
                </c:pt>
                <c:pt idx="80">
                  <c:v>0.7191</c:v>
                </c:pt>
                <c:pt idx="81">
                  <c:v>0.719423333333333</c:v>
                </c:pt>
                <c:pt idx="82">
                  <c:v>0.719735</c:v>
                </c:pt>
                <c:pt idx="83">
                  <c:v>0.719866666666667</c:v>
                </c:pt>
                <c:pt idx="84">
                  <c:v>0.720208666666667</c:v>
                </c:pt>
                <c:pt idx="85">
                  <c:v>0.72048</c:v>
                </c:pt>
                <c:pt idx="86">
                  <c:v>0.720723333333333</c:v>
                </c:pt>
                <c:pt idx="87">
                  <c:v>0.720974</c:v>
                </c:pt>
                <c:pt idx="88">
                  <c:v>0.721682333333333</c:v>
                </c:pt>
                <c:pt idx="89">
                  <c:v>0.722731333333333</c:v>
                </c:pt>
                <c:pt idx="90">
                  <c:v>0.722783333333333</c:v>
                </c:pt>
                <c:pt idx="91">
                  <c:v>0.722999333333333</c:v>
                </c:pt>
                <c:pt idx="92">
                  <c:v>0.723309</c:v>
                </c:pt>
                <c:pt idx="93">
                  <c:v>0.723702666666667</c:v>
                </c:pt>
                <c:pt idx="94">
                  <c:v>0.724033333333333</c:v>
                </c:pt>
                <c:pt idx="95">
                  <c:v>0.724093333333333</c:v>
                </c:pt>
                <c:pt idx="96">
                  <c:v>0.724322666666667</c:v>
                </c:pt>
                <c:pt idx="97">
                  <c:v>0.724406666666667</c:v>
                </c:pt>
                <c:pt idx="98">
                  <c:v>0.724427333333333</c:v>
                </c:pt>
                <c:pt idx="99">
                  <c:v>0.724479666666667</c:v>
                </c:pt>
                <c:pt idx="100">
                  <c:v>0.72466</c:v>
                </c:pt>
                <c:pt idx="101">
                  <c:v>0.725480666666667</c:v>
                </c:pt>
                <c:pt idx="102">
                  <c:v>0.725833333333333</c:v>
                </c:pt>
                <c:pt idx="103">
                  <c:v>0.725874</c:v>
                </c:pt>
                <c:pt idx="104">
                  <c:v>0.726246666666667</c:v>
                </c:pt>
                <c:pt idx="105">
                  <c:v>0.726293333333333</c:v>
                </c:pt>
                <c:pt idx="106">
                  <c:v>0.72644</c:v>
                </c:pt>
                <c:pt idx="107">
                  <c:v>0.7265</c:v>
                </c:pt>
                <c:pt idx="108">
                  <c:v>0.726933333333333</c:v>
                </c:pt>
                <c:pt idx="109">
                  <c:v>0.727316333333333</c:v>
                </c:pt>
                <c:pt idx="110">
                  <c:v>0.727379333333333</c:v>
                </c:pt>
                <c:pt idx="111">
                  <c:v>0.728418666666667</c:v>
                </c:pt>
                <c:pt idx="112">
                  <c:v>0.729069666666667</c:v>
                </c:pt>
                <c:pt idx="113">
                  <c:v>0.729694</c:v>
                </c:pt>
                <c:pt idx="114">
                  <c:v>0.729953333333333</c:v>
                </c:pt>
                <c:pt idx="115">
                  <c:v>0.730131666666667</c:v>
                </c:pt>
                <c:pt idx="116">
                  <c:v>0.730304</c:v>
                </c:pt>
                <c:pt idx="117">
                  <c:v>0.730961</c:v>
                </c:pt>
                <c:pt idx="118">
                  <c:v>0.73166</c:v>
                </c:pt>
                <c:pt idx="119">
                  <c:v>0.73228</c:v>
                </c:pt>
                <c:pt idx="120">
                  <c:v>0.732433333333333</c:v>
                </c:pt>
                <c:pt idx="121">
                  <c:v>0.73253</c:v>
                </c:pt>
                <c:pt idx="122">
                  <c:v>0.733067333333333</c:v>
                </c:pt>
                <c:pt idx="123">
                  <c:v>0.73334</c:v>
                </c:pt>
                <c:pt idx="124">
                  <c:v>0.73368</c:v>
                </c:pt>
                <c:pt idx="125">
                  <c:v>0.73376</c:v>
                </c:pt>
                <c:pt idx="126">
                  <c:v>0.733987333333333</c:v>
                </c:pt>
                <c:pt idx="127">
                  <c:v>0.734152</c:v>
                </c:pt>
                <c:pt idx="128">
                  <c:v>0.73434</c:v>
                </c:pt>
                <c:pt idx="129">
                  <c:v>0.734582666666667</c:v>
                </c:pt>
                <c:pt idx="130">
                  <c:v>0.734876</c:v>
                </c:pt>
                <c:pt idx="131">
                  <c:v>0.735253</c:v>
                </c:pt>
                <c:pt idx="132">
                  <c:v>0.735526</c:v>
                </c:pt>
                <c:pt idx="133">
                  <c:v>0.735574666666667</c:v>
                </c:pt>
                <c:pt idx="134">
                  <c:v>0.736146666666667</c:v>
                </c:pt>
                <c:pt idx="135">
                  <c:v>0.736738333333333</c:v>
                </c:pt>
                <c:pt idx="136">
                  <c:v>0.737026666666667</c:v>
                </c:pt>
                <c:pt idx="137">
                  <c:v>0.737766666666667</c:v>
                </c:pt>
                <c:pt idx="138">
                  <c:v>0.737820333333333</c:v>
                </c:pt>
                <c:pt idx="139">
                  <c:v>0.738053333333333</c:v>
                </c:pt>
                <c:pt idx="140">
                  <c:v>0.738350666666667</c:v>
                </c:pt>
                <c:pt idx="141">
                  <c:v>0.738351333333333</c:v>
                </c:pt>
                <c:pt idx="142">
                  <c:v>0.738366666666667</c:v>
                </c:pt>
                <c:pt idx="143">
                  <c:v>0.738613333333333</c:v>
                </c:pt>
                <c:pt idx="144">
                  <c:v>0.739472333333333</c:v>
                </c:pt>
                <c:pt idx="145">
                  <c:v>0.739570666666667</c:v>
                </c:pt>
                <c:pt idx="146">
                  <c:v>0.739673333333333</c:v>
                </c:pt>
                <c:pt idx="147">
                  <c:v>0.739964</c:v>
                </c:pt>
                <c:pt idx="148">
                  <c:v>0.740920666666667</c:v>
                </c:pt>
                <c:pt idx="149">
                  <c:v>0.741333333333333</c:v>
                </c:pt>
                <c:pt idx="150">
                  <c:v>0.741442666666667</c:v>
                </c:pt>
                <c:pt idx="151">
                  <c:v>0.741558</c:v>
                </c:pt>
                <c:pt idx="152">
                  <c:v>0.742018666666667</c:v>
                </c:pt>
                <c:pt idx="153">
                  <c:v>0.742253333333333</c:v>
                </c:pt>
                <c:pt idx="154">
                  <c:v>0.742853</c:v>
                </c:pt>
                <c:pt idx="155">
                  <c:v>0.74302</c:v>
                </c:pt>
                <c:pt idx="156">
                  <c:v>0.743316666666667</c:v>
                </c:pt>
                <c:pt idx="157">
                  <c:v>0.743558666666667</c:v>
                </c:pt>
                <c:pt idx="158">
                  <c:v>0.743766666666667</c:v>
                </c:pt>
                <c:pt idx="159">
                  <c:v>0.743807333333333</c:v>
                </c:pt>
                <c:pt idx="160">
                  <c:v>0.744473333333333</c:v>
                </c:pt>
                <c:pt idx="161">
                  <c:v>0.74458</c:v>
                </c:pt>
                <c:pt idx="162">
                  <c:v>0.744607666666667</c:v>
                </c:pt>
                <c:pt idx="163">
                  <c:v>0.744813333333333</c:v>
                </c:pt>
                <c:pt idx="164">
                  <c:v>0.745114666666667</c:v>
                </c:pt>
                <c:pt idx="165">
                  <c:v>0.745214666666667</c:v>
                </c:pt>
                <c:pt idx="166">
                  <c:v>0.745624</c:v>
                </c:pt>
                <c:pt idx="167">
                  <c:v>0.745905333333333</c:v>
                </c:pt>
                <c:pt idx="168">
                  <c:v>0.745981333333333</c:v>
                </c:pt>
                <c:pt idx="169">
                  <c:v>0.746225</c:v>
                </c:pt>
                <c:pt idx="170">
                  <c:v>0.746378666666667</c:v>
                </c:pt>
                <c:pt idx="171">
                  <c:v>0.747146666666667</c:v>
                </c:pt>
                <c:pt idx="172">
                  <c:v>0.747202666666667</c:v>
                </c:pt>
                <c:pt idx="173">
                  <c:v>0.747662666666667</c:v>
                </c:pt>
                <c:pt idx="174">
                  <c:v>0.747703666666667</c:v>
                </c:pt>
                <c:pt idx="175">
                  <c:v>0.747742666666667</c:v>
                </c:pt>
                <c:pt idx="176">
                  <c:v>0.747752</c:v>
                </c:pt>
                <c:pt idx="177">
                  <c:v>0.748026666666667</c:v>
                </c:pt>
                <c:pt idx="178">
                  <c:v>0.748030666666667</c:v>
                </c:pt>
                <c:pt idx="179">
                  <c:v>0.748623333333333</c:v>
                </c:pt>
                <c:pt idx="180">
                  <c:v>0.74865</c:v>
                </c:pt>
                <c:pt idx="181">
                  <c:v>0.748926333333333</c:v>
                </c:pt>
                <c:pt idx="182">
                  <c:v>0.748966666666667</c:v>
                </c:pt>
                <c:pt idx="183">
                  <c:v>0.74949</c:v>
                </c:pt>
                <c:pt idx="184">
                  <c:v>0.749888</c:v>
                </c:pt>
                <c:pt idx="185">
                  <c:v>0.750051666666667</c:v>
                </c:pt>
                <c:pt idx="186">
                  <c:v>0.750345666666667</c:v>
                </c:pt>
                <c:pt idx="187">
                  <c:v>0.750562666666667</c:v>
                </c:pt>
                <c:pt idx="188">
                  <c:v>0.75064</c:v>
                </c:pt>
                <c:pt idx="189">
                  <c:v>0.751152</c:v>
                </c:pt>
                <c:pt idx="190">
                  <c:v>0.751190666666667</c:v>
                </c:pt>
                <c:pt idx="191">
                  <c:v>0.751208666666667</c:v>
                </c:pt>
                <c:pt idx="192">
                  <c:v>0.751648</c:v>
                </c:pt>
                <c:pt idx="193">
                  <c:v>0.751882666666667</c:v>
                </c:pt>
                <c:pt idx="194">
                  <c:v>0.752824</c:v>
                </c:pt>
                <c:pt idx="195">
                  <c:v>0.752925</c:v>
                </c:pt>
                <c:pt idx="196">
                  <c:v>0.752938</c:v>
                </c:pt>
                <c:pt idx="197">
                  <c:v>0.752964666666667</c:v>
                </c:pt>
                <c:pt idx="198">
                  <c:v>0.753112666666667</c:v>
                </c:pt>
                <c:pt idx="199">
                  <c:v>0.753152</c:v>
                </c:pt>
                <c:pt idx="200">
                  <c:v>0.753525333333333</c:v>
                </c:pt>
                <c:pt idx="201">
                  <c:v>0.753682666666667</c:v>
                </c:pt>
                <c:pt idx="202">
                  <c:v>0.753826666666667</c:v>
                </c:pt>
                <c:pt idx="203">
                  <c:v>0.753946666666667</c:v>
                </c:pt>
                <c:pt idx="204">
                  <c:v>0.753955</c:v>
                </c:pt>
                <c:pt idx="205">
                  <c:v>0.754380333333333</c:v>
                </c:pt>
                <c:pt idx="206">
                  <c:v>0.754453333333333</c:v>
                </c:pt>
                <c:pt idx="207">
                  <c:v>0.755032</c:v>
                </c:pt>
                <c:pt idx="208">
                  <c:v>0.755296666666667</c:v>
                </c:pt>
                <c:pt idx="209">
                  <c:v>0.75548</c:v>
                </c:pt>
                <c:pt idx="210">
                  <c:v>0.755746666666667</c:v>
                </c:pt>
                <c:pt idx="211">
                  <c:v>0.755814333333333</c:v>
                </c:pt>
                <c:pt idx="212">
                  <c:v>0.755835</c:v>
                </c:pt>
                <c:pt idx="213">
                  <c:v>0.755843333333333</c:v>
                </c:pt>
                <c:pt idx="214">
                  <c:v>0.755861333333333</c:v>
                </c:pt>
                <c:pt idx="215">
                  <c:v>0.756262</c:v>
                </c:pt>
                <c:pt idx="216">
                  <c:v>0.756356666666667</c:v>
                </c:pt>
                <c:pt idx="217">
                  <c:v>0.756450666666667</c:v>
                </c:pt>
                <c:pt idx="218">
                  <c:v>0.756475</c:v>
                </c:pt>
                <c:pt idx="219">
                  <c:v>0.756773333333333</c:v>
                </c:pt>
                <c:pt idx="220">
                  <c:v>0.756957333333333</c:v>
                </c:pt>
                <c:pt idx="221">
                  <c:v>0.757189333333333</c:v>
                </c:pt>
                <c:pt idx="222">
                  <c:v>0.7572</c:v>
                </c:pt>
                <c:pt idx="223">
                  <c:v>0.757292666666667</c:v>
                </c:pt>
                <c:pt idx="224">
                  <c:v>0.757382666666667</c:v>
                </c:pt>
                <c:pt idx="225">
                  <c:v>0.757454333333333</c:v>
                </c:pt>
                <c:pt idx="226">
                  <c:v>0.757661333333333</c:v>
                </c:pt>
                <c:pt idx="227">
                  <c:v>0.757685</c:v>
                </c:pt>
                <c:pt idx="228">
                  <c:v>0.757856</c:v>
                </c:pt>
                <c:pt idx="229">
                  <c:v>0.75852</c:v>
                </c:pt>
                <c:pt idx="230">
                  <c:v>0.75861</c:v>
                </c:pt>
                <c:pt idx="231">
                  <c:v>0.758633333333333</c:v>
                </c:pt>
                <c:pt idx="232">
                  <c:v>0.758721333333333</c:v>
                </c:pt>
                <c:pt idx="233">
                  <c:v>0.758894</c:v>
                </c:pt>
                <c:pt idx="234">
                  <c:v>0.759801333333333</c:v>
                </c:pt>
                <c:pt idx="235">
                  <c:v>0.760160666666667</c:v>
                </c:pt>
                <c:pt idx="236">
                  <c:v>0.760207666666667</c:v>
                </c:pt>
                <c:pt idx="237">
                  <c:v>0.760597666666667</c:v>
                </c:pt>
                <c:pt idx="238">
                  <c:v>0.760628333333333</c:v>
                </c:pt>
                <c:pt idx="239">
                  <c:v>0.760683666666667</c:v>
                </c:pt>
                <c:pt idx="240">
                  <c:v>0.760746</c:v>
                </c:pt>
                <c:pt idx="241">
                  <c:v>0.760880666666667</c:v>
                </c:pt>
                <c:pt idx="242">
                  <c:v>0.760938666666667</c:v>
                </c:pt>
                <c:pt idx="243">
                  <c:v>0.761286666666667</c:v>
                </c:pt>
                <c:pt idx="244">
                  <c:v>0.761334666666667</c:v>
                </c:pt>
                <c:pt idx="245">
                  <c:v>0.761416</c:v>
                </c:pt>
                <c:pt idx="246">
                  <c:v>0.761536666666667</c:v>
                </c:pt>
                <c:pt idx="247">
                  <c:v>0.761703333333333</c:v>
                </c:pt>
                <c:pt idx="248">
                  <c:v>0.761890666666667</c:v>
                </c:pt>
                <c:pt idx="249">
                  <c:v>0.762020666666667</c:v>
                </c:pt>
                <c:pt idx="250">
                  <c:v>0.762210666666667</c:v>
                </c:pt>
                <c:pt idx="251">
                  <c:v>0.762221333333333</c:v>
                </c:pt>
                <c:pt idx="252">
                  <c:v>0.762374666666667</c:v>
                </c:pt>
                <c:pt idx="253">
                  <c:v>0.762492</c:v>
                </c:pt>
                <c:pt idx="254">
                  <c:v>0.762513333333333</c:v>
                </c:pt>
                <c:pt idx="255">
                  <c:v>0.762778666666667</c:v>
                </c:pt>
                <c:pt idx="256">
                  <c:v>0.762925333333333</c:v>
                </c:pt>
                <c:pt idx="257">
                  <c:v>0.762957</c:v>
                </c:pt>
                <c:pt idx="258">
                  <c:v>0.763084</c:v>
                </c:pt>
                <c:pt idx="259">
                  <c:v>0.763394</c:v>
                </c:pt>
                <c:pt idx="260">
                  <c:v>0.763518666666667</c:v>
                </c:pt>
                <c:pt idx="261">
                  <c:v>0.763576</c:v>
                </c:pt>
                <c:pt idx="262">
                  <c:v>0.763587333333333</c:v>
                </c:pt>
                <c:pt idx="263">
                  <c:v>0.76378</c:v>
                </c:pt>
                <c:pt idx="264">
                  <c:v>0.764412</c:v>
                </c:pt>
                <c:pt idx="265">
                  <c:v>0.764553333333333</c:v>
                </c:pt>
                <c:pt idx="266">
                  <c:v>0.764672666666667</c:v>
                </c:pt>
                <c:pt idx="267">
                  <c:v>0.764751</c:v>
                </c:pt>
                <c:pt idx="268">
                  <c:v>0.764865333333333</c:v>
                </c:pt>
                <c:pt idx="269">
                  <c:v>0.76519</c:v>
                </c:pt>
                <c:pt idx="270">
                  <c:v>0.765526666666667</c:v>
                </c:pt>
                <c:pt idx="271">
                  <c:v>0.765636</c:v>
                </c:pt>
                <c:pt idx="272">
                  <c:v>0.765651</c:v>
                </c:pt>
                <c:pt idx="273">
                  <c:v>0.76592</c:v>
                </c:pt>
                <c:pt idx="274">
                  <c:v>0.765992</c:v>
                </c:pt>
                <c:pt idx="275">
                  <c:v>0.766126666666667</c:v>
                </c:pt>
                <c:pt idx="276">
                  <c:v>0.766193666666667</c:v>
                </c:pt>
                <c:pt idx="277">
                  <c:v>0.766235333333333</c:v>
                </c:pt>
                <c:pt idx="278">
                  <c:v>0.766306333333333</c:v>
                </c:pt>
                <c:pt idx="279">
                  <c:v>0.766434666666667</c:v>
                </c:pt>
                <c:pt idx="280">
                  <c:v>0.766435</c:v>
                </c:pt>
                <c:pt idx="281">
                  <c:v>0.766656</c:v>
                </c:pt>
                <c:pt idx="282">
                  <c:v>0.766868</c:v>
                </c:pt>
                <c:pt idx="283">
                  <c:v>0.766887666666667</c:v>
                </c:pt>
                <c:pt idx="284">
                  <c:v>0.766893333333333</c:v>
                </c:pt>
                <c:pt idx="285">
                  <c:v>0.767158</c:v>
                </c:pt>
                <c:pt idx="286">
                  <c:v>0.767181666666667</c:v>
                </c:pt>
                <c:pt idx="287">
                  <c:v>0.767314</c:v>
                </c:pt>
                <c:pt idx="288">
                  <c:v>0.76735</c:v>
                </c:pt>
                <c:pt idx="289">
                  <c:v>0.767377333333333</c:v>
                </c:pt>
                <c:pt idx="290">
                  <c:v>0.767477333333333</c:v>
                </c:pt>
                <c:pt idx="291">
                  <c:v>0.767643333333333</c:v>
                </c:pt>
                <c:pt idx="292">
                  <c:v>0.767818666666667</c:v>
                </c:pt>
                <c:pt idx="293">
                  <c:v>0.76795</c:v>
                </c:pt>
                <c:pt idx="294">
                  <c:v>0.768153333333333</c:v>
                </c:pt>
                <c:pt idx="295">
                  <c:v>0.768338333333333</c:v>
                </c:pt>
                <c:pt idx="296">
                  <c:v>0.768352</c:v>
                </c:pt>
                <c:pt idx="297">
                  <c:v>0.768530666666667</c:v>
                </c:pt>
                <c:pt idx="298">
                  <c:v>0.768742666666667</c:v>
                </c:pt>
                <c:pt idx="299">
                  <c:v>0.768983333333333</c:v>
                </c:pt>
                <c:pt idx="300">
                  <c:v>0.76904</c:v>
                </c:pt>
                <c:pt idx="301">
                  <c:v>0.769126333333333</c:v>
                </c:pt>
                <c:pt idx="302">
                  <c:v>0.769324333333333</c:v>
                </c:pt>
                <c:pt idx="303">
                  <c:v>0.769407333333333</c:v>
                </c:pt>
                <c:pt idx="304">
                  <c:v>0.769688</c:v>
                </c:pt>
                <c:pt idx="305">
                  <c:v>0.769817</c:v>
                </c:pt>
                <c:pt idx="306">
                  <c:v>0.769865333333333</c:v>
                </c:pt>
                <c:pt idx="307">
                  <c:v>0.770441333333333</c:v>
                </c:pt>
                <c:pt idx="308">
                  <c:v>0.770616666666667</c:v>
                </c:pt>
                <c:pt idx="309">
                  <c:v>0.770677333333333</c:v>
                </c:pt>
                <c:pt idx="310">
                  <c:v>0.770742333333333</c:v>
                </c:pt>
                <c:pt idx="311">
                  <c:v>0.770837333333333</c:v>
                </c:pt>
                <c:pt idx="312">
                  <c:v>0.771046666666667</c:v>
                </c:pt>
                <c:pt idx="313">
                  <c:v>0.771083333333333</c:v>
                </c:pt>
                <c:pt idx="314">
                  <c:v>0.771091</c:v>
                </c:pt>
                <c:pt idx="315">
                  <c:v>0.771108</c:v>
                </c:pt>
                <c:pt idx="316">
                  <c:v>0.771536</c:v>
                </c:pt>
                <c:pt idx="317">
                  <c:v>0.771663333333333</c:v>
                </c:pt>
                <c:pt idx="318">
                  <c:v>0.771713333333333</c:v>
                </c:pt>
                <c:pt idx="319">
                  <c:v>0.771779</c:v>
                </c:pt>
                <c:pt idx="320">
                  <c:v>0.7721</c:v>
                </c:pt>
                <c:pt idx="321">
                  <c:v>0.772283</c:v>
                </c:pt>
                <c:pt idx="322">
                  <c:v>0.772341333333333</c:v>
                </c:pt>
                <c:pt idx="323">
                  <c:v>0.772394666666667</c:v>
                </c:pt>
                <c:pt idx="324">
                  <c:v>0.772574</c:v>
                </c:pt>
                <c:pt idx="325">
                  <c:v>0.772596</c:v>
                </c:pt>
                <c:pt idx="326">
                  <c:v>0.772844</c:v>
                </c:pt>
                <c:pt idx="327">
                  <c:v>0.77286</c:v>
                </c:pt>
                <c:pt idx="328">
                  <c:v>0.772883666666667</c:v>
                </c:pt>
                <c:pt idx="329">
                  <c:v>0.772994</c:v>
                </c:pt>
                <c:pt idx="330">
                  <c:v>0.7731</c:v>
                </c:pt>
                <c:pt idx="331">
                  <c:v>0.773118666666667</c:v>
                </c:pt>
                <c:pt idx="332">
                  <c:v>0.773144</c:v>
                </c:pt>
                <c:pt idx="333">
                  <c:v>0.77351</c:v>
                </c:pt>
                <c:pt idx="334">
                  <c:v>0.773551666666667</c:v>
                </c:pt>
                <c:pt idx="335">
                  <c:v>0.773554</c:v>
                </c:pt>
                <c:pt idx="336">
                  <c:v>0.773584</c:v>
                </c:pt>
                <c:pt idx="337">
                  <c:v>0.773678666666667</c:v>
                </c:pt>
                <c:pt idx="338">
                  <c:v>0.77382</c:v>
                </c:pt>
                <c:pt idx="339">
                  <c:v>0.773824</c:v>
                </c:pt>
                <c:pt idx="340">
                  <c:v>0.773844333333333</c:v>
                </c:pt>
                <c:pt idx="341">
                  <c:v>0.773866</c:v>
                </c:pt>
                <c:pt idx="342">
                  <c:v>0.773925333333333</c:v>
                </c:pt>
                <c:pt idx="343">
                  <c:v>0.774031</c:v>
                </c:pt>
                <c:pt idx="344">
                  <c:v>0.774049666666667</c:v>
                </c:pt>
                <c:pt idx="345">
                  <c:v>0.774167333333333</c:v>
                </c:pt>
                <c:pt idx="346">
                  <c:v>0.774218666666667</c:v>
                </c:pt>
                <c:pt idx="347">
                  <c:v>0.774288</c:v>
                </c:pt>
                <c:pt idx="348">
                  <c:v>0.774298333333333</c:v>
                </c:pt>
                <c:pt idx="349">
                  <c:v>0.774455333333333</c:v>
                </c:pt>
                <c:pt idx="350">
                  <c:v>0.774491666666667</c:v>
                </c:pt>
                <c:pt idx="351">
                  <c:v>0.774782666666667</c:v>
                </c:pt>
                <c:pt idx="352">
                  <c:v>0.77485</c:v>
                </c:pt>
                <c:pt idx="353">
                  <c:v>0.775213666666667</c:v>
                </c:pt>
                <c:pt idx="354">
                  <c:v>0.775333333333333</c:v>
                </c:pt>
                <c:pt idx="355">
                  <c:v>0.77548</c:v>
                </c:pt>
                <c:pt idx="356">
                  <c:v>0.775525</c:v>
                </c:pt>
                <c:pt idx="357">
                  <c:v>0.775565333333333</c:v>
                </c:pt>
                <c:pt idx="358">
                  <c:v>0.775566666666667</c:v>
                </c:pt>
                <c:pt idx="359">
                  <c:v>0.77568</c:v>
                </c:pt>
                <c:pt idx="360">
                  <c:v>0.775711333333333</c:v>
                </c:pt>
                <c:pt idx="361">
                  <c:v>0.775823333333333</c:v>
                </c:pt>
                <c:pt idx="362">
                  <c:v>0.7761</c:v>
                </c:pt>
                <c:pt idx="363">
                  <c:v>0.776412</c:v>
                </c:pt>
                <c:pt idx="364">
                  <c:v>0.776424</c:v>
                </c:pt>
                <c:pt idx="365">
                  <c:v>0.776514666666667</c:v>
                </c:pt>
                <c:pt idx="366">
                  <c:v>0.776688</c:v>
                </c:pt>
                <c:pt idx="367">
                  <c:v>0.776828666666667</c:v>
                </c:pt>
                <c:pt idx="368">
                  <c:v>0.777068</c:v>
                </c:pt>
                <c:pt idx="369">
                  <c:v>0.777121333333333</c:v>
                </c:pt>
                <c:pt idx="370">
                  <c:v>0.777380333333333</c:v>
                </c:pt>
                <c:pt idx="371">
                  <c:v>0.7775</c:v>
                </c:pt>
                <c:pt idx="372">
                  <c:v>0.777613</c:v>
                </c:pt>
                <c:pt idx="373">
                  <c:v>0.777833333333333</c:v>
                </c:pt>
                <c:pt idx="374">
                  <c:v>0.777849</c:v>
                </c:pt>
                <c:pt idx="375">
                  <c:v>0.777985333333333</c:v>
                </c:pt>
                <c:pt idx="376">
                  <c:v>0.778091666666667</c:v>
                </c:pt>
                <c:pt idx="377">
                  <c:v>0.778468</c:v>
                </c:pt>
                <c:pt idx="378">
                  <c:v>0.778480666666667</c:v>
                </c:pt>
                <c:pt idx="379">
                  <c:v>0.7785</c:v>
                </c:pt>
                <c:pt idx="380">
                  <c:v>0.778608333333333</c:v>
                </c:pt>
                <c:pt idx="381">
                  <c:v>0.77874</c:v>
                </c:pt>
                <c:pt idx="382">
                  <c:v>0.778861666666667</c:v>
                </c:pt>
                <c:pt idx="383">
                  <c:v>0.778932333333333</c:v>
                </c:pt>
                <c:pt idx="384">
                  <c:v>0.779255333333333</c:v>
                </c:pt>
                <c:pt idx="385">
                  <c:v>0.779341333333333</c:v>
                </c:pt>
                <c:pt idx="386">
                  <c:v>0.779390333333333</c:v>
                </c:pt>
                <c:pt idx="387">
                  <c:v>0.779418333333333</c:v>
                </c:pt>
                <c:pt idx="388">
                  <c:v>0.779500666666667</c:v>
                </c:pt>
                <c:pt idx="389">
                  <c:v>0.779509</c:v>
                </c:pt>
                <c:pt idx="390">
                  <c:v>0.779603333333333</c:v>
                </c:pt>
                <c:pt idx="391">
                  <c:v>0.780048333333333</c:v>
                </c:pt>
                <c:pt idx="392">
                  <c:v>0.780081333333333</c:v>
                </c:pt>
                <c:pt idx="393">
                  <c:v>0.780496</c:v>
                </c:pt>
                <c:pt idx="394">
                  <c:v>0.78055</c:v>
                </c:pt>
                <c:pt idx="395">
                  <c:v>0.780781666666667</c:v>
                </c:pt>
                <c:pt idx="396">
                  <c:v>0.780814666666667</c:v>
                </c:pt>
                <c:pt idx="397">
                  <c:v>0.780937666666667</c:v>
                </c:pt>
                <c:pt idx="398">
                  <c:v>0.781012666666667</c:v>
                </c:pt>
                <c:pt idx="399">
                  <c:v>0.781027</c:v>
                </c:pt>
                <c:pt idx="400">
                  <c:v>0.781132666666667</c:v>
                </c:pt>
                <c:pt idx="401">
                  <c:v>0.78145</c:v>
                </c:pt>
                <c:pt idx="402">
                  <c:v>0.781601666666667</c:v>
                </c:pt>
                <c:pt idx="403">
                  <c:v>0.781634</c:v>
                </c:pt>
                <c:pt idx="404">
                  <c:v>0.781703333333333</c:v>
                </c:pt>
                <c:pt idx="405">
                  <c:v>0.7818</c:v>
                </c:pt>
                <c:pt idx="406">
                  <c:v>0.78195</c:v>
                </c:pt>
                <c:pt idx="407">
                  <c:v>0.782036</c:v>
                </c:pt>
                <c:pt idx="408">
                  <c:v>0.782225</c:v>
                </c:pt>
                <c:pt idx="409">
                  <c:v>0.782427</c:v>
                </c:pt>
                <c:pt idx="410">
                  <c:v>0.782436</c:v>
                </c:pt>
                <c:pt idx="411">
                  <c:v>0.78247</c:v>
                </c:pt>
                <c:pt idx="412">
                  <c:v>0.782556</c:v>
                </c:pt>
                <c:pt idx="413">
                  <c:v>0.782656</c:v>
                </c:pt>
                <c:pt idx="414">
                  <c:v>0.782704666666667</c:v>
                </c:pt>
                <c:pt idx="415">
                  <c:v>0.782715</c:v>
                </c:pt>
                <c:pt idx="416">
                  <c:v>0.782745666666667</c:v>
                </c:pt>
                <c:pt idx="417">
                  <c:v>0.782765333333333</c:v>
                </c:pt>
                <c:pt idx="418">
                  <c:v>0.782782333333333</c:v>
                </c:pt>
                <c:pt idx="419">
                  <c:v>0.782893333333333</c:v>
                </c:pt>
                <c:pt idx="420">
                  <c:v>0.783214666666667</c:v>
                </c:pt>
                <c:pt idx="421">
                  <c:v>0.783258666666667</c:v>
                </c:pt>
                <c:pt idx="422">
                  <c:v>0.783313333333334</c:v>
                </c:pt>
                <c:pt idx="423">
                  <c:v>0.783362333333333</c:v>
                </c:pt>
                <c:pt idx="424">
                  <c:v>0.783571333333333</c:v>
                </c:pt>
                <c:pt idx="425">
                  <c:v>0.78368</c:v>
                </c:pt>
                <c:pt idx="426">
                  <c:v>0.783768</c:v>
                </c:pt>
                <c:pt idx="427">
                  <c:v>0.784274666666667</c:v>
                </c:pt>
                <c:pt idx="428">
                  <c:v>0.784434666666667</c:v>
                </c:pt>
                <c:pt idx="429">
                  <c:v>0.784583333333333</c:v>
                </c:pt>
                <c:pt idx="430">
                  <c:v>0.784703333333333</c:v>
                </c:pt>
                <c:pt idx="431">
                  <c:v>0.784890666666667</c:v>
                </c:pt>
                <c:pt idx="432">
                  <c:v>0.784928666666667</c:v>
                </c:pt>
                <c:pt idx="433">
                  <c:v>0.785029333333333</c:v>
                </c:pt>
                <c:pt idx="434">
                  <c:v>0.785065</c:v>
                </c:pt>
                <c:pt idx="435">
                  <c:v>0.785689333333333</c:v>
                </c:pt>
                <c:pt idx="436">
                  <c:v>0.78635</c:v>
                </c:pt>
                <c:pt idx="437">
                  <c:v>0.786455333333333</c:v>
                </c:pt>
                <c:pt idx="438">
                  <c:v>0.786482666666667</c:v>
                </c:pt>
                <c:pt idx="439">
                  <c:v>0.786550666666667</c:v>
                </c:pt>
                <c:pt idx="440">
                  <c:v>0.786646666666667</c:v>
                </c:pt>
                <c:pt idx="441">
                  <c:v>0.786732333333333</c:v>
                </c:pt>
                <c:pt idx="442">
                  <c:v>0.786901333333333</c:v>
                </c:pt>
                <c:pt idx="443">
                  <c:v>0.786944</c:v>
                </c:pt>
                <c:pt idx="444">
                  <c:v>0.787233333333333</c:v>
                </c:pt>
                <c:pt idx="445">
                  <c:v>0.787360666666667</c:v>
                </c:pt>
                <c:pt idx="446">
                  <c:v>0.787808</c:v>
                </c:pt>
                <c:pt idx="447">
                  <c:v>0.787999333333333</c:v>
                </c:pt>
                <c:pt idx="448">
                  <c:v>0.788145333333333</c:v>
                </c:pt>
                <c:pt idx="449">
                  <c:v>0.788854666666667</c:v>
                </c:pt>
                <c:pt idx="450">
                  <c:v>0.78896</c:v>
                </c:pt>
                <c:pt idx="451">
                  <c:v>0.789077333333333</c:v>
                </c:pt>
                <c:pt idx="452">
                  <c:v>0.78913</c:v>
                </c:pt>
                <c:pt idx="453">
                  <c:v>0.78925</c:v>
                </c:pt>
                <c:pt idx="454">
                  <c:v>0.789394666666667</c:v>
                </c:pt>
                <c:pt idx="455">
                  <c:v>0.789526666666667</c:v>
                </c:pt>
                <c:pt idx="456">
                  <c:v>0.789833333333333</c:v>
                </c:pt>
                <c:pt idx="457">
                  <c:v>0.790116666666667</c:v>
                </c:pt>
                <c:pt idx="458">
                  <c:v>0.790257333333333</c:v>
                </c:pt>
                <c:pt idx="459">
                  <c:v>0.790293333333333</c:v>
                </c:pt>
                <c:pt idx="460">
                  <c:v>0.790634333333333</c:v>
                </c:pt>
                <c:pt idx="461">
                  <c:v>0.790638</c:v>
                </c:pt>
                <c:pt idx="462">
                  <c:v>0.790690666666667</c:v>
                </c:pt>
                <c:pt idx="463">
                  <c:v>0.790732</c:v>
                </c:pt>
                <c:pt idx="464">
                  <c:v>0.790784</c:v>
                </c:pt>
                <c:pt idx="465">
                  <c:v>0.791043333333333</c:v>
                </c:pt>
                <c:pt idx="466">
                  <c:v>0.791111333333333</c:v>
                </c:pt>
                <c:pt idx="467">
                  <c:v>0.7913</c:v>
                </c:pt>
                <c:pt idx="468">
                  <c:v>0.791310333333333</c:v>
                </c:pt>
                <c:pt idx="469">
                  <c:v>0.792378666666667</c:v>
                </c:pt>
                <c:pt idx="470">
                  <c:v>0.792733333333334</c:v>
                </c:pt>
                <c:pt idx="471">
                  <c:v>0.792942</c:v>
                </c:pt>
                <c:pt idx="472">
                  <c:v>0.792955333333333</c:v>
                </c:pt>
                <c:pt idx="473">
                  <c:v>0.793097333333333</c:v>
                </c:pt>
                <c:pt idx="474">
                  <c:v>0.793227333333333</c:v>
                </c:pt>
                <c:pt idx="475">
                  <c:v>0.793282666666667</c:v>
                </c:pt>
                <c:pt idx="476">
                  <c:v>0.793468</c:v>
                </c:pt>
                <c:pt idx="477">
                  <c:v>0.793546666666667</c:v>
                </c:pt>
                <c:pt idx="478">
                  <c:v>0.793684</c:v>
                </c:pt>
                <c:pt idx="479">
                  <c:v>0.793739333333333</c:v>
                </c:pt>
                <c:pt idx="480">
                  <c:v>0.794073666666667</c:v>
                </c:pt>
                <c:pt idx="481">
                  <c:v>0.794093666666667</c:v>
                </c:pt>
                <c:pt idx="482">
                  <c:v>0.794499333333333</c:v>
                </c:pt>
                <c:pt idx="483">
                  <c:v>0.794766666666667</c:v>
                </c:pt>
                <c:pt idx="484">
                  <c:v>0.794870666666667</c:v>
                </c:pt>
                <c:pt idx="485">
                  <c:v>0.795508333333333</c:v>
                </c:pt>
                <c:pt idx="486">
                  <c:v>0.795666666666667</c:v>
                </c:pt>
                <c:pt idx="487">
                  <c:v>0.79569</c:v>
                </c:pt>
                <c:pt idx="488">
                  <c:v>0.795716666666667</c:v>
                </c:pt>
                <c:pt idx="489">
                  <c:v>0.796005333333333</c:v>
                </c:pt>
                <c:pt idx="490">
                  <c:v>0.796143666666667</c:v>
                </c:pt>
                <c:pt idx="491">
                  <c:v>0.796288333333333</c:v>
                </c:pt>
                <c:pt idx="492">
                  <c:v>0.796510666666667</c:v>
                </c:pt>
                <c:pt idx="493">
                  <c:v>0.796806</c:v>
                </c:pt>
                <c:pt idx="494">
                  <c:v>0.796876666666667</c:v>
                </c:pt>
                <c:pt idx="495">
                  <c:v>0.797181333333333</c:v>
                </c:pt>
                <c:pt idx="496">
                  <c:v>0.79745</c:v>
                </c:pt>
                <c:pt idx="497">
                  <c:v>0.79748</c:v>
                </c:pt>
                <c:pt idx="498">
                  <c:v>0.797616666666667</c:v>
                </c:pt>
                <c:pt idx="499">
                  <c:v>0.798530333333333</c:v>
                </c:pt>
                <c:pt idx="500">
                  <c:v>0.798673333333333</c:v>
                </c:pt>
                <c:pt idx="501">
                  <c:v>0.798937333333333</c:v>
                </c:pt>
                <c:pt idx="502">
                  <c:v>0.799256</c:v>
                </c:pt>
                <c:pt idx="503">
                  <c:v>0.79928</c:v>
                </c:pt>
                <c:pt idx="504">
                  <c:v>0.799482</c:v>
                </c:pt>
                <c:pt idx="505">
                  <c:v>0.799549333333333</c:v>
                </c:pt>
                <c:pt idx="506">
                  <c:v>0.799645333333333</c:v>
                </c:pt>
                <c:pt idx="507">
                  <c:v>0.799676666666667</c:v>
                </c:pt>
                <c:pt idx="508">
                  <c:v>0.799866666666667</c:v>
                </c:pt>
                <c:pt idx="509">
                  <c:v>0.800057666666667</c:v>
                </c:pt>
                <c:pt idx="510">
                  <c:v>0.800069666666667</c:v>
                </c:pt>
                <c:pt idx="511">
                  <c:v>0.800166666666667</c:v>
                </c:pt>
                <c:pt idx="512">
                  <c:v>0.800352</c:v>
                </c:pt>
                <c:pt idx="513">
                  <c:v>0.800562666666667</c:v>
                </c:pt>
                <c:pt idx="514">
                  <c:v>0.800583333333333</c:v>
                </c:pt>
                <c:pt idx="515">
                  <c:v>0.800605333333333</c:v>
                </c:pt>
                <c:pt idx="516">
                  <c:v>0.800800666666666</c:v>
                </c:pt>
                <c:pt idx="517">
                  <c:v>0.800864</c:v>
                </c:pt>
                <c:pt idx="518">
                  <c:v>0.800906666666667</c:v>
                </c:pt>
                <c:pt idx="519">
                  <c:v>0.800925</c:v>
                </c:pt>
                <c:pt idx="520">
                  <c:v>0.801086666666667</c:v>
                </c:pt>
                <c:pt idx="521">
                  <c:v>0.801333333333333</c:v>
                </c:pt>
                <c:pt idx="522">
                  <c:v>0.8016</c:v>
                </c:pt>
                <c:pt idx="523">
                  <c:v>0.80178</c:v>
                </c:pt>
                <c:pt idx="524">
                  <c:v>0.801930666666667</c:v>
                </c:pt>
                <c:pt idx="525">
                  <c:v>0.802053333333333</c:v>
                </c:pt>
                <c:pt idx="526">
                  <c:v>0.802344666666667</c:v>
                </c:pt>
                <c:pt idx="527">
                  <c:v>0.802874</c:v>
                </c:pt>
                <c:pt idx="528">
                  <c:v>0.803153333333333</c:v>
                </c:pt>
                <c:pt idx="529">
                  <c:v>0.803173333333333</c:v>
                </c:pt>
                <c:pt idx="530">
                  <c:v>0.803263333333333</c:v>
                </c:pt>
                <c:pt idx="531">
                  <c:v>0.803335</c:v>
                </c:pt>
                <c:pt idx="532">
                  <c:v>0.803725333333333</c:v>
                </c:pt>
                <c:pt idx="533">
                  <c:v>0.803844</c:v>
                </c:pt>
                <c:pt idx="534">
                  <c:v>0.804201</c:v>
                </c:pt>
                <c:pt idx="535">
                  <c:v>0.804390666666666</c:v>
                </c:pt>
                <c:pt idx="536">
                  <c:v>0.804459666666667</c:v>
                </c:pt>
                <c:pt idx="537">
                  <c:v>0.804864333333334</c:v>
                </c:pt>
                <c:pt idx="538">
                  <c:v>0.805489666666667</c:v>
                </c:pt>
                <c:pt idx="539">
                  <c:v>0.805583333333333</c:v>
                </c:pt>
                <c:pt idx="540">
                  <c:v>0.806101333333333</c:v>
                </c:pt>
                <c:pt idx="541">
                  <c:v>0.806512</c:v>
                </c:pt>
                <c:pt idx="542">
                  <c:v>0.806722</c:v>
                </c:pt>
                <c:pt idx="543">
                  <c:v>0.806816666666667</c:v>
                </c:pt>
                <c:pt idx="544">
                  <c:v>0.806906666666667</c:v>
                </c:pt>
                <c:pt idx="545">
                  <c:v>0.806949333333333</c:v>
                </c:pt>
                <c:pt idx="546">
                  <c:v>0.807408</c:v>
                </c:pt>
                <c:pt idx="547">
                  <c:v>0.807500666666667</c:v>
                </c:pt>
                <c:pt idx="548">
                  <c:v>0.807514666666667</c:v>
                </c:pt>
                <c:pt idx="549">
                  <c:v>0.807889333333333</c:v>
                </c:pt>
                <c:pt idx="550">
                  <c:v>0.808414</c:v>
                </c:pt>
                <c:pt idx="551">
                  <c:v>0.80865</c:v>
                </c:pt>
                <c:pt idx="552">
                  <c:v>0.808740333333333</c:v>
                </c:pt>
                <c:pt idx="553">
                  <c:v>0.809</c:v>
                </c:pt>
                <c:pt idx="554">
                  <c:v>0.809592</c:v>
                </c:pt>
                <c:pt idx="555">
                  <c:v>0.809633333333333</c:v>
                </c:pt>
                <c:pt idx="556">
                  <c:v>0.809686666666667</c:v>
                </c:pt>
                <c:pt idx="557">
                  <c:v>0.809874666666667</c:v>
                </c:pt>
                <c:pt idx="558">
                  <c:v>0.809956666666667</c:v>
                </c:pt>
                <c:pt idx="559">
                  <c:v>0.810404</c:v>
                </c:pt>
                <c:pt idx="560">
                  <c:v>0.810862</c:v>
                </c:pt>
                <c:pt idx="561">
                  <c:v>0.810954</c:v>
                </c:pt>
                <c:pt idx="562">
                  <c:v>0.810984</c:v>
                </c:pt>
                <c:pt idx="563">
                  <c:v>0.811116666666667</c:v>
                </c:pt>
                <c:pt idx="564">
                  <c:v>0.811126666666667</c:v>
                </c:pt>
                <c:pt idx="565">
                  <c:v>0.811256666666667</c:v>
                </c:pt>
                <c:pt idx="566">
                  <c:v>0.811939333333333</c:v>
                </c:pt>
                <c:pt idx="567">
                  <c:v>0.812264333333333</c:v>
                </c:pt>
                <c:pt idx="568">
                  <c:v>0.813212</c:v>
                </c:pt>
                <c:pt idx="569">
                  <c:v>0.813531</c:v>
                </c:pt>
                <c:pt idx="570">
                  <c:v>0.814216666666667</c:v>
                </c:pt>
                <c:pt idx="571">
                  <c:v>0.814283333333333</c:v>
                </c:pt>
                <c:pt idx="572">
                  <c:v>0.816566666666667</c:v>
                </c:pt>
                <c:pt idx="573">
                  <c:v>0.81784</c:v>
                </c:pt>
                <c:pt idx="574">
                  <c:v>0.817939333333333</c:v>
                </c:pt>
                <c:pt idx="575">
                  <c:v>0.818406666666667</c:v>
                </c:pt>
                <c:pt idx="576">
                  <c:v>0.819016666666667</c:v>
                </c:pt>
                <c:pt idx="577">
                  <c:v>0.81972</c:v>
                </c:pt>
                <c:pt idx="578">
                  <c:v>0.820103666666667</c:v>
                </c:pt>
                <c:pt idx="579">
                  <c:v>0.820666666666667</c:v>
                </c:pt>
                <c:pt idx="580">
                  <c:v>0.820974666666667</c:v>
                </c:pt>
                <c:pt idx="581">
                  <c:v>0.822042</c:v>
                </c:pt>
                <c:pt idx="582">
                  <c:v>0.822391333333333</c:v>
                </c:pt>
                <c:pt idx="583">
                  <c:v>0.822889666666667</c:v>
                </c:pt>
                <c:pt idx="584">
                  <c:v>0.822949333333333</c:v>
                </c:pt>
                <c:pt idx="585">
                  <c:v>0.82465</c:v>
                </c:pt>
                <c:pt idx="586">
                  <c:v>0.824765333333333</c:v>
                </c:pt>
                <c:pt idx="587">
                  <c:v>0.826633</c:v>
                </c:pt>
                <c:pt idx="588">
                  <c:v>0.826784666666667</c:v>
                </c:pt>
                <c:pt idx="589">
                  <c:v>0.828233333333334</c:v>
                </c:pt>
                <c:pt idx="590">
                  <c:v>0.828503333333333</c:v>
                </c:pt>
                <c:pt idx="591">
                  <c:v>0.830256</c:v>
                </c:pt>
                <c:pt idx="592">
                  <c:v>0.830921333333333</c:v>
                </c:pt>
                <c:pt idx="593">
                  <c:v>0.832821333333333</c:v>
                </c:pt>
                <c:pt idx="594">
                  <c:v>0.833181333333333</c:v>
                </c:pt>
                <c:pt idx="595">
                  <c:v>0.835722666666667</c:v>
                </c:pt>
                <c:pt idx="596">
                  <c:v>0.837923666666667</c:v>
                </c:pt>
                <c:pt idx="597">
                  <c:v>0.83794</c:v>
                </c:pt>
                <c:pt idx="598">
                  <c:v>0.840923333333333</c:v>
                </c:pt>
                <c:pt idx="599">
                  <c:v>0.841574333333333</c:v>
                </c:pt>
                <c:pt idx="600">
                  <c:v>0.841876</c:v>
                </c:pt>
                <c:pt idx="601">
                  <c:v>0.84964</c:v>
                </c:pt>
                <c:pt idx="602">
                  <c:v>0.850851666666667</c:v>
                </c:pt>
                <c:pt idx="603">
                  <c:v>0.85684</c:v>
                </c:pt>
                <c:pt idx="604">
                  <c:v>0.872289333333333</c:v>
                </c:pt>
                <c:pt idx="605">
                  <c:v>0.87236</c:v>
                </c:pt>
              </c:strCache>
            </c:strRef>
          </c:cat>
          <c:val>
            <c:numRef>
              <c:f>'Ecomonic Values'!$E$25:$E$631</c:f>
              <c:numCache>
                <c:formatCode>0.00</c:formatCode>
                <c:ptCount val="606"/>
                <c:pt idx="0">
                  <c:v>3.5000000000000003E-2</c:v>
                </c:pt>
                <c:pt idx="1">
                  <c:v>0.03</c:v>
                </c:pt>
                <c:pt idx="2">
                  <c:v>0.05</c:v>
                </c:pt>
                <c:pt idx="3">
                  <c:v>2.5000000000000001E-2</c:v>
                </c:pt>
                <c:pt idx="4">
                  <c:v>2.5000000000000001E-2</c:v>
                </c:pt>
                <c:pt idx="5">
                  <c:v>0.03</c:v>
                </c:pt>
                <c:pt idx="6">
                  <c:v>0.04</c:v>
                </c:pt>
                <c:pt idx="7">
                  <c:v>0.04</c:v>
                </c:pt>
                <c:pt idx="8">
                  <c:v>9.5000000000000001E-2</c:v>
                </c:pt>
                <c:pt idx="9">
                  <c:v>0.04</c:v>
                </c:pt>
                <c:pt idx="10">
                  <c:v>0.04</c:v>
                </c:pt>
                <c:pt idx="11">
                  <c:v>4.4999999999999998E-2</c:v>
                </c:pt>
                <c:pt idx="12">
                  <c:v>7.4999999999999997E-2</c:v>
                </c:pt>
                <c:pt idx="13">
                  <c:v>5.5E-2</c:v>
                </c:pt>
                <c:pt idx="14">
                  <c:v>0.03</c:v>
                </c:pt>
                <c:pt idx="15">
                  <c:v>5.5E-2</c:v>
                </c:pt>
                <c:pt idx="16">
                  <c:v>5.5E-2</c:v>
                </c:pt>
                <c:pt idx="17">
                  <c:v>0.06</c:v>
                </c:pt>
                <c:pt idx="18">
                  <c:v>6.5000000000000002E-2</c:v>
                </c:pt>
                <c:pt idx="19">
                  <c:v>0.06</c:v>
                </c:pt>
                <c:pt idx="20">
                  <c:v>7.0000000000000007E-2</c:v>
                </c:pt>
                <c:pt idx="21">
                  <c:v>6.5000000000000002E-2</c:v>
                </c:pt>
                <c:pt idx="22">
                  <c:v>0.06</c:v>
                </c:pt>
                <c:pt idx="23">
                  <c:v>5.5E-2</c:v>
                </c:pt>
                <c:pt idx="24">
                  <c:v>7.4999999999999997E-2</c:v>
                </c:pt>
                <c:pt idx="25">
                  <c:v>6.5000000000000002E-2</c:v>
                </c:pt>
                <c:pt idx="26">
                  <c:v>0.08</c:v>
                </c:pt>
                <c:pt idx="27">
                  <c:v>5.5E-2</c:v>
                </c:pt>
                <c:pt idx="28">
                  <c:v>6.5000000000000002E-2</c:v>
                </c:pt>
                <c:pt idx="29">
                  <c:v>0.08</c:v>
                </c:pt>
                <c:pt idx="30">
                  <c:v>7.0000000000000007E-2</c:v>
                </c:pt>
                <c:pt idx="31">
                  <c:v>0.06</c:v>
                </c:pt>
                <c:pt idx="32">
                  <c:v>0.08</c:v>
                </c:pt>
                <c:pt idx="33">
                  <c:v>8.5000000000000006E-2</c:v>
                </c:pt>
                <c:pt idx="34">
                  <c:v>7.4999999999999997E-2</c:v>
                </c:pt>
                <c:pt idx="35">
                  <c:v>7.4999999999999997E-2</c:v>
                </c:pt>
                <c:pt idx="36">
                  <c:v>7.0000000000000007E-2</c:v>
                </c:pt>
                <c:pt idx="37">
                  <c:v>0.08</c:v>
                </c:pt>
                <c:pt idx="38">
                  <c:v>0.08</c:v>
                </c:pt>
                <c:pt idx="39">
                  <c:v>7.0000000000000007E-2</c:v>
                </c:pt>
                <c:pt idx="40">
                  <c:v>0.09</c:v>
                </c:pt>
                <c:pt idx="41">
                  <c:v>7.0000000000000007E-2</c:v>
                </c:pt>
                <c:pt idx="42">
                  <c:v>0.105</c:v>
                </c:pt>
                <c:pt idx="43">
                  <c:v>0.05</c:v>
                </c:pt>
                <c:pt idx="44">
                  <c:v>7.4999999999999997E-2</c:v>
                </c:pt>
                <c:pt idx="45">
                  <c:v>0</c:v>
                </c:pt>
                <c:pt idx="46">
                  <c:v>0.08</c:v>
                </c:pt>
                <c:pt idx="47">
                  <c:v>7.4999999999999997E-2</c:v>
                </c:pt>
                <c:pt idx="48">
                  <c:v>0.09</c:v>
                </c:pt>
                <c:pt idx="49">
                  <c:v>7.4999999999999997E-2</c:v>
                </c:pt>
                <c:pt idx="50">
                  <c:v>7.0000000000000007E-2</c:v>
                </c:pt>
                <c:pt idx="51">
                  <c:v>7.4999999999999997E-2</c:v>
                </c:pt>
                <c:pt idx="52">
                  <c:v>0.08</c:v>
                </c:pt>
                <c:pt idx="53">
                  <c:v>8.5000000000000006E-2</c:v>
                </c:pt>
                <c:pt idx="54">
                  <c:v>7.4999999999999997E-2</c:v>
                </c:pt>
                <c:pt idx="55">
                  <c:v>8.5000000000000006E-2</c:v>
                </c:pt>
                <c:pt idx="56">
                  <c:v>8.5000000000000006E-2</c:v>
                </c:pt>
                <c:pt idx="57">
                  <c:v>0.08</c:v>
                </c:pt>
                <c:pt idx="58">
                  <c:v>0.1</c:v>
                </c:pt>
                <c:pt idx="59">
                  <c:v>7.0000000000000007E-2</c:v>
                </c:pt>
                <c:pt idx="60">
                  <c:v>7.4999999999999997E-2</c:v>
                </c:pt>
                <c:pt idx="61">
                  <c:v>8.5000000000000006E-2</c:v>
                </c:pt>
                <c:pt idx="62">
                  <c:v>7.4999999999999997E-2</c:v>
                </c:pt>
                <c:pt idx="63">
                  <c:v>0.08</c:v>
                </c:pt>
                <c:pt idx="64">
                  <c:v>0.1</c:v>
                </c:pt>
                <c:pt idx="65">
                  <c:v>0.08</c:v>
                </c:pt>
                <c:pt idx="66">
                  <c:v>9.5000000000000001E-2</c:v>
                </c:pt>
                <c:pt idx="67">
                  <c:v>9.5000000000000001E-2</c:v>
                </c:pt>
                <c:pt idx="68">
                  <c:v>0.09</c:v>
                </c:pt>
                <c:pt idx="69">
                  <c:v>8.5000000000000006E-2</c:v>
                </c:pt>
                <c:pt idx="70">
                  <c:v>0.09</c:v>
                </c:pt>
                <c:pt idx="71">
                  <c:v>0.11</c:v>
                </c:pt>
                <c:pt idx="72">
                  <c:v>9.5000000000000001E-2</c:v>
                </c:pt>
                <c:pt idx="73">
                  <c:v>0.09</c:v>
                </c:pt>
                <c:pt idx="74">
                  <c:v>0.09</c:v>
                </c:pt>
                <c:pt idx="75">
                  <c:v>8.5000000000000006E-2</c:v>
                </c:pt>
                <c:pt idx="76">
                  <c:v>0.09</c:v>
                </c:pt>
                <c:pt idx="77">
                  <c:v>0.09</c:v>
                </c:pt>
                <c:pt idx="78">
                  <c:v>8.5000000000000006E-2</c:v>
                </c:pt>
                <c:pt idx="79">
                  <c:v>7.4999999999999997E-2</c:v>
                </c:pt>
                <c:pt idx="80">
                  <c:v>0.1</c:v>
                </c:pt>
                <c:pt idx="81">
                  <c:v>0.09</c:v>
                </c:pt>
                <c:pt idx="82">
                  <c:v>7.4999999999999997E-2</c:v>
                </c:pt>
                <c:pt idx="83">
                  <c:v>9.5000000000000001E-2</c:v>
                </c:pt>
                <c:pt idx="84">
                  <c:v>0.09</c:v>
                </c:pt>
                <c:pt idx="85">
                  <c:v>0.08</c:v>
                </c:pt>
                <c:pt idx="86">
                  <c:v>8.5000000000000006E-2</c:v>
                </c:pt>
                <c:pt idx="87">
                  <c:v>0.09</c:v>
                </c:pt>
                <c:pt idx="88">
                  <c:v>9.5000000000000001E-2</c:v>
                </c:pt>
                <c:pt idx="89">
                  <c:v>0.09</c:v>
                </c:pt>
                <c:pt idx="90">
                  <c:v>0.09</c:v>
                </c:pt>
                <c:pt idx="91">
                  <c:v>0.09</c:v>
                </c:pt>
                <c:pt idx="92">
                  <c:v>9.5000000000000001E-2</c:v>
                </c:pt>
                <c:pt idx="93">
                  <c:v>0.09</c:v>
                </c:pt>
                <c:pt idx="94">
                  <c:v>0.1</c:v>
                </c:pt>
                <c:pt idx="95">
                  <c:v>8.5000000000000006E-2</c:v>
                </c:pt>
                <c:pt idx="96">
                  <c:v>0.09</c:v>
                </c:pt>
                <c:pt idx="97">
                  <c:v>0.1</c:v>
                </c:pt>
                <c:pt idx="98">
                  <c:v>9.5000000000000001E-2</c:v>
                </c:pt>
                <c:pt idx="99">
                  <c:v>9.5000000000000001E-2</c:v>
                </c:pt>
                <c:pt idx="100">
                  <c:v>8.5000000000000006E-2</c:v>
                </c:pt>
                <c:pt idx="101">
                  <c:v>0.09</c:v>
                </c:pt>
                <c:pt idx="102">
                  <c:v>9.5000000000000001E-2</c:v>
                </c:pt>
                <c:pt idx="103">
                  <c:v>9.5000000000000001E-2</c:v>
                </c:pt>
                <c:pt idx="104">
                  <c:v>0.1</c:v>
                </c:pt>
                <c:pt idx="105">
                  <c:v>0.1</c:v>
                </c:pt>
                <c:pt idx="106">
                  <c:v>0.1</c:v>
                </c:pt>
                <c:pt idx="107">
                  <c:v>0.115</c:v>
                </c:pt>
                <c:pt idx="108">
                  <c:v>0.14000000000000001</c:v>
                </c:pt>
                <c:pt idx="109">
                  <c:v>8.5000000000000006E-2</c:v>
                </c:pt>
                <c:pt idx="110">
                  <c:v>8.5000000000000006E-2</c:v>
                </c:pt>
                <c:pt idx="111">
                  <c:v>8.5000000000000006E-2</c:v>
                </c:pt>
                <c:pt idx="112">
                  <c:v>8.5000000000000006E-2</c:v>
                </c:pt>
                <c:pt idx="113">
                  <c:v>9.5000000000000001E-2</c:v>
                </c:pt>
                <c:pt idx="114">
                  <c:v>0.1</c:v>
                </c:pt>
                <c:pt idx="115">
                  <c:v>0.125</c:v>
                </c:pt>
                <c:pt idx="116">
                  <c:v>9.5000000000000001E-2</c:v>
                </c:pt>
                <c:pt idx="117">
                  <c:v>0.105</c:v>
                </c:pt>
                <c:pt idx="118">
                  <c:v>0.1</c:v>
                </c:pt>
                <c:pt idx="119">
                  <c:v>0.1</c:v>
                </c:pt>
                <c:pt idx="120">
                  <c:v>0.1</c:v>
                </c:pt>
                <c:pt idx="121">
                  <c:v>0.09</c:v>
                </c:pt>
                <c:pt idx="122">
                  <c:v>0.09</c:v>
                </c:pt>
                <c:pt idx="123">
                  <c:v>0.1</c:v>
                </c:pt>
                <c:pt idx="124">
                  <c:v>0.1</c:v>
                </c:pt>
                <c:pt idx="125">
                  <c:v>7.4999999999999997E-2</c:v>
                </c:pt>
                <c:pt idx="126">
                  <c:v>0.13</c:v>
                </c:pt>
                <c:pt idx="127">
                  <c:v>0.12</c:v>
                </c:pt>
                <c:pt idx="128">
                  <c:v>0.1</c:v>
                </c:pt>
                <c:pt idx="129">
                  <c:v>0.115</c:v>
                </c:pt>
                <c:pt idx="130">
                  <c:v>0.09</c:v>
                </c:pt>
                <c:pt idx="131">
                  <c:v>8.5000000000000006E-2</c:v>
                </c:pt>
                <c:pt idx="132">
                  <c:v>8.5000000000000006E-2</c:v>
                </c:pt>
                <c:pt idx="133">
                  <c:v>0.105</c:v>
                </c:pt>
                <c:pt idx="134">
                  <c:v>0.1</c:v>
                </c:pt>
                <c:pt idx="135">
                  <c:v>9.5000000000000001E-2</c:v>
                </c:pt>
                <c:pt idx="136">
                  <c:v>0.09</c:v>
                </c:pt>
                <c:pt idx="137">
                  <c:v>0.1</c:v>
                </c:pt>
                <c:pt idx="138">
                  <c:v>0.105</c:v>
                </c:pt>
                <c:pt idx="139">
                  <c:v>0.1</c:v>
                </c:pt>
                <c:pt idx="140">
                  <c:v>0.11</c:v>
                </c:pt>
                <c:pt idx="141">
                  <c:v>0.105</c:v>
                </c:pt>
                <c:pt idx="142">
                  <c:v>0.1</c:v>
                </c:pt>
                <c:pt idx="143">
                  <c:v>0.1</c:v>
                </c:pt>
                <c:pt idx="144">
                  <c:v>0.115</c:v>
                </c:pt>
                <c:pt idx="145">
                  <c:v>0.105</c:v>
                </c:pt>
                <c:pt idx="146">
                  <c:v>0.1</c:v>
                </c:pt>
                <c:pt idx="147">
                  <c:v>0.105</c:v>
                </c:pt>
                <c:pt idx="148">
                  <c:v>0.11</c:v>
                </c:pt>
                <c:pt idx="149">
                  <c:v>0.1</c:v>
                </c:pt>
                <c:pt idx="150">
                  <c:v>0.12</c:v>
                </c:pt>
                <c:pt idx="151">
                  <c:v>0.11</c:v>
                </c:pt>
                <c:pt idx="152">
                  <c:v>0.12</c:v>
                </c:pt>
                <c:pt idx="153">
                  <c:v>0.1</c:v>
                </c:pt>
                <c:pt idx="154">
                  <c:v>9.5000000000000001E-2</c:v>
                </c:pt>
                <c:pt idx="155">
                  <c:v>0.1</c:v>
                </c:pt>
                <c:pt idx="156">
                  <c:v>0.11</c:v>
                </c:pt>
                <c:pt idx="157">
                  <c:v>0.09</c:v>
                </c:pt>
                <c:pt idx="158">
                  <c:v>0.09</c:v>
                </c:pt>
                <c:pt idx="159">
                  <c:v>0.09</c:v>
                </c:pt>
                <c:pt idx="160">
                  <c:v>0.1</c:v>
                </c:pt>
                <c:pt idx="161">
                  <c:v>0.1</c:v>
                </c:pt>
                <c:pt idx="162">
                  <c:v>9.5000000000000001E-2</c:v>
                </c:pt>
                <c:pt idx="163">
                  <c:v>0.1</c:v>
                </c:pt>
                <c:pt idx="164">
                  <c:v>0.11</c:v>
                </c:pt>
                <c:pt idx="165">
                  <c:v>0.115</c:v>
                </c:pt>
                <c:pt idx="166">
                  <c:v>0.12</c:v>
                </c:pt>
                <c:pt idx="167">
                  <c:v>0.115</c:v>
                </c:pt>
                <c:pt idx="168">
                  <c:v>0.12</c:v>
                </c:pt>
                <c:pt idx="169">
                  <c:v>0.115</c:v>
                </c:pt>
                <c:pt idx="170">
                  <c:v>0.08</c:v>
                </c:pt>
                <c:pt idx="171">
                  <c:v>0.08</c:v>
                </c:pt>
                <c:pt idx="172">
                  <c:v>0.12</c:v>
                </c:pt>
                <c:pt idx="173">
                  <c:v>8.5000000000000006E-2</c:v>
                </c:pt>
                <c:pt idx="174">
                  <c:v>0.115</c:v>
                </c:pt>
                <c:pt idx="175">
                  <c:v>0.11</c:v>
                </c:pt>
                <c:pt idx="176">
                  <c:v>0.12</c:v>
                </c:pt>
                <c:pt idx="177">
                  <c:v>0.1</c:v>
                </c:pt>
                <c:pt idx="178">
                  <c:v>0.11</c:v>
                </c:pt>
                <c:pt idx="179">
                  <c:v>0.115</c:v>
                </c:pt>
                <c:pt idx="180">
                  <c:v>0.125</c:v>
                </c:pt>
                <c:pt idx="181">
                  <c:v>0.115</c:v>
                </c:pt>
                <c:pt idx="182">
                  <c:v>0.1</c:v>
                </c:pt>
                <c:pt idx="183">
                  <c:v>0.105</c:v>
                </c:pt>
                <c:pt idx="184">
                  <c:v>0.12</c:v>
                </c:pt>
                <c:pt idx="185">
                  <c:v>0.125</c:v>
                </c:pt>
                <c:pt idx="186">
                  <c:v>0.115</c:v>
                </c:pt>
                <c:pt idx="187">
                  <c:v>0.11</c:v>
                </c:pt>
                <c:pt idx="188">
                  <c:v>0.11</c:v>
                </c:pt>
                <c:pt idx="189">
                  <c:v>0.12</c:v>
                </c:pt>
                <c:pt idx="190">
                  <c:v>0.13500000000000001</c:v>
                </c:pt>
                <c:pt idx="191">
                  <c:v>0.105</c:v>
                </c:pt>
                <c:pt idx="192">
                  <c:v>0.12</c:v>
                </c:pt>
                <c:pt idx="193">
                  <c:v>0.12</c:v>
                </c:pt>
                <c:pt idx="194">
                  <c:v>0.11</c:v>
                </c:pt>
                <c:pt idx="195">
                  <c:v>0.125</c:v>
                </c:pt>
                <c:pt idx="196">
                  <c:v>0.11</c:v>
                </c:pt>
                <c:pt idx="197">
                  <c:v>0.13500000000000001</c:v>
                </c:pt>
                <c:pt idx="198">
                  <c:v>0.11</c:v>
                </c:pt>
                <c:pt idx="199">
                  <c:v>0.115</c:v>
                </c:pt>
                <c:pt idx="200">
                  <c:v>0.16</c:v>
                </c:pt>
                <c:pt idx="201">
                  <c:v>0.105</c:v>
                </c:pt>
                <c:pt idx="202">
                  <c:v>0.11</c:v>
                </c:pt>
                <c:pt idx="203">
                  <c:v>0.125</c:v>
                </c:pt>
                <c:pt idx="204">
                  <c:v>0.13500000000000001</c:v>
                </c:pt>
                <c:pt idx="205">
                  <c:v>0.115</c:v>
                </c:pt>
                <c:pt idx="206">
                  <c:v>0.1</c:v>
                </c:pt>
                <c:pt idx="207">
                  <c:v>0.14000000000000001</c:v>
                </c:pt>
                <c:pt idx="208">
                  <c:v>0.13500000000000001</c:v>
                </c:pt>
                <c:pt idx="209">
                  <c:v>0.12</c:v>
                </c:pt>
                <c:pt idx="210">
                  <c:v>0.125</c:v>
                </c:pt>
                <c:pt idx="211">
                  <c:v>0.105</c:v>
                </c:pt>
                <c:pt idx="212">
                  <c:v>0.125</c:v>
                </c:pt>
                <c:pt idx="213">
                  <c:v>0.13500000000000001</c:v>
                </c:pt>
                <c:pt idx="214">
                  <c:v>0.12</c:v>
                </c:pt>
                <c:pt idx="215">
                  <c:v>0.11</c:v>
                </c:pt>
                <c:pt idx="216">
                  <c:v>0.105</c:v>
                </c:pt>
                <c:pt idx="217">
                  <c:v>0.12</c:v>
                </c:pt>
                <c:pt idx="218">
                  <c:v>0.125</c:v>
                </c:pt>
                <c:pt idx="219">
                  <c:v>0.12</c:v>
                </c:pt>
                <c:pt idx="220">
                  <c:v>0.11</c:v>
                </c:pt>
                <c:pt idx="221">
                  <c:v>0.16</c:v>
                </c:pt>
                <c:pt idx="222">
                  <c:v>0.125</c:v>
                </c:pt>
                <c:pt idx="223">
                  <c:v>0.13</c:v>
                </c:pt>
                <c:pt idx="224">
                  <c:v>0.14000000000000001</c:v>
                </c:pt>
                <c:pt idx="225">
                  <c:v>0.105</c:v>
                </c:pt>
                <c:pt idx="226">
                  <c:v>0.12</c:v>
                </c:pt>
                <c:pt idx="227">
                  <c:v>0.125</c:v>
                </c:pt>
                <c:pt idx="228">
                  <c:v>0.16</c:v>
                </c:pt>
                <c:pt idx="229">
                  <c:v>0.115</c:v>
                </c:pt>
                <c:pt idx="230">
                  <c:v>0.125</c:v>
                </c:pt>
                <c:pt idx="231">
                  <c:v>0.1</c:v>
                </c:pt>
                <c:pt idx="232">
                  <c:v>0.13</c:v>
                </c:pt>
                <c:pt idx="233">
                  <c:v>0.105</c:v>
                </c:pt>
                <c:pt idx="234">
                  <c:v>0.13</c:v>
                </c:pt>
                <c:pt idx="235">
                  <c:v>0.115</c:v>
                </c:pt>
                <c:pt idx="236">
                  <c:v>0.105</c:v>
                </c:pt>
                <c:pt idx="237">
                  <c:v>0.115</c:v>
                </c:pt>
                <c:pt idx="238">
                  <c:v>0.105</c:v>
                </c:pt>
                <c:pt idx="239">
                  <c:v>0.115</c:v>
                </c:pt>
                <c:pt idx="240">
                  <c:v>0.11</c:v>
                </c:pt>
                <c:pt idx="241">
                  <c:v>0.11</c:v>
                </c:pt>
                <c:pt idx="242">
                  <c:v>0.12</c:v>
                </c:pt>
                <c:pt idx="243">
                  <c:v>0.11</c:v>
                </c:pt>
                <c:pt idx="244">
                  <c:v>0.14000000000000001</c:v>
                </c:pt>
                <c:pt idx="245">
                  <c:v>0.12</c:v>
                </c:pt>
                <c:pt idx="246">
                  <c:v>0.125</c:v>
                </c:pt>
                <c:pt idx="247">
                  <c:v>0.125</c:v>
                </c:pt>
                <c:pt idx="248">
                  <c:v>0.13</c:v>
                </c:pt>
                <c:pt idx="249">
                  <c:v>0.13</c:v>
                </c:pt>
                <c:pt idx="250">
                  <c:v>0.12</c:v>
                </c:pt>
                <c:pt idx="251">
                  <c:v>0.105</c:v>
                </c:pt>
                <c:pt idx="252">
                  <c:v>0.115</c:v>
                </c:pt>
                <c:pt idx="253">
                  <c:v>0.115</c:v>
                </c:pt>
                <c:pt idx="254">
                  <c:v>0.1</c:v>
                </c:pt>
                <c:pt idx="255">
                  <c:v>0.12</c:v>
                </c:pt>
                <c:pt idx="256">
                  <c:v>0.105</c:v>
                </c:pt>
                <c:pt idx="257">
                  <c:v>0.115</c:v>
                </c:pt>
                <c:pt idx="258">
                  <c:v>0.13</c:v>
                </c:pt>
                <c:pt idx="259">
                  <c:v>0.13</c:v>
                </c:pt>
                <c:pt idx="260">
                  <c:v>0.13</c:v>
                </c:pt>
                <c:pt idx="261">
                  <c:v>0.12</c:v>
                </c:pt>
                <c:pt idx="262">
                  <c:v>0.115</c:v>
                </c:pt>
                <c:pt idx="263">
                  <c:v>0.11</c:v>
                </c:pt>
                <c:pt idx="264">
                  <c:v>0.105</c:v>
                </c:pt>
                <c:pt idx="265">
                  <c:v>0.125</c:v>
                </c:pt>
                <c:pt idx="266">
                  <c:v>0.13500000000000001</c:v>
                </c:pt>
                <c:pt idx="267">
                  <c:v>0.14499999999999999</c:v>
                </c:pt>
                <c:pt idx="268">
                  <c:v>0.14000000000000001</c:v>
                </c:pt>
                <c:pt idx="269">
                  <c:v>0.13</c:v>
                </c:pt>
                <c:pt idx="270">
                  <c:v>0.1</c:v>
                </c:pt>
                <c:pt idx="271">
                  <c:v>0.14000000000000001</c:v>
                </c:pt>
                <c:pt idx="272">
                  <c:v>0.105</c:v>
                </c:pt>
                <c:pt idx="273">
                  <c:v>0.18</c:v>
                </c:pt>
                <c:pt idx="274">
                  <c:v>0.12</c:v>
                </c:pt>
                <c:pt idx="275">
                  <c:v>0.1</c:v>
                </c:pt>
                <c:pt idx="276">
                  <c:v>0.105</c:v>
                </c:pt>
                <c:pt idx="277">
                  <c:v>0.13</c:v>
                </c:pt>
                <c:pt idx="278">
                  <c:v>8.5000000000000006E-2</c:v>
                </c:pt>
                <c:pt idx="279">
                  <c:v>0.12</c:v>
                </c:pt>
                <c:pt idx="280">
                  <c:v>0.125</c:v>
                </c:pt>
                <c:pt idx="281">
                  <c:v>0.12</c:v>
                </c:pt>
                <c:pt idx="282">
                  <c:v>0.13</c:v>
                </c:pt>
                <c:pt idx="283">
                  <c:v>0.115</c:v>
                </c:pt>
                <c:pt idx="284">
                  <c:v>0.1</c:v>
                </c:pt>
                <c:pt idx="285">
                  <c:v>0.11</c:v>
                </c:pt>
                <c:pt idx="286">
                  <c:v>0.115</c:v>
                </c:pt>
                <c:pt idx="287">
                  <c:v>0.11</c:v>
                </c:pt>
                <c:pt idx="288">
                  <c:v>0.105</c:v>
                </c:pt>
                <c:pt idx="289">
                  <c:v>0.13</c:v>
                </c:pt>
                <c:pt idx="290">
                  <c:v>0.12</c:v>
                </c:pt>
                <c:pt idx="291">
                  <c:v>0.13</c:v>
                </c:pt>
                <c:pt idx="292">
                  <c:v>0.16</c:v>
                </c:pt>
                <c:pt idx="293">
                  <c:v>0.15</c:v>
                </c:pt>
                <c:pt idx="294">
                  <c:v>0.14000000000000001</c:v>
                </c:pt>
                <c:pt idx="295">
                  <c:v>0.14499999999999999</c:v>
                </c:pt>
                <c:pt idx="296">
                  <c:v>0.13</c:v>
                </c:pt>
                <c:pt idx="297">
                  <c:v>0.11</c:v>
                </c:pt>
                <c:pt idx="298">
                  <c:v>0.14000000000000001</c:v>
                </c:pt>
                <c:pt idx="299">
                  <c:v>0.125</c:v>
                </c:pt>
                <c:pt idx="300">
                  <c:v>0.18</c:v>
                </c:pt>
                <c:pt idx="301">
                  <c:v>0.115</c:v>
                </c:pt>
                <c:pt idx="302">
                  <c:v>0.14499999999999999</c:v>
                </c:pt>
                <c:pt idx="303">
                  <c:v>0.13</c:v>
                </c:pt>
                <c:pt idx="304">
                  <c:v>0.13500000000000001</c:v>
                </c:pt>
                <c:pt idx="305">
                  <c:v>0.115</c:v>
                </c:pt>
                <c:pt idx="306">
                  <c:v>0.14000000000000001</c:v>
                </c:pt>
                <c:pt idx="307">
                  <c:v>0.14000000000000001</c:v>
                </c:pt>
                <c:pt idx="308">
                  <c:v>0.15</c:v>
                </c:pt>
                <c:pt idx="309">
                  <c:v>0.13500000000000001</c:v>
                </c:pt>
                <c:pt idx="310">
                  <c:v>0.115</c:v>
                </c:pt>
                <c:pt idx="311">
                  <c:v>0.12</c:v>
                </c:pt>
                <c:pt idx="312">
                  <c:v>0.125</c:v>
                </c:pt>
                <c:pt idx="313">
                  <c:v>0.15</c:v>
                </c:pt>
                <c:pt idx="314">
                  <c:v>0.13500000000000001</c:v>
                </c:pt>
                <c:pt idx="315">
                  <c:v>0.155</c:v>
                </c:pt>
                <c:pt idx="316">
                  <c:v>0.12</c:v>
                </c:pt>
                <c:pt idx="317">
                  <c:v>0.125</c:v>
                </c:pt>
                <c:pt idx="318">
                  <c:v>0.14000000000000001</c:v>
                </c:pt>
                <c:pt idx="319">
                  <c:v>0.13500000000000001</c:v>
                </c:pt>
                <c:pt idx="320">
                  <c:v>0.15</c:v>
                </c:pt>
                <c:pt idx="321">
                  <c:v>0.13500000000000001</c:v>
                </c:pt>
                <c:pt idx="322">
                  <c:v>0.16</c:v>
                </c:pt>
                <c:pt idx="323">
                  <c:v>0.14000000000000001</c:v>
                </c:pt>
                <c:pt idx="324">
                  <c:v>0.13500000000000001</c:v>
                </c:pt>
                <c:pt idx="325">
                  <c:v>0.13</c:v>
                </c:pt>
                <c:pt idx="326">
                  <c:v>0.14000000000000001</c:v>
                </c:pt>
                <c:pt idx="327">
                  <c:v>0.1</c:v>
                </c:pt>
                <c:pt idx="328">
                  <c:v>0.105</c:v>
                </c:pt>
                <c:pt idx="329">
                  <c:v>0.11</c:v>
                </c:pt>
                <c:pt idx="330">
                  <c:v>0.125</c:v>
                </c:pt>
                <c:pt idx="331">
                  <c:v>0.155</c:v>
                </c:pt>
                <c:pt idx="332">
                  <c:v>0.12</c:v>
                </c:pt>
                <c:pt idx="333">
                  <c:v>0.125</c:v>
                </c:pt>
                <c:pt idx="334">
                  <c:v>0.125</c:v>
                </c:pt>
                <c:pt idx="335">
                  <c:v>0.11</c:v>
                </c:pt>
                <c:pt idx="336">
                  <c:v>0.12</c:v>
                </c:pt>
                <c:pt idx="337">
                  <c:v>0.13500000000000001</c:v>
                </c:pt>
                <c:pt idx="338">
                  <c:v>0.13500000000000001</c:v>
                </c:pt>
                <c:pt idx="339">
                  <c:v>0.12</c:v>
                </c:pt>
                <c:pt idx="340">
                  <c:v>0.155</c:v>
                </c:pt>
                <c:pt idx="341">
                  <c:v>0.14499999999999999</c:v>
                </c:pt>
                <c:pt idx="342">
                  <c:v>0.115</c:v>
                </c:pt>
                <c:pt idx="343">
                  <c:v>0.13500000000000001</c:v>
                </c:pt>
                <c:pt idx="344">
                  <c:v>0.13500000000000001</c:v>
                </c:pt>
                <c:pt idx="345">
                  <c:v>0.13</c:v>
                </c:pt>
                <c:pt idx="346">
                  <c:v>0.12</c:v>
                </c:pt>
                <c:pt idx="347">
                  <c:v>0.12</c:v>
                </c:pt>
                <c:pt idx="348">
                  <c:v>0.14499999999999999</c:v>
                </c:pt>
                <c:pt idx="349">
                  <c:v>0.13</c:v>
                </c:pt>
                <c:pt idx="350">
                  <c:v>0.125</c:v>
                </c:pt>
                <c:pt idx="351">
                  <c:v>0.14000000000000001</c:v>
                </c:pt>
                <c:pt idx="352">
                  <c:v>0.15</c:v>
                </c:pt>
                <c:pt idx="353">
                  <c:v>0.155</c:v>
                </c:pt>
                <c:pt idx="354">
                  <c:v>0.12</c:v>
                </c:pt>
                <c:pt idx="355">
                  <c:v>0.125</c:v>
                </c:pt>
                <c:pt idx="356">
                  <c:v>0.125</c:v>
                </c:pt>
                <c:pt idx="357">
                  <c:v>0.11</c:v>
                </c:pt>
                <c:pt idx="358">
                  <c:v>0.15</c:v>
                </c:pt>
                <c:pt idx="359">
                  <c:v>0.16</c:v>
                </c:pt>
                <c:pt idx="360">
                  <c:v>0.115</c:v>
                </c:pt>
                <c:pt idx="361">
                  <c:v>0.14499999999999999</c:v>
                </c:pt>
                <c:pt idx="362">
                  <c:v>0.13500000000000001</c:v>
                </c:pt>
                <c:pt idx="363">
                  <c:v>0.105</c:v>
                </c:pt>
                <c:pt idx="364">
                  <c:v>0.12</c:v>
                </c:pt>
                <c:pt idx="365">
                  <c:v>0.12</c:v>
                </c:pt>
                <c:pt idx="366">
                  <c:v>0.12</c:v>
                </c:pt>
                <c:pt idx="367">
                  <c:v>0.13500000000000001</c:v>
                </c:pt>
                <c:pt idx="368">
                  <c:v>0.14000000000000001</c:v>
                </c:pt>
                <c:pt idx="369">
                  <c:v>0.14000000000000001</c:v>
                </c:pt>
                <c:pt idx="370">
                  <c:v>0.14499999999999999</c:v>
                </c:pt>
                <c:pt idx="371">
                  <c:v>0.125</c:v>
                </c:pt>
                <c:pt idx="372">
                  <c:v>0.155</c:v>
                </c:pt>
                <c:pt idx="373">
                  <c:v>0.15</c:v>
                </c:pt>
                <c:pt idx="374">
                  <c:v>0.14499999999999999</c:v>
                </c:pt>
                <c:pt idx="375">
                  <c:v>0.14000000000000001</c:v>
                </c:pt>
                <c:pt idx="376">
                  <c:v>0.125</c:v>
                </c:pt>
                <c:pt idx="377">
                  <c:v>0.14000000000000001</c:v>
                </c:pt>
                <c:pt idx="378">
                  <c:v>0.14499999999999999</c:v>
                </c:pt>
                <c:pt idx="379">
                  <c:v>0.11</c:v>
                </c:pt>
                <c:pt idx="380">
                  <c:v>0.125</c:v>
                </c:pt>
                <c:pt idx="381">
                  <c:v>0.21500000000000002</c:v>
                </c:pt>
                <c:pt idx="382">
                  <c:v>0.125</c:v>
                </c:pt>
                <c:pt idx="383">
                  <c:v>0.14499999999999999</c:v>
                </c:pt>
                <c:pt idx="384">
                  <c:v>0.115</c:v>
                </c:pt>
                <c:pt idx="385">
                  <c:v>0.13</c:v>
                </c:pt>
                <c:pt idx="386">
                  <c:v>0.13500000000000001</c:v>
                </c:pt>
                <c:pt idx="387">
                  <c:v>0.13500000000000001</c:v>
                </c:pt>
                <c:pt idx="388">
                  <c:v>0.13</c:v>
                </c:pt>
                <c:pt idx="389">
                  <c:v>0.115</c:v>
                </c:pt>
                <c:pt idx="390">
                  <c:v>0.13500000000000001</c:v>
                </c:pt>
                <c:pt idx="391">
                  <c:v>0.125</c:v>
                </c:pt>
                <c:pt idx="392">
                  <c:v>0.14000000000000001</c:v>
                </c:pt>
                <c:pt idx="393">
                  <c:v>0.13</c:v>
                </c:pt>
                <c:pt idx="394">
                  <c:v>0.15</c:v>
                </c:pt>
                <c:pt idx="395">
                  <c:v>0.125</c:v>
                </c:pt>
                <c:pt idx="396">
                  <c:v>0.13</c:v>
                </c:pt>
                <c:pt idx="397">
                  <c:v>0.13500000000000001</c:v>
                </c:pt>
                <c:pt idx="398">
                  <c:v>0.13</c:v>
                </c:pt>
                <c:pt idx="399">
                  <c:v>0.16500000000000001</c:v>
                </c:pt>
                <c:pt idx="400">
                  <c:v>0.14499999999999999</c:v>
                </c:pt>
                <c:pt idx="401">
                  <c:v>0.125</c:v>
                </c:pt>
                <c:pt idx="402">
                  <c:v>0.125</c:v>
                </c:pt>
                <c:pt idx="403">
                  <c:v>0.13500000000000001</c:v>
                </c:pt>
                <c:pt idx="404">
                  <c:v>0.14499999999999999</c:v>
                </c:pt>
                <c:pt idx="405">
                  <c:v>0.14000000000000001</c:v>
                </c:pt>
                <c:pt idx="406">
                  <c:v>0.13500000000000001</c:v>
                </c:pt>
                <c:pt idx="407">
                  <c:v>0.115</c:v>
                </c:pt>
                <c:pt idx="408">
                  <c:v>0.125</c:v>
                </c:pt>
                <c:pt idx="409">
                  <c:v>0.16500000000000001</c:v>
                </c:pt>
                <c:pt idx="410">
                  <c:v>0.13</c:v>
                </c:pt>
                <c:pt idx="411">
                  <c:v>0.125</c:v>
                </c:pt>
                <c:pt idx="412">
                  <c:v>0.14000000000000001</c:v>
                </c:pt>
                <c:pt idx="413">
                  <c:v>0.16</c:v>
                </c:pt>
                <c:pt idx="414">
                  <c:v>0.13</c:v>
                </c:pt>
                <c:pt idx="415">
                  <c:v>0.125</c:v>
                </c:pt>
                <c:pt idx="416">
                  <c:v>0.115</c:v>
                </c:pt>
                <c:pt idx="417">
                  <c:v>0.13</c:v>
                </c:pt>
                <c:pt idx="418">
                  <c:v>0.13500000000000001</c:v>
                </c:pt>
                <c:pt idx="419">
                  <c:v>0.14499999999999999</c:v>
                </c:pt>
                <c:pt idx="420">
                  <c:v>0.14000000000000001</c:v>
                </c:pt>
                <c:pt idx="421">
                  <c:v>0.12</c:v>
                </c:pt>
                <c:pt idx="422">
                  <c:v>0.14000000000000001</c:v>
                </c:pt>
                <c:pt idx="423">
                  <c:v>0.14499999999999999</c:v>
                </c:pt>
                <c:pt idx="424">
                  <c:v>0.155</c:v>
                </c:pt>
                <c:pt idx="425">
                  <c:v>0.12</c:v>
                </c:pt>
                <c:pt idx="426">
                  <c:v>0.14000000000000001</c:v>
                </c:pt>
                <c:pt idx="427">
                  <c:v>0.13</c:v>
                </c:pt>
                <c:pt idx="428">
                  <c:v>0.13500000000000001</c:v>
                </c:pt>
                <c:pt idx="429">
                  <c:v>0.13</c:v>
                </c:pt>
                <c:pt idx="430">
                  <c:v>0.125</c:v>
                </c:pt>
                <c:pt idx="431">
                  <c:v>0.18</c:v>
                </c:pt>
                <c:pt idx="432">
                  <c:v>0.14499999999999999</c:v>
                </c:pt>
                <c:pt idx="433">
                  <c:v>0.14000000000000001</c:v>
                </c:pt>
                <c:pt idx="434">
                  <c:v>0.125</c:v>
                </c:pt>
                <c:pt idx="435">
                  <c:v>0.13</c:v>
                </c:pt>
                <c:pt idx="436">
                  <c:v>0.15</c:v>
                </c:pt>
                <c:pt idx="437">
                  <c:v>0.13</c:v>
                </c:pt>
                <c:pt idx="438">
                  <c:v>0.12</c:v>
                </c:pt>
                <c:pt idx="439">
                  <c:v>0.13</c:v>
                </c:pt>
                <c:pt idx="440">
                  <c:v>0.14000000000000001</c:v>
                </c:pt>
                <c:pt idx="441">
                  <c:v>0.155</c:v>
                </c:pt>
                <c:pt idx="442">
                  <c:v>0.14000000000000001</c:v>
                </c:pt>
                <c:pt idx="443">
                  <c:v>0.16</c:v>
                </c:pt>
                <c:pt idx="444">
                  <c:v>0.14000000000000001</c:v>
                </c:pt>
                <c:pt idx="445">
                  <c:v>0.13</c:v>
                </c:pt>
                <c:pt idx="446">
                  <c:v>0.16</c:v>
                </c:pt>
                <c:pt idx="447">
                  <c:v>0.13500000000000001</c:v>
                </c:pt>
                <c:pt idx="448">
                  <c:v>0.14000000000000001</c:v>
                </c:pt>
                <c:pt idx="449">
                  <c:v>0.13</c:v>
                </c:pt>
                <c:pt idx="450">
                  <c:v>0.16</c:v>
                </c:pt>
                <c:pt idx="451">
                  <c:v>0.16</c:v>
                </c:pt>
                <c:pt idx="452">
                  <c:v>0.14499999999999999</c:v>
                </c:pt>
                <c:pt idx="453">
                  <c:v>0.15</c:v>
                </c:pt>
                <c:pt idx="454">
                  <c:v>0.13</c:v>
                </c:pt>
                <c:pt idx="455">
                  <c:v>0.16500000000000001</c:v>
                </c:pt>
                <c:pt idx="456">
                  <c:v>0.15</c:v>
                </c:pt>
                <c:pt idx="457">
                  <c:v>0.15</c:v>
                </c:pt>
                <c:pt idx="458">
                  <c:v>0.14000000000000001</c:v>
                </c:pt>
                <c:pt idx="459">
                  <c:v>0.16</c:v>
                </c:pt>
                <c:pt idx="460">
                  <c:v>0.155</c:v>
                </c:pt>
                <c:pt idx="461">
                  <c:v>0.13</c:v>
                </c:pt>
                <c:pt idx="462">
                  <c:v>0.12</c:v>
                </c:pt>
                <c:pt idx="463">
                  <c:v>0.11</c:v>
                </c:pt>
                <c:pt idx="464">
                  <c:v>0.18</c:v>
                </c:pt>
                <c:pt idx="465">
                  <c:v>0.125</c:v>
                </c:pt>
                <c:pt idx="466">
                  <c:v>0.13</c:v>
                </c:pt>
                <c:pt idx="467">
                  <c:v>0.15</c:v>
                </c:pt>
                <c:pt idx="468">
                  <c:v>0.13500000000000001</c:v>
                </c:pt>
                <c:pt idx="469">
                  <c:v>0.16</c:v>
                </c:pt>
                <c:pt idx="470">
                  <c:v>0.15</c:v>
                </c:pt>
                <c:pt idx="471">
                  <c:v>0.13500000000000001</c:v>
                </c:pt>
                <c:pt idx="472">
                  <c:v>0.13</c:v>
                </c:pt>
                <c:pt idx="473">
                  <c:v>0.155</c:v>
                </c:pt>
                <c:pt idx="474">
                  <c:v>0.13</c:v>
                </c:pt>
                <c:pt idx="475">
                  <c:v>0.115</c:v>
                </c:pt>
                <c:pt idx="476">
                  <c:v>0.14499999999999999</c:v>
                </c:pt>
                <c:pt idx="477">
                  <c:v>0.13</c:v>
                </c:pt>
                <c:pt idx="478">
                  <c:v>0.13500000000000001</c:v>
                </c:pt>
                <c:pt idx="479">
                  <c:v>0.13</c:v>
                </c:pt>
                <c:pt idx="480">
                  <c:v>0.13500000000000001</c:v>
                </c:pt>
                <c:pt idx="481">
                  <c:v>0.155</c:v>
                </c:pt>
                <c:pt idx="482">
                  <c:v>0.155</c:v>
                </c:pt>
                <c:pt idx="483">
                  <c:v>0.15</c:v>
                </c:pt>
                <c:pt idx="484">
                  <c:v>0.16500000000000001</c:v>
                </c:pt>
                <c:pt idx="485">
                  <c:v>0.125</c:v>
                </c:pt>
                <c:pt idx="486">
                  <c:v>0.18</c:v>
                </c:pt>
                <c:pt idx="487">
                  <c:v>0.155</c:v>
                </c:pt>
                <c:pt idx="488">
                  <c:v>0.15</c:v>
                </c:pt>
                <c:pt idx="489">
                  <c:v>0.14000000000000001</c:v>
                </c:pt>
                <c:pt idx="490">
                  <c:v>0.115</c:v>
                </c:pt>
                <c:pt idx="491">
                  <c:v>0.155</c:v>
                </c:pt>
                <c:pt idx="492">
                  <c:v>0.14000000000000001</c:v>
                </c:pt>
                <c:pt idx="493">
                  <c:v>0.19</c:v>
                </c:pt>
                <c:pt idx="494">
                  <c:v>0.125</c:v>
                </c:pt>
                <c:pt idx="495">
                  <c:v>0.13</c:v>
                </c:pt>
                <c:pt idx="496">
                  <c:v>0.15</c:v>
                </c:pt>
                <c:pt idx="497">
                  <c:v>0.14000000000000001</c:v>
                </c:pt>
                <c:pt idx="498">
                  <c:v>0.125</c:v>
                </c:pt>
                <c:pt idx="499">
                  <c:v>0.185</c:v>
                </c:pt>
                <c:pt idx="500">
                  <c:v>0.13500000000000001</c:v>
                </c:pt>
                <c:pt idx="501">
                  <c:v>0.14499999999999999</c:v>
                </c:pt>
                <c:pt idx="502">
                  <c:v>0.18</c:v>
                </c:pt>
                <c:pt idx="503">
                  <c:v>0.16</c:v>
                </c:pt>
                <c:pt idx="504">
                  <c:v>0.155</c:v>
                </c:pt>
                <c:pt idx="505">
                  <c:v>0.14000000000000001</c:v>
                </c:pt>
                <c:pt idx="506">
                  <c:v>0.155</c:v>
                </c:pt>
                <c:pt idx="507">
                  <c:v>0.125</c:v>
                </c:pt>
                <c:pt idx="508">
                  <c:v>0.15</c:v>
                </c:pt>
                <c:pt idx="509">
                  <c:v>0.13500000000000001</c:v>
                </c:pt>
                <c:pt idx="510">
                  <c:v>0.16500000000000001</c:v>
                </c:pt>
                <c:pt idx="511">
                  <c:v>0.15</c:v>
                </c:pt>
                <c:pt idx="512">
                  <c:v>0.155</c:v>
                </c:pt>
                <c:pt idx="513">
                  <c:v>0.14000000000000001</c:v>
                </c:pt>
                <c:pt idx="514">
                  <c:v>0.15</c:v>
                </c:pt>
                <c:pt idx="515">
                  <c:v>0.13</c:v>
                </c:pt>
                <c:pt idx="516">
                  <c:v>0.13500000000000001</c:v>
                </c:pt>
                <c:pt idx="517">
                  <c:v>0.13500000000000001</c:v>
                </c:pt>
                <c:pt idx="518">
                  <c:v>0.12</c:v>
                </c:pt>
                <c:pt idx="519">
                  <c:v>0.17499999999999999</c:v>
                </c:pt>
                <c:pt idx="520">
                  <c:v>0.14499999999999999</c:v>
                </c:pt>
                <c:pt idx="521">
                  <c:v>0.15</c:v>
                </c:pt>
                <c:pt idx="522">
                  <c:v>0.15</c:v>
                </c:pt>
                <c:pt idx="523">
                  <c:v>0.17499999999999999</c:v>
                </c:pt>
                <c:pt idx="524">
                  <c:v>0.16500000000000001</c:v>
                </c:pt>
                <c:pt idx="525">
                  <c:v>0.16</c:v>
                </c:pt>
                <c:pt idx="526">
                  <c:v>0.155</c:v>
                </c:pt>
                <c:pt idx="527">
                  <c:v>0.16500000000000001</c:v>
                </c:pt>
                <c:pt idx="528">
                  <c:v>0.17499999999999999</c:v>
                </c:pt>
                <c:pt idx="529">
                  <c:v>0.16</c:v>
                </c:pt>
                <c:pt idx="530">
                  <c:v>0.17499999999999999</c:v>
                </c:pt>
                <c:pt idx="531">
                  <c:v>0.17499999999999999</c:v>
                </c:pt>
                <c:pt idx="532">
                  <c:v>0.14000000000000001</c:v>
                </c:pt>
                <c:pt idx="533">
                  <c:v>0.155</c:v>
                </c:pt>
                <c:pt idx="534">
                  <c:v>0.13500000000000001</c:v>
                </c:pt>
                <c:pt idx="535">
                  <c:v>0.155</c:v>
                </c:pt>
                <c:pt idx="536">
                  <c:v>0.16500000000000001</c:v>
                </c:pt>
                <c:pt idx="537">
                  <c:v>0.155</c:v>
                </c:pt>
                <c:pt idx="538">
                  <c:v>0.14499999999999999</c:v>
                </c:pt>
                <c:pt idx="539">
                  <c:v>0.15</c:v>
                </c:pt>
                <c:pt idx="540">
                  <c:v>0.14000000000000001</c:v>
                </c:pt>
                <c:pt idx="541">
                  <c:v>0.16</c:v>
                </c:pt>
                <c:pt idx="542">
                  <c:v>0.155</c:v>
                </c:pt>
                <c:pt idx="543">
                  <c:v>0.185</c:v>
                </c:pt>
                <c:pt idx="544">
                  <c:v>0.16</c:v>
                </c:pt>
                <c:pt idx="545">
                  <c:v>0.18</c:v>
                </c:pt>
                <c:pt idx="546">
                  <c:v>0.16</c:v>
                </c:pt>
                <c:pt idx="547">
                  <c:v>0.16500000000000001</c:v>
                </c:pt>
                <c:pt idx="548">
                  <c:v>0.155</c:v>
                </c:pt>
                <c:pt idx="549">
                  <c:v>0.14000000000000001</c:v>
                </c:pt>
                <c:pt idx="550">
                  <c:v>0.14499999999999999</c:v>
                </c:pt>
                <c:pt idx="551">
                  <c:v>0.13500000000000001</c:v>
                </c:pt>
                <c:pt idx="552">
                  <c:v>0.13500000000000001</c:v>
                </c:pt>
                <c:pt idx="553">
                  <c:v>0.15</c:v>
                </c:pt>
                <c:pt idx="554">
                  <c:v>0.17</c:v>
                </c:pt>
                <c:pt idx="555">
                  <c:v>0.14000000000000001</c:v>
                </c:pt>
                <c:pt idx="556">
                  <c:v>0.17499999999999999</c:v>
                </c:pt>
                <c:pt idx="557">
                  <c:v>0.14000000000000001</c:v>
                </c:pt>
                <c:pt idx="558">
                  <c:v>0.17499999999999999</c:v>
                </c:pt>
                <c:pt idx="559">
                  <c:v>0.155</c:v>
                </c:pt>
                <c:pt idx="560">
                  <c:v>0.14499999999999999</c:v>
                </c:pt>
                <c:pt idx="561">
                  <c:v>0.16500000000000001</c:v>
                </c:pt>
                <c:pt idx="562">
                  <c:v>0.14000000000000001</c:v>
                </c:pt>
                <c:pt idx="563">
                  <c:v>0.15</c:v>
                </c:pt>
                <c:pt idx="564">
                  <c:v>0.17</c:v>
                </c:pt>
                <c:pt idx="565">
                  <c:v>0.13</c:v>
                </c:pt>
                <c:pt idx="566">
                  <c:v>0.16500000000000001</c:v>
                </c:pt>
                <c:pt idx="567">
                  <c:v>0.155</c:v>
                </c:pt>
                <c:pt idx="568">
                  <c:v>0.18</c:v>
                </c:pt>
                <c:pt idx="569">
                  <c:v>0.23499999999999999</c:v>
                </c:pt>
                <c:pt idx="570">
                  <c:v>0.15</c:v>
                </c:pt>
                <c:pt idx="571">
                  <c:v>0.15</c:v>
                </c:pt>
                <c:pt idx="572">
                  <c:v>0.15</c:v>
                </c:pt>
                <c:pt idx="573">
                  <c:v>0.2</c:v>
                </c:pt>
                <c:pt idx="574">
                  <c:v>0.21</c:v>
                </c:pt>
                <c:pt idx="575">
                  <c:v>0.17499999999999999</c:v>
                </c:pt>
                <c:pt idx="576">
                  <c:v>0.16500000000000001</c:v>
                </c:pt>
                <c:pt idx="577">
                  <c:v>0.19500000000000001</c:v>
                </c:pt>
                <c:pt idx="578">
                  <c:v>0.16500000000000001</c:v>
                </c:pt>
                <c:pt idx="579">
                  <c:v>0.2</c:v>
                </c:pt>
                <c:pt idx="580">
                  <c:v>0.14000000000000001</c:v>
                </c:pt>
                <c:pt idx="581">
                  <c:v>0.19</c:v>
                </c:pt>
                <c:pt idx="582">
                  <c:v>0.13</c:v>
                </c:pt>
                <c:pt idx="583">
                  <c:v>0.185</c:v>
                </c:pt>
                <c:pt idx="584">
                  <c:v>0.14499999999999999</c:v>
                </c:pt>
                <c:pt idx="585">
                  <c:v>0.22500000000000001</c:v>
                </c:pt>
                <c:pt idx="586">
                  <c:v>0.17</c:v>
                </c:pt>
                <c:pt idx="587">
                  <c:v>0.185</c:v>
                </c:pt>
                <c:pt idx="588">
                  <c:v>0.215</c:v>
                </c:pt>
                <c:pt idx="589">
                  <c:v>0.15</c:v>
                </c:pt>
                <c:pt idx="590">
                  <c:v>0.155</c:v>
                </c:pt>
                <c:pt idx="591">
                  <c:v>0.18</c:v>
                </c:pt>
                <c:pt idx="592">
                  <c:v>0.19</c:v>
                </c:pt>
                <c:pt idx="593">
                  <c:v>0.16</c:v>
                </c:pt>
                <c:pt idx="594">
                  <c:v>0.215</c:v>
                </c:pt>
                <c:pt idx="595">
                  <c:v>0.16</c:v>
                </c:pt>
                <c:pt idx="596">
                  <c:v>0.19500000000000001</c:v>
                </c:pt>
                <c:pt idx="597">
                  <c:v>0.17499999999999999</c:v>
                </c:pt>
                <c:pt idx="598">
                  <c:v>0.17499999999999999</c:v>
                </c:pt>
                <c:pt idx="599">
                  <c:v>0.185</c:v>
                </c:pt>
                <c:pt idx="600">
                  <c:v>0.215</c:v>
                </c:pt>
                <c:pt idx="601">
                  <c:v>0.2</c:v>
                </c:pt>
                <c:pt idx="602">
                  <c:v>0.185</c:v>
                </c:pt>
                <c:pt idx="603">
                  <c:v>0.2</c:v>
                </c:pt>
                <c:pt idx="604">
                  <c:v>0.19500000000000001</c:v>
                </c:pt>
                <c:pt idx="605">
                  <c:v>0.22500000000000001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7D9-C849-B7D3-A04B473F0829}"/>
            </c:ext>
          </c:extLst>
        </c:ser>
        <c:ser>
          <c:idx val="4"/>
          <c:order val="4"/>
          <c:tx>
            <c:strRef>
              <c:f>'Ecomonic Values'!$F$24</c:f>
              <c:strCache>
                <c:ptCount val="1"/>
                <c:pt idx="0">
                  <c:v>Sum of Whole_weight</c:v>
                </c:pt>
              </c:strCache>
            </c:strRef>
          </c:tx>
          <c:spPr>
            <a:noFill/>
            <a:ln w="9525" cap="flat" cmpd="sng" algn="ctr">
              <a:solidFill>
                <a:schemeClr val="accent5"/>
              </a:solidFill>
              <a:miter lim="800000"/>
            </a:ln>
            <a:effectLst>
              <a:glow rad="63500">
                <a:schemeClr val="accent5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'Ecomonic Values'!$A$25:$A$631</c:f>
              <c:strCache>
                <c:ptCount val="606"/>
                <c:pt idx="0">
                  <c:v>0.619489</c:v>
                </c:pt>
                <c:pt idx="1">
                  <c:v>0.620692</c:v>
                </c:pt>
                <c:pt idx="2">
                  <c:v>0.628516666666667</c:v>
                </c:pt>
                <c:pt idx="3">
                  <c:v>0.6308</c:v>
                </c:pt>
                <c:pt idx="4">
                  <c:v>0.6311</c:v>
                </c:pt>
                <c:pt idx="5">
                  <c:v>0.634939333333333</c:v>
                </c:pt>
                <c:pt idx="6">
                  <c:v>0.636157333333333</c:v>
                </c:pt>
                <c:pt idx="7">
                  <c:v>0.638656</c:v>
                </c:pt>
                <c:pt idx="8">
                  <c:v>0.63878</c:v>
                </c:pt>
                <c:pt idx="9">
                  <c:v>0.638848</c:v>
                </c:pt>
                <c:pt idx="10">
                  <c:v>0.644037333333333</c:v>
                </c:pt>
                <c:pt idx="11">
                  <c:v>0.650225</c:v>
                </c:pt>
                <c:pt idx="12">
                  <c:v>0.650465</c:v>
                </c:pt>
                <c:pt idx="13">
                  <c:v>0.652734666666667</c:v>
                </c:pt>
                <c:pt idx="14">
                  <c:v>0.655434</c:v>
                </c:pt>
                <c:pt idx="15">
                  <c:v>0.655447333333333</c:v>
                </c:pt>
                <c:pt idx="16">
                  <c:v>0.659883666666667</c:v>
                </c:pt>
                <c:pt idx="17">
                  <c:v>0.662998666666667</c:v>
                </c:pt>
                <c:pt idx="18">
                  <c:v>0.667696333333333</c:v>
                </c:pt>
                <c:pt idx="19">
                  <c:v>0.673026666666667</c:v>
                </c:pt>
                <c:pt idx="20">
                  <c:v>0.679512</c:v>
                </c:pt>
                <c:pt idx="21">
                  <c:v>0.682043666666667</c:v>
                </c:pt>
                <c:pt idx="22">
                  <c:v>0.682292</c:v>
                </c:pt>
                <c:pt idx="23">
                  <c:v>0.682411666666667</c:v>
                </c:pt>
                <c:pt idx="24">
                  <c:v>0.683211666666667</c:v>
                </c:pt>
                <c:pt idx="25">
                  <c:v>0.683488666666667</c:v>
                </c:pt>
                <c:pt idx="26">
                  <c:v>0.684096</c:v>
                </c:pt>
                <c:pt idx="27">
                  <c:v>0.684112333333333</c:v>
                </c:pt>
                <c:pt idx="28">
                  <c:v>0.685708666666667</c:v>
                </c:pt>
                <c:pt idx="29">
                  <c:v>0.686368</c:v>
                </c:pt>
                <c:pt idx="30">
                  <c:v>0.68771</c:v>
                </c:pt>
                <c:pt idx="31">
                  <c:v>0.689612</c:v>
                </c:pt>
                <c:pt idx="32">
                  <c:v>0.6904</c:v>
                </c:pt>
                <c:pt idx="33">
                  <c:v>0.690624</c:v>
                </c:pt>
                <c:pt idx="34">
                  <c:v>0.690973333333333</c:v>
                </c:pt>
                <c:pt idx="35">
                  <c:v>0.691266666666667</c:v>
                </c:pt>
                <c:pt idx="36">
                  <c:v>0.691789333333333</c:v>
                </c:pt>
                <c:pt idx="37">
                  <c:v>0.692277333333333</c:v>
                </c:pt>
                <c:pt idx="38">
                  <c:v>0.693312</c:v>
                </c:pt>
                <c:pt idx="39">
                  <c:v>0.693796</c:v>
                </c:pt>
                <c:pt idx="40">
                  <c:v>0.694099333333333</c:v>
                </c:pt>
                <c:pt idx="41">
                  <c:v>0.694799333333333</c:v>
                </c:pt>
                <c:pt idx="42">
                  <c:v>0.695319</c:v>
                </c:pt>
                <c:pt idx="43">
                  <c:v>0.695923333333333</c:v>
                </c:pt>
                <c:pt idx="44">
                  <c:v>0.697055</c:v>
                </c:pt>
                <c:pt idx="45">
                  <c:v>0.698186666666667</c:v>
                </c:pt>
                <c:pt idx="46">
                  <c:v>0.699466666666667</c:v>
                </c:pt>
                <c:pt idx="47">
                  <c:v>0.699896666666667</c:v>
                </c:pt>
                <c:pt idx="48">
                  <c:v>0.700022</c:v>
                </c:pt>
                <c:pt idx="49">
                  <c:v>0.700231666666667</c:v>
                </c:pt>
                <c:pt idx="50">
                  <c:v>0.70052</c:v>
                </c:pt>
                <c:pt idx="51">
                  <c:v>0.701098333333333</c:v>
                </c:pt>
                <c:pt idx="52">
                  <c:v>0.701664</c:v>
                </c:pt>
                <c:pt idx="53">
                  <c:v>0.702193333333333</c:v>
                </c:pt>
                <c:pt idx="54">
                  <c:v>0.702563333333333</c:v>
                </c:pt>
                <c:pt idx="55">
                  <c:v>0.703306333333333</c:v>
                </c:pt>
                <c:pt idx="56">
                  <c:v>0.703831333333333</c:v>
                </c:pt>
                <c:pt idx="57">
                  <c:v>0.703904</c:v>
                </c:pt>
                <c:pt idx="58">
                  <c:v>0.70394</c:v>
                </c:pt>
                <c:pt idx="59">
                  <c:v>0.703978666666667</c:v>
                </c:pt>
                <c:pt idx="60">
                  <c:v>0.704058333333333</c:v>
                </c:pt>
                <c:pt idx="61">
                  <c:v>0.706151333333333</c:v>
                </c:pt>
                <c:pt idx="62">
                  <c:v>0.706465</c:v>
                </c:pt>
                <c:pt idx="63">
                  <c:v>0.708746666666667</c:v>
                </c:pt>
                <c:pt idx="64">
                  <c:v>0.710986666666667</c:v>
                </c:pt>
                <c:pt idx="65">
                  <c:v>0.711466666666667</c:v>
                </c:pt>
                <c:pt idx="66">
                  <c:v>0.712090333333333</c:v>
                </c:pt>
                <c:pt idx="67">
                  <c:v>0.713679333333333</c:v>
                </c:pt>
                <c:pt idx="68">
                  <c:v>0.713955333333333</c:v>
                </c:pt>
                <c:pt idx="69">
                  <c:v>0.715358666666667</c:v>
                </c:pt>
                <c:pt idx="70">
                  <c:v>0.715857333333333</c:v>
                </c:pt>
                <c:pt idx="71">
                  <c:v>0.715918666666667</c:v>
                </c:pt>
                <c:pt idx="72">
                  <c:v>0.715988666666667</c:v>
                </c:pt>
                <c:pt idx="73">
                  <c:v>0.716332666666667</c:v>
                </c:pt>
                <c:pt idx="74">
                  <c:v>0.716663333333333</c:v>
                </c:pt>
                <c:pt idx="75">
                  <c:v>0.716713</c:v>
                </c:pt>
                <c:pt idx="76">
                  <c:v>0.716839333333333</c:v>
                </c:pt>
                <c:pt idx="77">
                  <c:v>0.718463333333333</c:v>
                </c:pt>
                <c:pt idx="78">
                  <c:v>0.718707666666667</c:v>
                </c:pt>
                <c:pt idx="79">
                  <c:v>0.718975</c:v>
                </c:pt>
                <c:pt idx="80">
                  <c:v>0.7191</c:v>
                </c:pt>
                <c:pt idx="81">
                  <c:v>0.719423333333333</c:v>
                </c:pt>
                <c:pt idx="82">
                  <c:v>0.719735</c:v>
                </c:pt>
                <c:pt idx="83">
                  <c:v>0.719866666666667</c:v>
                </c:pt>
                <c:pt idx="84">
                  <c:v>0.720208666666667</c:v>
                </c:pt>
                <c:pt idx="85">
                  <c:v>0.72048</c:v>
                </c:pt>
                <c:pt idx="86">
                  <c:v>0.720723333333333</c:v>
                </c:pt>
                <c:pt idx="87">
                  <c:v>0.720974</c:v>
                </c:pt>
                <c:pt idx="88">
                  <c:v>0.721682333333333</c:v>
                </c:pt>
                <c:pt idx="89">
                  <c:v>0.722731333333333</c:v>
                </c:pt>
                <c:pt idx="90">
                  <c:v>0.722783333333333</c:v>
                </c:pt>
                <c:pt idx="91">
                  <c:v>0.722999333333333</c:v>
                </c:pt>
                <c:pt idx="92">
                  <c:v>0.723309</c:v>
                </c:pt>
                <c:pt idx="93">
                  <c:v>0.723702666666667</c:v>
                </c:pt>
                <c:pt idx="94">
                  <c:v>0.724033333333333</c:v>
                </c:pt>
                <c:pt idx="95">
                  <c:v>0.724093333333333</c:v>
                </c:pt>
                <c:pt idx="96">
                  <c:v>0.724322666666667</c:v>
                </c:pt>
                <c:pt idx="97">
                  <c:v>0.724406666666667</c:v>
                </c:pt>
                <c:pt idx="98">
                  <c:v>0.724427333333333</c:v>
                </c:pt>
                <c:pt idx="99">
                  <c:v>0.724479666666667</c:v>
                </c:pt>
                <c:pt idx="100">
                  <c:v>0.72466</c:v>
                </c:pt>
                <c:pt idx="101">
                  <c:v>0.725480666666667</c:v>
                </c:pt>
                <c:pt idx="102">
                  <c:v>0.725833333333333</c:v>
                </c:pt>
                <c:pt idx="103">
                  <c:v>0.725874</c:v>
                </c:pt>
                <c:pt idx="104">
                  <c:v>0.726246666666667</c:v>
                </c:pt>
                <c:pt idx="105">
                  <c:v>0.726293333333333</c:v>
                </c:pt>
                <c:pt idx="106">
                  <c:v>0.72644</c:v>
                </c:pt>
                <c:pt idx="107">
                  <c:v>0.7265</c:v>
                </c:pt>
                <c:pt idx="108">
                  <c:v>0.726933333333333</c:v>
                </c:pt>
                <c:pt idx="109">
                  <c:v>0.727316333333333</c:v>
                </c:pt>
                <c:pt idx="110">
                  <c:v>0.727379333333333</c:v>
                </c:pt>
                <c:pt idx="111">
                  <c:v>0.728418666666667</c:v>
                </c:pt>
                <c:pt idx="112">
                  <c:v>0.729069666666667</c:v>
                </c:pt>
                <c:pt idx="113">
                  <c:v>0.729694</c:v>
                </c:pt>
                <c:pt idx="114">
                  <c:v>0.729953333333333</c:v>
                </c:pt>
                <c:pt idx="115">
                  <c:v>0.730131666666667</c:v>
                </c:pt>
                <c:pt idx="116">
                  <c:v>0.730304</c:v>
                </c:pt>
                <c:pt idx="117">
                  <c:v>0.730961</c:v>
                </c:pt>
                <c:pt idx="118">
                  <c:v>0.73166</c:v>
                </c:pt>
                <c:pt idx="119">
                  <c:v>0.73228</c:v>
                </c:pt>
                <c:pt idx="120">
                  <c:v>0.732433333333333</c:v>
                </c:pt>
                <c:pt idx="121">
                  <c:v>0.73253</c:v>
                </c:pt>
                <c:pt idx="122">
                  <c:v>0.733067333333333</c:v>
                </c:pt>
                <c:pt idx="123">
                  <c:v>0.73334</c:v>
                </c:pt>
                <c:pt idx="124">
                  <c:v>0.73368</c:v>
                </c:pt>
                <c:pt idx="125">
                  <c:v>0.73376</c:v>
                </c:pt>
                <c:pt idx="126">
                  <c:v>0.733987333333333</c:v>
                </c:pt>
                <c:pt idx="127">
                  <c:v>0.734152</c:v>
                </c:pt>
                <c:pt idx="128">
                  <c:v>0.73434</c:v>
                </c:pt>
                <c:pt idx="129">
                  <c:v>0.734582666666667</c:v>
                </c:pt>
                <c:pt idx="130">
                  <c:v>0.734876</c:v>
                </c:pt>
                <c:pt idx="131">
                  <c:v>0.735253</c:v>
                </c:pt>
                <c:pt idx="132">
                  <c:v>0.735526</c:v>
                </c:pt>
                <c:pt idx="133">
                  <c:v>0.735574666666667</c:v>
                </c:pt>
                <c:pt idx="134">
                  <c:v>0.736146666666667</c:v>
                </c:pt>
                <c:pt idx="135">
                  <c:v>0.736738333333333</c:v>
                </c:pt>
                <c:pt idx="136">
                  <c:v>0.737026666666667</c:v>
                </c:pt>
                <c:pt idx="137">
                  <c:v>0.737766666666667</c:v>
                </c:pt>
                <c:pt idx="138">
                  <c:v>0.737820333333333</c:v>
                </c:pt>
                <c:pt idx="139">
                  <c:v>0.738053333333333</c:v>
                </c:pt>
                <c:pt idx="140">
                  <c:v>0.738350666666667</c:v>
                </c:pt>
                <c:pt idx="141">
                  <c:v>0.738351333333333</c:v>
                </c:pt>
                <c:pt idx="142">
                  <c:v>0.738366666666667</c:v>
                </c:pt>
                <c:pt idx="143">
                  <c:v>0.738613333333333</c:v>
                </c:pt>
                <c:pt idx="144">
                  <c:v>0.739472333333333</c:v>
                </c:pt>
                <c:pt idx="145">
                  <c:v>0.739570666666667</c:v>
                </c:pt>
                <c:pt idx="146">
                  <c:v>0.739673333333333</c:v>
                </c:pt>
                <c:pt idx="147">
                  <c:v>0.739964</c:v>
                </c:pt>
                <c:pt idx="148">
                  <c:v>0.740920666666667</c:v>
                </c:pt>
                <c:pt idx="149">
                  <c:v>0.741333333333333</c:v>
                </c:pt>
                <c:pt idx="150">
                  <c:v>0.741442666666667</c:v>
                </c:pt>
                <c:pt idx="151">
                  <c:v>0.741558</c:v>
                </c:pt>
                <c:pt idx="152">
                  <c:v>0.742018666666667</c:v>
                </c:pt>
                <c:pt idx="153">
                  <c:v>0.742253333333333</c:v>
                </c:pt>
                <c:pt idx="154">
                  <c:v>0.742853</c:v>
                </c:pt>
                <c:pt idx="155">
                  <c:v>0.74302</c:v>
                </c:pt>
                <c:pt idx="156">
                  <c:v>0.743316666666667</c:v>
                </c:pt>
                <c:pt idx="157">
                  <c:v>0.743558666666667</c:v>
                </c:pt>
                <c:pt idx="158">
                  <c:v>0.743766666666667</c:v>
                </c:pt>
                <c:pt idx="159">
                  <c:v>0.743807333333333</c:v>
                </c:pt>
                <c:pt idx="160">
                  <c:v>0.744473333333333</c:v>
                </c:pt>
                <c:pt idx="161">
                  <c:v>0.74458</c:v>
                </c:pt>
                <c:pt idx="162">
                  <c:v>0.744607666666667</c:v>
                </c:pt>
                <c:pt idx="163">
                  <c:v>0.744813333333333</c:v>
                </c:pt>
                <c:pt idx="164">
                  <c:v>0.745114666666667</c:v>
                </c:pt>
                <c:pt idx="165">
                  <c:v>0.745214666666667</c:v>
                </c:pt>
                <c:pt idx="166">
                  <c:v>0.745624</c:v>
                </c:pt>
                <c:pt idx="167">
                  <c:v>0.745905333333333</c:v>
                </c:pt>
                <c:pt idx="168">
                  <c:v>0.745981333333333</c:v>
                </c:pt>
                <c:pt idx="169">
                  <c:v>0.746225</c:v>
                </c:pt>
                <c:pt idx="170">
                  <c:v>0.746378666666667</c:v>
                </c:pt>
                <c:pt idx="171">
                  <c:v>0.747146666666667</c:v>
                </c:pt>
                <c:pt idx="172">
                  <c:v>0.747202666666667</c:v>
                </c:pt>
                <c:pt idx="173">
                  <c:v>0.747662666666667</c:v>
                </c:pt>
                <c:pt idx="174">
                  <c:v>0.747703666666667</c:v>
                </c:pt>
                <c:pt idx="175">
                  <c:v>0.747742666666667</c:v>
                </c:pt>
                <c:pt idx="176">
                  <c:v>0.747752</c:v>
                </c:pt>
                <c:pt idx="177">
                  <c:v>0.748026666666667</c:v>
                </c:pt>
                <c:pt idx="178">
                  <c:v>0.748030666666667</c:v>
                </c:pt>
                <c:pt idx="179">
                  <c:v>0.748623333333333</c:v>
                </c:pt>
                <c:pt idx="180">
                  <c:v>0.74865</c:v>
                </c:pt>
                <c:pt idx="181">
                  <c:v>0.748926333333333</c:v>
                </c:pt>
                <c:pt idx="182">
                  <c:v>0.748966666666667</c:v>
                </c:pt>
                <c:pt idx="183">
                  <c:v>0.74949</c:v>
                </c:pt>
                <c:pt idx="184">
                  <c:v>0.749888</c:v>
                </c:pt>
                <c:pt idx="185">
                  <c:v>0.750051666666667</c:v>
                </c:pt>
                <c:pt idx="186">
                  <c:v>0.750345666666667</c:v>
                </c:pt>
                <c:pt idx="187">
                  <c:v>0.750562666666667</c:v>
                </c:pt>
                <c:pt idx="188">
                  <c:v>0.75064</c:v>
                </c:pt>
                <c:pt idx="189">
                  <c:v>0.751152</c:v>
                </c:pt>
                <c:pt idx="190">
                  <c:v>0.751190666666667</c:v>
                </c:pt>
                <c:pt idx="191">
                  <c:v>0.751208666666667</c:v>
                </c:pt>
                <c:pt idx="192">
                  <c:v>0.751648</c:v>
                </c:pt>
                <c:pt idx="193">
                  <c:v>0.751882666666667</c:v>
                </c:pt>
                <c:pt idx="194">
                  <c:v>0.752824</c:v>
                </c:pt>
                <c:pt idx="195">
                  <c:v>0.752925</c:v>
                </c:pt>
                <c:pt idx="196">
                  <c:v>0.752938</c:v>
                </c:pt>
                <c:pt idx="197">
                  <c:v>0.752964666666667</c:v>
                </c:pt>
                <c:pt idx="198">
                  <c:v>0.753112666666667</c:v>
                </c:pt>
                <c:pt idx="199">
                  <c:v>0.753152</c:v>
                </c:pt>
                <c:pt idx="200">
                  <c:v>0.753525333333333</c:v>
                </c:pt>
                <c:pt idx="201">
                  <c:v>0.753682666666667</c:v>
                </c:pt>
                <c:pt idx="202">
                  <c:v>0.753826666666667</c:v>
                </c:pt>
                <c:pt idx="203">
                  <c:v>0.753946666666667</c:v>
                </c:pt>
                <c:pt idx="204">
                  <c:v>0.753955</c:v>
                </c:pt>
                <c:pt idx="205">
                  <c:v>0.754380333333333</c:v>
                </c:pt>
                <c:pt idx="206">
                  <c:v>0.754453333333333</c:v>
                </c:pt>
                <c:pt idx="207">
                  <c:v>0.755032</c:v>
                </c:pt>
                <c:pt idx="208">
                  <c:v>0.755296666666667</c:v>
                </c:pt>
                <c:pt idx="209">
                  <c:v>0.75548</c:v>
                </c:pt>
                <c:pt idx="210">
                  <c:v>0.755746666666667</c:v>
                </c:pt>
                <c:pt idx="211">
                  <c:v>0.755814333333333</c:v>
                </c:pt>
                <c:pt idx="212">
                  <c:v>0.755835</c:v>
                </c:pt>
                <c:pt idx="213">
                  <c:v>0.755843333333333</c:v>
                </c:pt>
                <c:pt idx="214">
                  <c:v>0.755861333333333</c:v>
                </c:pt>
                <c:pt idx="215">
                  <c:v>0.756262</c:v>
                </c:pt>
                <c:pt idx="216">
                  <c:v>0.756356666666667</c:v>
                </c:pt>
                <c:pt idx="217">
                  <c:v>0.756450666666667</c:v>
                </c:pt>
                <c:pt idx="218">
                  <c:v>0.756475</c:v>
                </c:pt>
                <c:pt idx="219">
                  <c:v>0.756773333333333</c:v>
                </c:pt>
                <c:pt idx="220">
                  <c:v>0.756957333333333</c:v>
                </c:pt>
                <c:pt idx="221">
                  <c:v>0.757189333333333</c:v>
                </c:pt>
                <c:pt idx="222">
                  <c:v>0.7572</c:v>
                </c:pt>
                <c:pt idx="223">
                  <c:v>0.757292666666667</c:v>
                </c:pt>
                <c:pt idx="224">
                  <c:v>0.757382666666667</c:v>
                </c:pt>
                <c:pt idx="225">
                  <c:v>0.757454333333333</c:v>
                </c:pt>
                <c:pt idx="226">
                  <c:v>0.757661333333333</c:v>
                </c:pt>
                <c:pt idx="227">
                  <c:v>0.757685</c:v>
                </c:pt>
                <c:pt idx="228">
                  <c:v>0.757856</c:v>
                </c:pt>
                <c:pt idx="229">
                  <c:v>0.75852</c:v>
                </c:pt>
                <c:pt idx="230">
                  <c:v>0.75861</c:v>
                </c:pt>
                <c:pt idx="231">
                  <c:v>0.758633333333333</c:v>
                </c:pt>
                <c:pt idx="232">
                  <c:v>0.758721333333333</c:v>
                </c:pt>
                <c:pt idx="233">
                  <c:v>0.758894</c:v>
                </c:pt>
                <c:pt idx="234">
                  <c:v>0.759801333333333</c:v>
                </c:pt>
                <c:pt idx="235">
                  <c:v>0.760160666666667</c:v>
                </c:pt>
                <c:pt idx="236">
                  <c:v>0.760207666666667</c:v>
                </c:pt>
                <c:pt idx="237">
                  <c:v>0.760597666666667</c:v>
                </c:pt>
                <c:pt idx="238">
                  <c:v>0.760628333333333</c:v>
                </c:pt>
                <c:pt idx="239">
                  <c:v>0.760683666666667</c:v>
                </c:pt>
                <c:pt idx="240">
                  <c:v>0.760746</c:v>
                </c:pt>
                <c:pt idx="241">
                  <c:v>0.760880666666667</c:v>
                </c:pt>
                <c:pt idx="242">
                  <c:v>0.760938666666667</c:v>
                </c:pt>
                <c:pt idx="243">
                  <c:v>0.761286666666667</c:v>
                </c:pt>
                <c:pt idx="244">
                  <c:v>0.761334666666667</c:v>
                </c:pt>
                <c:pt idx="245">
                  <c:v>0.761416</c:v>
                </c:pt>
                <c:pt idx="246">
                  <c:v>0.761536666666667</c:v>
                </c:pt>
                <c:pt idx="247">
                  <c:v>0.761703333333333</c:v>
                </c:pt>
                <c:pt idx="248">
                  <c:v>0.761890666666667</c:v>
                </c:pt>
                <c:pt idx="249">
                  <c:v>0.762020666666667</c:v>
                </c:pt>
                <c:pt idx="250">
                  <c:v>0.762210666666667</c:v>
                </c:pt>
                <c:pt idx="251">
                  <c:v>0.762221333333333</c:v>
                </c:pt>
                <c:pt idx="252">
                  <c:v>0.762374666666667</c:v>
                </c:pt>
                <c:pt idx="253">
                  <c:v>0.762492</c:v>
                </c:pt>
                <c:pt idx="254">
                  <c:v>0.762513333333333</c:v>
                </c:pt>
                <c:pt idx="255">
                  <c:v>0.762778666666667</c:v>
                </c:pt>
                <c:pt idx="256">
                  <c:v>0.762925333333333</c:v>
                </c:pt>
                <c:pt idx="257">
                  <c:v>0.762957</c:v>
                </c:pt>
                <c:pt idx="258">
                  <c:v>0.763084</c:v>
                </c:pt>
                <c:pt idx="259">
                  <c:v>0.763394</c:v>
                </c:pt>
                <c:pt idx="260">
                  <c:v>0.763518666666667</c:v>
                </c:pt>
                <c:pt idx="261">
                  <c:v>0.763576</c:v>
                </c:pt>
                <c:pt idx="262">
                  <c:v>0.763587333333333</c:v>
                </c:pt>
                <c:pt idx="263">
                  <c:v>0.76378</c:v>
                </c:pt>
                <c:pt idx="264">
                  <c:v>0.764412</c:v>
                </c:pt>
                <c:pt idx="265">
                  <c:v>0.764553333333333</c:v>
                </c:pt>
                <c:pt idx="266">
                  <c:v>0.764672666666667</c:v>
                </c:pt>
                <c:pt idx="267">
                  <c:v>0.764751</c:v>
                </c:pt>
                <c:pt idx="268">
                  <c:v>0.764865333333333</c:v>
                </c:pt>
                <c:pt idx="269">
                  <c:v>0.76519</c:v>
                </c:pt>
                <c:pt idx="270">
                  <c:v>0.765526666666667</c:v>
                </c:pt>
                <c:pt idx="271">
                  <c:v>0.765636</c:v>
                </c:pt>
                <c:pt idx="272">
                  <c:v>0.765651</c:v>
                </c:pt>
                <c:pt idx="273">
                  <c:v>0.76592</c:v>
                </c:pt>
                <c:pt idx="274">
                  <c:v>0.765992</c:v>
                </c:pt>
                <c:pt idx="275">
                  <c:v>0.766126666666667</c:v>
                </c:pt>
                <c:pt idx="276">
                  <c:v>0.766193666666667</c:v>
                </c:pt>
                <c:pt idx="277">
                  <c:v>0.766235333333333</c:v>
                </c:pt>
                <c:pt idx="278">
                  <c:v>0.766306333333333</c:v>
                </c:pt>
                <c:pt idx="279">
                  <c:v>0.766434666666667</c:v>
                </c:pt>
                <c:pt idx="280">
                  <c:v>0.766435</c:v>
                </c:pt>
                <c:pt idx="281">
                  <c:v>0.766656</c:v>
                </c:pt>
                <c:pt idx="282">
                  <c:v>0.766868</c:v>
                </c:pt>
                <c:pt idx="283">
                  <c:v>0.766887666666667</c:v>
                </c:pt>
                <c:pt idx="284">
                  <c:v>0.766893333333333</c:v>
                </c:pt>
                <c:pt idx="285">
                  <c:v>0.767158</c:v>
                </c:pt>
                <c:pt idx="286">
                  <c:v>0.767181666666667</c:v>
                </c:pt>
                <c:pt idx="287">
                  <c:v>0.767314</c:v>
                </c:pt>
                <c:pt idx="288">
                  <c:v>0.76735</c:v>
                </c:pt>
                <c:pt idx="289">
                  <c:v>0.767377333333333</c:v>
                </c:pt>
                <c:pt idx="290">
                  <c:v>0.767477333333333</c:v>
                </c:pt>
                <c:pt idx="291">
                  <c:v>0.767643333333333</c:v>
                </c:pt>
                <c:pt idx="292">
                  <c:v>0.767818666666667</c:v>
                </c:pt>
                <c:pt idx="293">
                  <c:v>0.76795</c:v>
                </c:pt>
                <c:pt idx="294">
                  <c:v>0.768153333333333</c:v>
                </c:pt>
                <c:pt idx="295">
                  <c:v>0.768338333333333</c:v>
                </c:pt>
                <c:pt idx="296">
                  <c:v>0.768352</c:v>
                </c:pt>
                <c:pt idx="297">
                  <c:v>0.768530666666667</c:v>
                </c:pt>
                <c:pt idx="298">
                  <c:v>0.768742666666667</c:v>
                </c:pt>
                <c:pt idx="299">
                  <c:v>0.768983333333333</c:v>
                </c:pt>
                <c:pt idx="300">
                  <c:v>0.76904</c:v>
                </c:pt>
                <c:pt idx="301">
                  <c:v>0.769126333333333</c:v>
                </c:pt>
                <c:pt idx="302">
                  <c:v>0.769324333333333</c:v>
                </c:pt>
                <c:pt idx="303">
                  <c:v>0.769407333333333</c:v>
                </c:pt>
                <c:pt idx="304">
                  <c:v>0.769688</c:v>
                </c:pt>
                <c:pt idx="305">
                  <c:v>0.769817</c:v>
                </c:pt>
                <c:pt idx="306">
                  <c:v>0.769865333333333</c:v>
                </c:pt>
                <c:pt idx="307">
                  <c:v>0.770441333333333</c:v>
                </c:pt>
                <c:pt idx="308">
                  <c:v>0.770616666666667</c:v>
                </c:pt>
                <c:pt idx="309">
                  <c:v>0.770677333333333</c:v>
                </c:pt>
                <c:pt idx="310">
                  <c:v>0.770742333333333</c:v>
                </c:pt>
                <c:pt idx="311">
                  <c:v>0.770837333333333</c:v>
                </c:pt>
                <c:pt idx="312">
                  <c:v>0.771046666666667</c:v>
                </c:pt>
                <c:pt idx="313">
                  <c:v>0.771083333333333</c:v>
                </c:pt>
                <c:pt idx="314">
                  <c:v>0.771091</c:v>
                </c:pt>
                <c:pt idx="315">
                  <c:v>0.771108</c:v>
                </c:pt>
                <c:pt idx="316">
                  <c:v>0.771536</c:v>
                </c:pt>
                <c:pt idx="317">
                  <c:v>0.771663333333333</c:v>
                </c:pt>
                <c:pt idx="318">
                  <c:v>0.771713333333333</c:v>
                </c:pt>
                <c:pt idx="319">
                  <c:v>0.771779</c:v>
                </c:pt>
                <c:pt idx="320">
                  <c:v>0.7721</c:v>
                </c:pt>
                <c:pt idx="321">
                  <c:v>0.772283</c:v>
                </c:pt>
                <c:pt idx="322">
                  <c:v>0.772341333333333</c:v>
                </c:pt>
                <c:pt idx="323">
                  <c:v>0.772394666666667</c:v>
                </c:pt>
                <c:pt idx="324">
                  <c:v>0.772574</c:v>
                </c:pt>
                <c:pt idx="325">
                  <c:v>0.772596</c:v>
                </c:pt>
                <c:pt idx="326">
                  <c:v>0.772844</c:v>
                </c:pt>
                <c:pt idx="327">
                  <c:v>0.77286</c:v>
                </c:pt>
                <c:pt idx="328">
                  <c:v>0.772883666666667</c:v>
                </c:pt>
                <c:pt idx="329">
                  <c:v>0.772994</c:v>
                </c:pt>
                <c:pt idx="330">
                  <c:v>0.7731</c:v>
                </c:pt>
                <c:pt idx="331">
                  <c:v>0.773118666666667</c:v>
                </c:pt>
                <c:pt idx="332">
                  <c:v>0.773144</c:v>
                </c:pt>
                <c:pt idx="333">
                  <c:v>0.77351</c:v>
                </c:pt>
                <c:pt idx="334">
                  <c:v>0.773551666666667</c:v>
                </c:pt>
                <c:pt idx="335">
                  <c:v>0.773554</c:v>
                </c:pt>
                <c:pt idx="336">
                  <c:v>0.773584</c:v>
                </c:pt>
                <c:pt idx="337">
                  <c:v>0.773678666666667</c:v>
                </c:pt>
                <c:pt idx="338">
                  <c:v>0.77382</c:v>
                </c:pt>
                <c:pt idx="339">
                  <c:v>0.773824</c:v>
                </c:pt>
                <c:pt idx="340">
                  <c:v>0.773844333333333</c:v>
                </c:pt>
                <c:pt idx="341">
                  <c:v>0.773866</c:v>
                </c:pt>
                <c:pt idx="342">
                  <c:v>0.773925333333333</c:v>
                </c:pt>
                <c:pt idx="343">
                  <c:v>0.774031</c:v>
                </c:pt>
                <c:pt idx="344">
                  <c:v>0.774049666666667</c:v>
                </c:pt>
                <c:pt idx="345">
                  <c:v>0.774167333333333</c:v>
                </c:pt>
                <c:pt idx="346">
                  <c:v>0.774218666666667</c:v>
                </c:pt>
                <c:pt idx="347">
                  <c:v>0.774288</c:v>
                </c:pt>
                <c:pt idx="348">
                  <c:v>0.774298333333333</c:v>
                </c:pt>
                <c:pt idx="349">
                  <c:v>0.774455333333333</c:v>
                </c:pt>
                <c:pt idx="350">
                  <c:v>0.774491666666667</c:v>
                </c:pt>
                <c:pt idx="351">
                  <c:v>0.774782666666667</c:v>
                </c:pt>
                <c:pt idx="352">
                  <c:v>0.77485</c:v>
                </c:pt>
                <c:pt idx="353">
                  <c:v>0.775213666666667</c:v>
                </c:pt>
                <c:pt idx="354">
                  <c:v>0.775333333333333</c:v>
                </c:pt>
                <c:pt idx="355">
                  <c:v>0.77548</c:v>
                </c:pt>
                <c:pt idx="356">
                  <c:v>0.775525</c:v>
                </c:pt>
                <c:pt idx="357">
                  <c:v>0.775565333333333</c:v>
                </c:pt>
                <c:pt idx="358">
                  <c:v>0.775566666666667</c:v>
                </c:pt>
                <c:pt idx="359">
                  <c:v>0.77568</c:v>
                </c:pt>
                <c:pt idx="360">
                  <c:v>0.775711333333333</c:v>
                </c:pt>
                <c:pt idx="361">
                  <c:v>0.775823333333333</c:v>
                </c:pt>
                <c:pt idx="362">
                  <c:v>0.7761</c:v>
                </c:pt>
                <c:pt idx="363">
                  <c:v>0.776412</c:v>
                </c:pt>
                <c:pt idx="364">
                  <c:v>0.776424</c:v>
                </c:pt>
                <c:pt idx="365">
                  <c:v>0.776514666666667</c:v>
                </c:pt>
                <c:pt idx="366">
                  <c:v>0.776688</c:v>
                </c:pt>
                <c:pt idx="367">
                  <c:v>0.776828666666667</c:v>
                </c:pt>
                <c:pt idx="368">
                  <c:v>0.777068</c:v>
                </c:pt>
                <c:pt idx="369">
                  <c:v>0.777121333333333</c:v>
                </c:pt>
                <c:pt idx="370">
                  <c:v>0.777380333333333</c:v>
                </c:pt>
                <c:pt idx="371">
                  <c:v>0.7775</c:v>
                </c:pt>
                <c:pt idx="372">
                  <c:v>0.777613</c:v>
                </c:pt>
                <c:pt idx="373">
                  <c:v>0.777833333333333</c:v>
                </c:pt>
                <c:pt idx="374">
                  <c:v>0.777849</c:v>
                </c:pt>
                <c:pt idx="375">
                  <c:v>0.777985333333333</c:v>
                </c:pt>
                <c:pt idx="376">
                  <c:v>0.778091666666667</c:v>
                </c:pt>
                <c:pt idx="377">
                  <c:v>0.778468</c:v>
                </c:pt>
                <c:pt idx="378">
                  <c:v>0.778480666666667</c:v>
                </c:pt>
                <c:pt idx="379">
                  <c:v>0.7785</c:v>
                </c:pt>
                <c:pt idx="380">
                  <c:v>0.778608333333333</c:v>
                </c:pt>
                <c:pt idx="381">
                  <c:v>0.77874</c:v>
                </c:pt>
                <c:pt idx="382">
                  <c:v>0.778861666666667</c:v>
                </c:pt>
                <c:pt idx="383">
                  <c:v>0.778932333333333</c:v>
                </c:pt>
                <c:pt idx="384">
                  <c:v>0.779255333333333</c:v>
                </c:pt>
                <c:pt idx="385">
                  <c:v>0.779341333333333</c:v>
                </c:pt>
                <c:pt idx="386">
                  <c:v>0.779390333333333</c:v>
                </c:pt>
                <c:pt idx="387">
                  <c:v>0.779418333333333</c:v>
                </c:pt>
                <c:pt idx="388">
                  <c:v>0.779500666666667</c:v>
                </c:pt>
                <c:pt idx="389">
                  <c:v>0.779509</c:v>
                </c:pt>
                <c:pt idx="390">
                  <c:v>0.779603333333333</c:v>
                </c:pt>
                <c:pt idx="391">
                  <c:v>0.780048333333333</c:v>
                </c:pt>
                <c:pt idx="392">
                  <c:v>0.780081333333333</c:v>
                </c:pt>
                <c:pt idx="393">
                  <c:v>0.780496</c:v>
                </c:pt>
                <c:pt idx="394">
                  <c:v>0.78055</c:v>
                </c:pt>
                <c:pt idx="395">
                  <c:v>0.780781666666667</c:v>
                </c:pt>
                <c:pt idx="396">
                  <c:v>0.780814666666667</c:v>
                </c:pt>
                <c:pt idx="397">
                  <c:v>0.780937666666667</c:v>
                </c:pt>
                <c:pt idx="398">
                  <c:v>0.781012666666667</c:v>
                </c:pt>
                <c:pt idx="399">
                  <c:v>0.781027</c:v>
                </c:pt>
                <c:pt idx="400">
                  <c:v>0.781132666666667</c:v>
                </c:pt>
                <c:pt idx="401">
                  <c:v>0.78145</c:v>
                </c:pt>
                <c:pt idx="402">
                  <c:v>0.781601666666667</c:v>
                </c:pt>
                <c:pt idx="403">
                  <c:v>0.781634</c:v>
                </c:pt>
                <c:pt idx="404">
                  <c:v>0.781703333333333</c:v>
                </c:pt>
                <c:pt idx="405">
                  <c:v>0.7818</c:v>
                </c:pt>
                <c:pt idx="406">
                  <c:v>0.78195</c:v>
                </c:pt>
                <c:pt idx="407">
                  <c:v>0.782036</c:v>
                </c:pt>
                <c:pt idx="408">
                  <c:v>0.782225</c:v>
                </c:pt>
                <c:pt idx="409">
                  <c:v>0.782427</c:v>
                </c:pt>
                <c:pt idx="410">
                  <c:v>0.782436</c:v>
                </c:pt>
                <c:pt idx="411">
                  <c:v>0.78247</c:v>
                </c:pt>
                <c:pt idx="412">
                  <c:v>0.782556</c:v>
                </c:pt>
                <c:pt idx="413">
                  <c:v>0.782656</c:v>
                </c:pt>
                <c:pt idx="414">
                  <c:v>0.782704666666667</c:v>
                </c:pt>
                <c:pt idx="415">
                  <c:v>0.782715</c:v>
                </c:pt>
                <c:pt idx="416">
                  <c:v>0.782745666666667</c:v>
                </c:pt>
                <c:pt idx="417">
                  <c:v>0.782765333333333</c:v>
                </c:pt>
                <c:pt idx="418">
                  <c:v>0.782782333333333</c:v>
                </c:pt>
                <c:pt idx="419">
                  <c:v>0.782893333333333</c:v>
                </c:pt>
                <c:pt idx="420">
                  <c:v>0.783214666666667</c:v>
                </c:pt>
                <c:pt idx="421">
                  <c:v>0.783258666666667</c:v>
                </c:pt>
                <c:pt idx="422">
                  <c:v>0.783313333333334</c:v>
                </c:pt>
                <c:pt idx="423">
                  <c:v>0.783362333333333</c:v>
                </c:pt>
                <c:pt idx="424">
                  <c:v>0.783571333333333</c:v>
                </c:pt>
                <c:pt idx="425">
                  <c:v>0.78368</c:v>
                </c:pt>
                <c:pt idx="426">
                  <c:v>0.783768</c:v>
                </c:pt>
                <c:pt idx="427">
                  <c:v>0.784274666666667</c:v>
                </c:pt>
                <c:pt idx="428">
                  <c:v>0.784434666666667</c:v>
                </c:pt>
                <c:pt idx="429">
                  <c:v>0.784583333333333</c:v>
                </c:pt>
                <c:pt idx="430">
                  <c:v>0.784703333333333</c:v>
                </c:pt>
                <c:pt idx="431">
                  <c:v>0.784890666666667</c:v>
                </c:pt>
                <c:pt idx="432">
                  <c:v>0.784928666666667</c:v>
                </c:pt>
                <c:pt idx="433">
                  <c:v>0.785029333333333</c:v>
                </c:pt>
                <c:pt idx="434">
                  <c:v>0.785065</c:v>
                </c:pt>
                <c:pt idx="435">
                  <c:v>0.785689333333333</c:v>
                </c:pt>
                <c:pt idx="436">
                  <c:v>0.78635</c:v>
                </c:pt>
                <c:pt idx="437">
                  <c:v>0.786455333333333</c:v>
                </c:pt>
                <c:pt idx="438">
                  <c:v>0.786482666666667</c:v>
                </c:pt>
                <c:pt idx="439">
                  <c:v>0.786550666666667</c:v>
                </c:pt>
                <c:pt idx="440">
                  <c:v>0.786646666666667</c:v>
                </c:pt>
                <c:pt idx="441">
                  <c:v>0.786732333333333</c:v>
                </c:pt>
                <c:pt idx="442">
                  <c:v>0.786901333333333</c:v>
                </c:pt>
                <c:pt idx="443">
                  <c:v>0.786944</c:v>
                </c:pt>
                <c:pt idx="444">
                  <c:v>0.787233333333333</c:v>
                </c:pt>
                <c:pt idx="445">
                  <c:v>0.787360666666667</c:v>
                </c:pt>
                <c:pt idx="446">
                  <c:v>0.787808</c:v>
                </c:pt>
                <c:pt idx="447">
                  <c:v>0.787999333333333</c:v>
                </c:pt>
                <c:pt idx="448">
                  <c:v>0.788145333333333</c:v>
                </c:pt>
                <c:pt idx="449">
                  <c:v>0.788854666666667</c:v>
                </c:pt>
                <c:pt idx="450">
                  <c:v>0.78896</c:v>
                </c:pt>
                <c:pt idx="451">
                  <c:v>0.789077333333333</c:v>
                </c:pt>
                <c:pt idx="452">
                  <c:v>0.78913</c:v>
                </c:pt>
                <c:pt idx="453">
                  <c:v>0.78925</c:v>
                </c:pt>
                <c:pt idx="454">
                  <c:v>0.789394666666667</c:v>
                </c:pt>
                <c:pt idx="455">
                  <c:v>0.789526666666667</c:v>
                </c:pt>
                <c:pt idx="456">
                  <c:v>0.789833333333333</c:v>
                </c:pt>
                <c:pt idx="457">
                  <c:v>0.790116666666667</c:v>
                </c:pt>
                <c:pt idx="458">
                  <c:v>0.790257333333333</c:v>
                </c:pt>
                <c:pt idx="459">
                  <c:v>0.790293333333333</c:v>
                </c:pt>
                <c:pt idx="460">
                  <c:v>0.790634333333333</c:v>
                </c:pt>
                <c:pt idx="461">
                  <c:v>0.790638</c:v>
                </c:pt>
                <c:pt idx="462">
                  <c:v>0.790690666666667</c:v>
                </c:pt>
                <c:pt idx="463">
                  <c:v>0.790732</c:v>
                </c:pt>
                <c:pt idx="464">
                  <c:v>0.790784</c:v>
                </c:pt>
                <c:pt idx="465">
                  <c:v>0.791043333333333</c:v>
                </c:pt>
                <c:pt idx="466">
                  <c:v>0.791111333333333</c:v>
                </c:pt>
                <c:pt idx="467">
                  <c:v>0.7913</c:v>
                </c:pt>
                <c:pt idx="468">
                  <c:v>0.791310333333333</c:v>
                </c:pt>
                <c:pt idx="469">
                  <c:v>0.792378666666667</c:v>
                </c:pt>
                <c:pt idx="470">
                  <c:v>0.792733333333334</c:v>
                </c:pt>
                <c:pt idx="471">
                  <c:v>0.792942</c:v>
                </c:pt>
                <c:pt idx="472">
                  <c:v>0.792955333333333</c:v>
                </c:pt>
                <c:pt idx="473">
                  <c:v>0.793097333333333</c:v>
                </c:pt>
                <c:pt idx="474">
                  <c:v>0.793227333333333</c:v>
                </c:pt>
                <c:pt idx="475">
                  <c:v>0.793282666666667</c:v>
                </c:pt>
                <c:pt idx="476">
                  <c:v>0.793468</c:v>
                </c:pt>
                <c:pt idx="477">
                  <c:v>0.793546666666667</c:v>
                </c:pt>
                <c:pt idx="478">
                  <c:v>0.793684</c:v>
                </c:pt>
                <c:pt idx="479">
                  <c:v>0.793739333333333</c:v>
                </c:pt>
                <c:pt idx="480">
                  <c:v>0.794073666666667</c:v>
                </c:pt>
                <c:pt idx="481">
                  <c:v>0.794093666666667</c:v>
                </c:pt>
                <c:pt idx="482">
                  <c:v>0.794499333333333</c:v>
                </c:pt>
                <c:pt idx="483">
                  <c:v>0.794766666666667</c:v>
                </c:pt>
                <c:pt idx="484">
                  <c:v>0.794870666666667</c:v>
                </c:pt>
                <c:pt idx="485">
                  <c:v>0.795508333333333</c:v>
                </c:pt>
                <c:pt idx="486">
                  <c:v>0.795666666666667</c:v>
                </c:pt>
                <c:pt idx="487">
                  <c:v>0.79569</c:v>
                </c:pt>
                <c:pt idx="488">
                  <c:v>0.795716666666667</c:v>
                </c:pt>
                <c:pt idx="489">
                  <c:v>0.796005333333333</c:v>
                </c:pt>
                <c:pt idx="490">
                  <c:v>0.796143666666667</c:v>
                </c:pt>
                <c:pt idx="491">
                  <c:v>0.796288333333333</c:v>
                </c:pt>
                <c:pt idx="492">
                  <c:v>0.796510666666667</c:v>
                </c:pt>
                <c:pt idx="493">
                  <c:v>0.796806</c:v>
                </c:pt>
                <c:pt idx="494">
                  <c:v>0.796876666666667</c:v>
                </c:pt>
                <c:pt idx="495">
                  <c:v>0.797181333333333</c:v>
                </c:pt>
                <c:pt idx="496">
                  <c:v>0.79745</c:v>
                </c:pt>
                <c:pt idx="497">
                  <c:v>0.79748</c:v>
                </c:pt>
                <c:pt idx="498">
                  <c:v>0.797616666666667</c:v>
                </c:pt>
                <c:pt idx="499">
                  <c:v>0.798530333333333</c:v>
                </c:pt>
                <c:pt idx="500">
                  <c:v>0.798673333333333</c:v>
                </c:pt>
                <c:pt idx="501">
                  <c:v>0.798937333333333</c:v>
                </c:pt>
                <c:pt idx="502">
                  <c:v>0.799256</c:v>
                </c:pt>
                <c:pt idx="503">
                  <c:v>0.79928</c:v>
                </c:pt>
                <c:pt idx="504">
                  <c:v>0.799482</c:v>
                </c:pt>
                <c:pt idx="505">
                  <c:v>0.799549333333333</c:v>
                </c:pt>
                <c:pt idx="506">
                  <c:v>0.799645333333333</c:v>
                </c:pt>
                <c:pt idx="507">
                  <c:v>0.799676666666667</c:v>
                </c:pt>
                <c:pt idx="508">
                  <c:v>0.799866666666667</c:v>
                </c:pt>
                <c:pt idx="509">
                  <c:v>0.800057666666667</c:v>
                </c:pt>
                <c:pt idx="510">
                  <c:v>0.800069666666667</c:v>
                </c:pt>
                <c:pt idx="511">
                  <c:v>0.800166666666667</c:v>
                </c:pt>
                <c:pt idx="512">
                  <c:v>0.800352</c:v>
                </c:pt>
                <c:pt idx="513">
                  <c:v>0.800562666666667</c:v>
                </c:pt>
                <c:pt idx="514">
                  <c:v>0.800583333333333</c:v>
                </c:pt>
                <c:pt idx="515">
                  <c:v>0.800605333333333</c:v>
                </c:pt>
                <c:pt idx="516">
                  <c:v>0.800800666666666</c:v>
                </c:pt>
                <c:pt idx="517">
                  <c:v>0.800864</c:v>
                </c:pt>
                <c:pt idx="518">
                  <c:v>0.800906666666667</c:v>
                </c:pt>
                <c:pt idx="519">
                  <c:v>0.800925</c:v>
                </c:pt>
                <c:pt idx="520">
                  <c:v>0.801086666666667</c:v>
                </c:pt>
                <c:pt idx="521">
                  <c:v>0.801333333333333</c:v>
                </c:pt>
                <c:pt idx="522">
                  <c:v>0.8016</c:v>
                </c:pt>
                <c:pt idx="523">
                  <c:v>0.80178</c:v>
                </c:pt>
                <c:pt idx="524">
                  <c:v>0.801930666666667</c:v>
                </c:pt>
                <c:pt idx="525">
                  <c:v>0.802053333333333</c:v>
                </c:pt>
                <c:pt idx="526">
                  <c:v>0.802344666666667</c:v>
                </c:pt>
                <c:pt idx="527">
                  <c:v>0.802874</c:v>
                </c:pt>
                <c:pt idx="528">
                  <c:v>0.803153333333333</c:v>
                </c:pt>
                <c:pt idx="529">
                  <c:v>0.803173333333333</c:v>
                </c:pt>
                <c:pt idx="530">
                  <c:v>0.803263333333333</c:v>
                </c:pt>
                <c:pt idx="531">
                  <c:v>0.803335</c:v>
                </c:pt>
                <c:pt idx="532">
                  <c:v>0.803725333333333</c:v>
                </c:pt>
                <c:pt idx="533">
                  <c:v>0.803844</c:v>
                </c:pt>
                <c:pt idx="534">
                  <c:v>0.804201</c:v>
                </c:pt>
                <c:pt idx="535">
                  <c:v>0.804390666666666</c:v>
                </c:pt>
                <c:pt idx="536">
                  <c:v>0.804459666666667</c:v>
                </c:pt>
                <c:pt idx="537">
                  <c:v>0.804864333333334</c:v>
                </c:pt>
                <c:pt idx="538">
                  <c:v>0.805489666666667</c:v>
                </c:pt>
                <c:pt idx="539">
                  <c:v>0.805583333333333</c:v>
                </c:pt>
                <c:pt idx="540">
                  <c:v>0.806101333333333</c:v>
                </c:pt>
                <c:pt idx="541">
                  <c:v>0.806512</c:v>
                </c:pt>
                <c:pt idx="542">
                  <c:v>0.806722</c:v>
                </c:pt>
                <c:pt idx="543">
                  <c:v>0.806816666666667</c:v>
                </c:pt>
                <c:pt idx="544">
                  <c:v>0.806906666666667</c:v>
                </c:pt>
                <c:pt idx="545">
                  <c:v>0.806949333333333</c:v>
                </c:pt>
                <c:pt idx="546">
                  <c:v>0.807408</c:v>
                </c:pt>
                <c:pt idx="547">
                  <c:v>0.807500666666667</c:v>
                </c:pt>
                <c:pt idx="548">
                  <c:v>0.807514666666667</c:v>
                </c:pt>
                <c:pt idx="549">
                  <c:v>0.807889333333333</c:v>
                </c:pt>
                <c:pt idx="550">
                  <c:v>0.808414</c:v>
                </c:pt>
                <c:pt idx="551">
                  <c:v>0.80865</c:v>
                </c:pt>
                <c:pt idx="552">
                  <c:v>0.808740333333333</c:v>
                </c:pt>
                <c:pt idx="553">
                  <c:v>0.809</c:v>
                </c:pt>
                <c:pt idx="554">
                  <c:v>0.809592</c:v>
                </c:pt>
                <c:pt idx="555">
                  <c:v>0.809633333333333</c:v>
                </c:pt>
                <c:pt idx="556">
                  <c:v>0.809686666666667</c:v>
                </c:pt>
                <c:pt idx="557">
                  <c:v>0.809874666666667</c:v>
                </c:pt>
                <c:pt idx="558">
                  <c:v>0.809956666666667</c:v>
                </c:pt>
                <c:pt idx="559">
                  <c:v>0.810404</c:v>
                </c:pt>
                <c:pt idx="560">
                  <c:v>0.810862</c:v>
                </c:pt>
                <c:pt idx="561">
                  <c:v>0.810954</c:v>
                </c:pt>
                <c:pt idx="562">
                  <c:v>0.810984</c:v>
                </c:pt>
                <c:pt idx="563">
                  <c:v>0.811116666666667</c:v>
                </c:pt>
                <c:pt idx="564">
                  <c:v>0.811126666666667</c:v>
                </c:pt>
                <c:pt idx="565">
                  <c:v>0.811256666666667</c:v>
                </c:pt>
                <c:pt idx="566">
                  <c:v>0.811939333333333</c:v>
                </c:pt>
                <c:pt idx="567">
                  <c:v>0.812264333333333</c:v>
                </c:pt>
                <c:pt idx="568">
                  <c:v>0.813212</c:v>
                </c:pt>
                <c:pt idx="569">
                  <c:v>0.813531</c:v>
                </c:pt>
                <c:pt idx="570">
                  <c:v>0.814216666666667</c:v>
                </c:pt>
                <c:pt idx="571">
                  <c:v>0.814283333333333</c:v>
                </c:pt>
                <c:pt idx="572">
                  <c:v>0.816566666666667</c:v>
                </c:pt>
                <c:pt idx="573">
                  <c:v>0.81784</c:v>
                </c:pt>
                <c:pt idx="574">
                  <c:v>0.817939333333333</c:v>
                </c:pt>
                <c:pt idx="575">
                  <c:v>0.818406666666667</c:v>
                </c:pt>
                <c:pt idx="576">
                  <c:v>0.819016666666667</c:v>
                </c:pt>
                <c:pt idx="577">
                  <c:v>0.81972</c:v>
                </c:pt>
                <c:pt idx="578">
                  <c:v>0.820103666666667</c:v>
                </c:pt>
                <c:pt idx="579">
                  <c:v>0.820666666666667</c:v>
                </c:pt>
                <c:pt idx="580">
                  <c:v>0.820974666666667</c:v>
                </c:pt>
                <c:pt idx="581">
                  <c:v>0.822042</c:v>
                </c:pt>
                <c:pt idx="582">
                  <c:v>0.822391333333333</c:v>
                </c:pt>
                <c:pt idx="583">
                  <c:v>0.822889666666667</c:v>
                </c:pt>
                <c:pt idx="584">
                  <c:v>0.822949333333333</c:v>
                </c:pt>
                <c:pt idx="585">
                  <c:v>0.82465</c:v>
                </c:pt>
                <c:pt idx="586">
                  <c:v>0.824765333333333</c:v>
                </c:pt>
                <c:pt idx="587">
                  <c:v>0.826633</c:v>
                </c:pt>
                <c:pt idx="588">
                  <c:v>0.826784666666667</c:v>
                </c:pt>
                <c:pt idx="589">
                  <c:v>0.828233333333334</c:v>
                </c:pt>
                <c:pt idx="590">
                  <c:v>0.828503333333333</c:v>
                </c:pt>
                <c:pt idx="591">
                  <c:v>0.830256</c:v>
                </c:pt>
                <c:pt idx="592">
                  <c:v>0.830921333333333</c:v>
                </c:pt>
                <c:pt idx="593">
                  <c:v>0.832821333333333</c:v>
                </c:pt>
                <c:pt idx="594">
                  <c:v>0.833181333333333</c:v>
                </c:pt>
                <c:pt idx="595">
                  <c:v>0.835722666666667</c:v>
                </c:pt>
                <c:pt idx="596">
                  <c:v>0.837923666666667</c:v>
                </c:pt>
                <c:pt idx="597">
                  <c:v>0.83794</c:v>
                </c:pt>
                <c:pt idx="598">
                  <c:v>0.840923333333333</c:v>
                </c:pt>
                <c:pt idx="599">
                  <c:v>0.841574333333333</c:v>
                </c:pt>
                <c:pt idx="600">
                  <c:v>0.841876</c:v>
                </c:pt>
                <c:pt idx="601">
                  <c:v>0.84964</c:v>
                </c:pt>
                <c:pt idx="602">
                  <c:v>0.850851666666667</c:v>
                </c:pt>
                <c:pt idx="603">
                  <c:v>0.85684</c:v>
                </c:pt>
                <c:pt idx="604">
                  <c:v>0.872289333333333</c:v>
                </c:pt>
                <c:pt idx="605">
                  <c:v>0.87236</c:v>
                </c:pt>
              </c:strCache>
            </c:strRef>
          </c:cat>
          <c:val>
            <c:numRef>
              <c:f>'Ecomonic Values'!$F$25:$F$631</c:f>
              <c:numCache>
                <c:formatCode>0.00</c:formatCode>
                <c:ptCount val="606"/>
                <c:pt idx="0">
                  <c:v>1.0500000000000001E-2</c:v>
                </c:pt>
                <c:pt idx="1">
                  <c:v>1.2999999999999999E-2</c:v>
                </c:pt>
                <c:pt idx="2">
                  <c:v>1.7500000000000002E-2</c:v>
                </c:pt>
                <c:pt idx="3">
                  <c:v>2.4E-2</c:v>
                </c:pt>
                <c:pt idx="4">
                  <c:v>1.7999999999999999E-2</c:v>
                </c:pt>
                <c:pt idx="5">
                  <c:v>2.1499999999999998E-2</c:v>
                </c:pt>
                <c:pt idx="6">
                  <c:v>2.4500000000000001E-2</c:v>
                </c:pt>
                <c:pt idx="7">
                  <c:v>2.8000000000000001E-2</c:v>
                </c:pt>
                <c:pt idx="8">
                  <c:v>0.03</c:v>
                </c:pt>
                <c:pt idx="9">
                  <c:v>2.4E-2</c:v>
                </c:pt>
                <c:pt idx="10">
                  <c:v>2.7E-2</c:v>
                </c:pt>
                <c:pt idx="11">
                  <c:v>3.7499999999999999E-2</c:v>
                </c:pt>
                <c:pt idx="12">
                  <c:v>0.1585</c:v>
                </c:pt>
                <c:pt idx="13">
                  <c:v>4.2000000000000003E-2</c:v>
                </c:pt>
                <c:pt idx="14">
                  <c:v>3.85E-2</c:v>
                </c:pt>
                <c:pt idx="15">
                  <c:v>4.1000000000000002E-2</c:v>
                </c:pt>
                <c:pt idx="16">
                  <c:v>6.0499999999999998E-2</c:v>
                </c:pt>
                <c:pt idx="17">
                  <c:v>5.1499999999999997E-2</c:v>
                </c:pt>
                <c:pt idx="18">
                  <c:v>6.6500000000000004E-2</c:v>
                </c:pt>
                <c:pt idx="19">
                  <c:v>9.5000000000000001E-2</c:v>
                </c:pt>
                <c:pt idx="20">
                  <c:v>0.10199999999999999</c:v>
                </c:pt>
                <c:pt idx="21">
                  <c:v>0.10349999999999999</c:v>
                </c:pt>
                <c:pt idx="22">
                  <c:v>9.6500000000000002E-2</c:v>
                </c:pt>
                <c:pt idx="23">
                  <c:v>9.2499999999999999E-2</c:v>
                </c:pt>
                <c:pt idx="24">
                  <c:v>0.1105</c:v>
                </c:pt>
                <c:pt idx="25">
                  <c:v>0.10100000000000001</c:v>
                </c:pt>
                <c:pt idx="26">
                  <c:v>9.1499999999999998E-2</c:v>
                </c:pt>
                <c:pt idx="27">
                  <c:v>0.1135</c:v>
                </c:pt>
                <c:pt idx="28">
                  <c:v>0.111</c:v>
                </c:pt>
                <c:pt idx="29">
                  <c:v>0.13200000000000001</c:v>
                </c:pt>
                <c:pt idx="30">
                  <c:v>9.7500000000000003E-2</c:v>
                </c:pt>
                <c:pt idx="31">
                  <c:v>0.1115</c:v>
                </c:pt>
                <c:pt idx="32">
                  <c:v>0.1</c:v>
                </c:pt>
                <c:pt idx="33">
                  <c:v>0.128</c:v>
                </c:pt>
                <c:pt idx="34">
                  <c:v>0.11600000000000001</c:v>
                </c:pt>
                <c:pt idx="35">
                  <c:v>0.14000000000000001</c:v>
                </c:pt>
                <c:pt idx="36">
                  <c:v>0.126</c:v>
                </c:pt>
                <c:pt idx="37">
                  <c:v>0.18099999999999999</c:v>
                </c:pt>
                <c:pt idx="38">
                  <c:v>0.1255</c:v>
                </c:pt>
                <c:pt idx="39">
                  <c:v>0.14099999999999999</c:v>
                </c:pt>
                <c:pt idx="40">
                  <c:v>0.1105</c:v>
                </c:pt>
                <c:pt idx="41">
                  <c:v>0.14849999999999999</c:v>
                </c:pt>
                <c:pt idx="42">
                  <c:v>0.28849999999999998</c:v>
                </c:pt>
                <c:pt idx="43">
                  <c:v>0.14449999999999999</c:v>
                </c:pt>
                <c:pt idx="44">
                  <c:v>0.1295</c:v>
                </c:pt>
                <c:pt idx="45">
                  <c:v>0.13400000000000001</c:v>
                </c:pt>
                <c:pt idx="46">
                  <c:v>0.13750000000000001</c:v>
                </c:pt>
                <c:pt idx="47">
                  <c:v>0.187</c:v>
                </c:pt>
                <c:pt idx="48">
                  <c:v>0.1285</c:v>
                </c:pt>
                <c:pt idx="49">
                  <c:v>0.14849999999999999</c:v>
                </c:pt>
                <c:pt idx="50">
                  <c:v>0.17</c:v>
                </c:pt>
                <c:pt idx="51">
                  <c:v>0.1285</c:v>
                </c:pt>
                <c:pt idx="52">
                  <c:v>0.14849999999999999</c:v>
                </c:pt>
                <c:pt idx="53">
                  <c:v>0.17</c:v>
                </c:pt>
                <c:pt idx="54">
                  <c:v>0.187</c:v>
                </c:pt>
                <c:pt idx="55">
                  <c:v>0.14349999999999999</c:v>
                </c:pt>
                <c:pt idx="56">
                  <c:v>0.13100000000000001</c:v>
                </c:pt>
                <c:pt idx="57">
                  <c:v>0.1585</c:v>
                </c:pt>
                <c:pt idx="58">
                  <c:v>0.40150000000000002</c:v>
                </c:pt>
                <c:pt idx="59">
                  <c:v>0.152</c:v>
                </c:pt>
                <c:pt idx="60">
                  <c:v>0.1525</c:v>
                </c:pt>
                <c:pt idx="61">
                  <c:v>0.17100000000000001</c:v>
                </c:pt>
                <c:pt idx="62">
                  <c:v>0.1585</c:v>
                </c:pt>
                <c:pt idx="63">
                  <c:v>0.17</c:v>
                </c:pt>
                <c:pt idx="64">
                  <c:v>0.192</c:v>
                </c:pt>
                <c:pt idx="65">
                  <c:v>0.2</c:v>
                </c:pt>
                <c:pt idx="66">
                  <c:v>0.19450000000000001</c:v>
                </c:pt>
                <c:pt idx="67">
                  <c:v>0.221</c:v>
                </c:pt>
                <c:pt idx="68">
                  <c:v>0.17849999999999999</c:v>
                </c:pt>
                <c:pt idx="69">
                  <c:v>0.17399999999999999</c:v>
                </c:pt>
                <c:pt idx="70">
                  <c:v>0.19700000000000001</c:v>
                </c:pt>
                <c:pt idx="71">
                  <c:v>0.20899999999999999</c:v>
                </c:pt>
                <c:pt idx="72">
                  <c:v>0.19700000000000001</c:v>
                </c:pt>
                <c:pt idx="73">
                  <c:v>0.1855</c:v>
                </c:pt>
                <c:pt idx="74">
                  <c:v>0.17749999999999999</c:v>
                </c:pt>
                <c:pt idx="75">
                  <c:v>0.17349999999999999</c:v>
                </c:pt>
                <c:pt idx="76">
                  <c:v>0.20549999999999999</c:v>
                </c:pt>
                <c:pt idx="77">
                  <c:v>0.32750000000000001</c:v>
                </c:pt>
                <c:pt idx="78">
                  <c:v>0.1895</c:v>
                </c:pt>
                <c:pt idx="79">
                  <c:v>0.17749999999999999</c:v>
                </c:pt>
                <c:pt idx="80">
                  <c:v>0.2225</c:v>
                </c:pt>
                <c:pt idx="81">
                  <c:v>0.20749999999999999</c:v>
                </c:pt>
                <c:pt idx="82">
                  <c:v>0.2215</c:v>
                </c:pt>
                <c:pt idx="83">
                  <c:v>0.2</c:v>
                </c:pt>
                <c:pt idx="84">
                  <c:v>0.1885</c:v>
                </c:pt>
                <c:pt idx="85">
                  <c:v>0.20749999999999999</c:v>
                </c:pt>
                <c:pt idx="86">
                  <c:v>0.20499999999999999</c:v>
                </c:pt>
                <c:pt idx="87">
                  <c:v>0.23449999999999999</c:v>
                </c:pt>
                <c:pt idx="88">
                  <c:v>0.28649999999999998</c:v>
                </c:pt>
                <c:pt idx="89">
                  <c:v>0.25650000000000001</c:v>
                </c:pt>
                <c:pt idx="90">
                  <c:v>0.28749999999999998</c:v>
                </c:pt>
                <c:pt idx="91">
                  <c:v>0.1855</c:v>
                </c:pt>
                <c:pt idx="92">
                  <c:v>0.2465</c:v>
                </c:pt>
                <c:pt idx="93">
                  <c:v>0.23300000000000001</c:v>
                </c:pt>
                <c:pt idx="94">
                  <c:v>0.23250000000000001</c:v>
                </c:pt>
                <c:pt idx="95">
                  <c:v>0.22</c:v>
                </c:pt>
                <c:pt idx="96">
                  <c:v>0.218</c:v>
                </c:pt>
                <c:pt idx="97">
                  <c:v>0.25650000000000001</c:v>
                </c:pt>
                <c:pt idx="98">
                  <c:v>0.219</c:v>
                </c:pt>
                <c:pt idx="99">
                  <c:v>0.2505</c:v>
                </c:pt>
                <c:pt idx="100">
                  <c:v>0.27</c:v>
                </c:pt>
                <c:pt idx="101">
                  <c:v>0.2545</c:v>
                </c:pt>
                <c:pt idx="102">
                  <c:v>0.25</c:v>
                </c:pt>
                <c:pt idx="103">
                  <c:v>0.249</c:v>
                </c:pt>
                <c:pt idx="104">
                  <c:v>0.21049999999999999</c:v>
                </c:pt>
                <c:pt idx="105">
                  <c:v>0.27600000000000002</c:v>
                </c:pt>
                <c:pt idx="106">
                  <c:v>0.23899999999999999</c:v>
                </c:pt>
                <c:pt idx="107">
                  <c:v>0.25</c:v>
                </c:pt>
                <c:pt idx="108">
                  <c:v>0.3</c:v>
                </c:pt>
                <c:pt idx="109">
                  <c:v>0.23849999999999999</c:v>
                </c:pt>
                <c:pt idx="110">
                  <c:v>0.23699999999999999</c:v>
                </c:pt>
                <c:pt idx="111">
                  <c:v>0.24399999999999999</c:v>
                </c:pt>
                <c:pt idx="112">
                  <c:v>0.22850000000000001</c:v>
                </c:pt>
                <c:pt idx="113">
                  <c:v>0.31900000000000001</c:v>
                </c:pt>
                <c:pt idx="114">
                  <c:v>0.28449999999999998</c:v>
                </c:pt>
                <c:pt idx="115">
                  <c:v>0.30549999999999999</c:v>
                </c:pt>
                <c:pt idx="116">
                  <c:v>0.30399999999999999</c:v>
                </c:pt>
                <c:pt idx="117">
                  <c:v>0.33150000000000002</c:v>
                </c:pt>
                <c:pt idx="118">
                  <c:v>0.3085</c:v>
                </c:pt>
                <c:pt idx="119">
                  <c:v>0.29299999999999998</c:v>
                </c:pt>
                <c:pt idx="120">
                  <c:v>0.2225</c:v>
                </c:pt>
                <c:pt idx="121">
                  <c:v>0.27750000000000002</c:v>
                </c:pt>
                <c:pt idx="122">
                  <c:v>0.26450000000000001</c:v>
                </c:pt>
                <c:pt idx="123">
                  <c:v>0.26650000000000001</c:v>
                </c:pt>
                <c:pt idx="124">
                  <c:v>0.25800000000000001</c:v>
                </c:pt>
                <c:pt idx="125">
                  <c:v>0.14399999999999999</c:v>
                </c:pt>
                <c:pt idx="126">
                  <c:v>0.64849999999999997</c:v>
                </c:pt>
                <c:pt idx="127">
                  <c:v>0.29949999999999999</c:v>
                </c:pt>
                <c:pt idx="128">
                  <c:v>0.34150000000000003</c:v>
                </c:pt>
                <c:pt idx="129">
                  <c:v>0.318</c:v>
                </c:pt>
                <c:pt idx="130">
                  <c:v>0.253</c:v>
                </c:pt>
                <c:pt idx="131">
                  <c:v>0.30349999999999999</c:v>
                </c:pt>
                <c:pt idx="132">
                  <c:v>0.29699999999999999</c:v>
                </c:pt>
                <c:pt idx="133">
                  <c:v>0.28199999999999997</c:v>
                </c:pt>
                <c:pt idx="134">
                  <c:v>0.36299999999999999</c:v>
                </c:pt>
                <c:pt idx="135">
                  <c:v>0.34250000000000003</c:v>
                </c:pt>
                <c:pt idx="136">
                  <c:v>0.33</c:v>
                </c:pt>
                <c:pt idx="137">
                  <c:v>0.32250000000000001</c:v>
                </c:pt>
                <c:pt idx="138">
                  <c:v>0.36049999999999999</c:v>
                </c:pt>
                <c:pt idx="139">
                  <c:v>0.28199999999999997</c:v>
                </c:pt>
                <c:pt idx="140">
                  <c:v>0.35299999999999998</c:v>
                </c:pt>
                <c:pt idx="141">
                  <c:v>0.34699999999999998</c:v>
                </c:pt>
                <c:pt idx="142">
                  <c:v>0.3075</c:v>
                </c:pt>
                <c:pt idx="143">
                  <c:v>0.26800000000000002</c:v>
                </c:pt>
                <c:pt idx="144">
                  <c:v>0.25950000000000001</c:v>
                </c:pt>
                <c:pt idx="145">
                  <c:v>0.316</c:v>
                </c:pt>
                <c:pt idx="146">
                  <c:v>0.34150000000000003</c:v>
                </c:pt>
                <c:pt idx="147">
                  <c:v>0.30599999999999999</c:v>
                </c:pt>
                <c:pt idx="148">
                  <c:v>0.35549999999999998</c:v>
                </c:pt>
                <c:pt idx="149">
                  <c:v>0.3</c:v>
                </c:pt>
                <c:pt idx="150">
                  <c:v>0.31850000000000001</c:v>
                </c:pt>
                <c:pt idx="151">
                  <c:v>0.3735</c:v>
                </c:pt>
                <c:pt idx="152">
                  <c:v>0.3745</c:v>
                </c:pt>
                <c:pt idx="153">
                  <c:v>0.377</c:v>
                </c:pt>
                <c:pt idx="154">
                  <c:v>0.29049999999999998</c:v>
                </c:pt>
                <c:pt idx="155">
                  <c:v>0.32450000000000001</c:v>
                </c:pt>
                <c:pt idx="156">
                  <c:v>0.36249999999999999</c:v>
                </c:pt>
                <c:pt idx="157">
                  <c:v>0.30099999999999999</c:v>
                </c:pt>
                <c:pt idx="158">
                  <c:v>0.42499999999999999</c:v>
                </c:pt>
                <c:pt idx="159">
                  <c:v>0.35949999999999999</c:v>
                </c:pt>
                <c:pt idx="160">
                  <c:v>0.32150000000000001</c:v>
                </c:pt>
                <c:pt idx="161">
                  <c:v>0.38550000000000001</c:v>
                </c:pt>
                <c:pt idx="162">
                  <c:v>0.3785</c:v>
                </c:pt>
                <c:pt idx="163">
                  <c:v>0.313</c:v>
                </c:pt>
                <c:pt idx="164">
                  <c:v>0.316</c:v>
                </c:pt>
                <c:pt idx="165">
                  <c:v>0.35399999999999998</c:v>
                </c:pt>
                <c:pt idx="166">
                  <c:v>0.45650000000000002</c:v>
                </c:pt>
                <c:pt idx="167">
                  <c:v>0.40600000000000003</c:v>
                </c:pt>
                <c:pt idx="168">
                  <c:v>0.3755</c:v>
                </c:pt>
                <c:pt idx="169">
                  <c:v>0.36249999999999999</c:v>
                </c:pt>
                <c:pt idx="170">
                  <c:v>0.41299999999999998</c:v>
                </c:pt>
                <c:pt idx="171">
                  <c:v>0.33250000000000002</c:v>
                </c:pt>
                <c:pt idx="172">
                  <c:v>0.3785</c:v>
                </c:pt>
                <c:pt idx="173">
                  <c:v>0.26200000000000001</c:v>
                </c:pt>
                <c:pt idx="174">
                  <c:v>0.28849999999999998</c:v>
                </c:pt>
                <c:pt idx="175">
                  <c:v>0.317</c:v>
                </c:pt>
                <c:pt idx="176">
                  <c:v>0.39950000000000002</c:v>
                </c:pt>
                <c:pt idx="177">
                  <c:v>0.36599999999999999</c:v>
                </c:pt>
                <c:pt idx="178">
                  <c:v>0.41299999999999998</c:v>
                </c:pt>
                <c:pt idx="179">
                  <c:v>0.54500000000000004</c:v>
                </c:pt>
                <c:pt idx="180">
                  <c:v>0.45500000000000002</c:v>
                </c:pt>
                <c:pt idx="181">
                  <c:v>0.32650000000000001</c:v>
                </c:pt>
                <c:pt idx="182">
                  <c:v>0.4425</c:v>
                </c:pt>
                <c:pt idx="183">
                  <c:v>0.33500000000000002</c:v>
                </c:pt>
                <c:pt idx="184">
                  <c:v>0.378</c:v>
                </c:pt>
                <c:pt idx="185">
                  <c:v>0.48949999999999999</c:v>
                </c:pt>
                <c:pt idx="186">
                  <c:v>0.42949999999999999</c:v>
                </c:pt>
                <c:pt idx="187">
                  <c:v>0.38200000000000001</c:v>
                </c:pt>
                <c:pt idx="188">
                  <c:v>0.38</c:v>
                </c:pt>
                <c:pt idx="189">
                  <c:v>0.48699999999999999</c:v>
                </c:pt>
                <c:pt idx="190">
                  <c:v>0.438</c:v>
                </c:pt>
                <c:pt idx="191">
                  <c:v>0.39300000000000002</c:v>
                </c:pt>
                <c:pt idx="192">
                  <c:v>0.438</c:v>
                </c:pt>
                <c:pt idx="193">
                  <c:v>0.39600000000000002</c:v>
                </c:pt>
                <c:pt idx="194">
                  <c:v>0.35799999999999998</c:v>
                </c:pt>
                <c:pt idx="195">
                  <c:v>0.44750000000000001</c:v>
                </c:pt>
                <c:pt idx="196">
                  <c:v>0.45850000000000002</c:v>
                </c:pt>
                <c:pt idx="197">
                  <c:v>0.501</c:v>
                </c:pt>
                <c:pt idx="198">
                  <c:v>0.41949999999999998</c:v>
                </c:pt>
                <c:pt idx="199">
                  <c:v>0.496</c:v>
                </c:pt>
                <c:pt idx="200">
                  <c:v>0.86899999999999999</c:v>
                </c:pt>
                <c:pt idx="201">
                  <c:v>0.36399999999999999</c:v>
                </c:pt>
                <c:pt idx="202">
                  <c:v>0.47</c:v>
                </c:pt>
                <c:pt idx="203">
                  <c:v>0.45600000000000002</c:v>
                </c:pt>
                <c:pt idx="204">
                  <c:v>0.39750000000000002</c:v>
                </c:pt>
                <c:pt idx="205">
                  <c:v>0.39350000000000002</c:v>
                </c:pt>
                <c:pt idx="206">
                  <c:v>0.372</c:v>
                </c:pt>
                <c:pt idx="207">
                  <c:v>0.45100000000000001</c:v>
                </c:pt>
                <c:pt idx="208">
                  <c:v>0.435</c:v>
                </c:pt>
                <c:pt idx="209">
                  <c:v>0.4425</c:v>
                </c:pt>
                <c:pt idx="210">
                  <c:v>0.51600000000000001</c:v>
                </c:pt>
                <c:pt idx="211">
                  <c:v>0.41149999999999998</c:v>
                </c:pt>
                <c:pt idx="212">
                  <c:v>0.40450000000000003</c:v>
                </c:pt>
                <c:pt idx="213">
                  <c:v>0.495</c:v>
                </c:pt>
                <c:pt idx="214">
                  <c:v>0.46800000000000003</c:v>
                </c:pt>
                <c:pt idx="215">
                  <c:v>0.4415</c:v>
                </c:pt>
                <c:pt idx="216">
                  <c:v>0.63500000000000001</c:v>
                </c:pt>
                <c:pt idx="217">
                  <c:v>0.41649999999999998</c:v>
                </c:pt>
                <c:pt idx="218">
                  <c:v>0.53249999999999997</c:v>
                </c:pt>
                <c:pt idx="219">
                  <c:v>0.51500000000000001</c:v>
                </c:pt>
                <c:pt idx="220">
                  <c:v>0.45800000000000002</c:v>
                </c:pt>
                <c:pt idx="221">
                  <c:v>0.87949999999999995</c:v>
                </c:pt>
                <c:pt idx="222">
                  <c:v>0.44</c:v>
                </c:pt>
                <c:pt idx="223">
                  <c:v>0.3715</c:v>
                </c:pt>
                <c:pt idx="224">
                  <c:v>0.57550000000000001</c:v>
                </c:pt>
                <c:pt idx="225">
                  <c:v>0.47149999999999997</c:v>
                </c:pt>
                <c:pt idx="226">
                  <c:v>0.45550000000000002</c:v>
                </c:pt>
                <c:pt idx="227">
                  <c:v>0.4995</c:v>
                </c:pt>
                <c:pt idx="228">
                  <c:v>0.56699999999999995</c:v>
                </c:pt>
                <c:pt idx="229">
                  <c:v>0.46</c:v>
                </c:pt>
                <c:pt idx="230">
                  <c:v>0.54700000000000004</c:v>
                </c:pt>
                <c:pt idx="231">
                  <c:v>0.36749999999999999</c:v>
                </c:pt>
                <c:pt idx="232">
                  <c:v>0.51700000000000002</c:v>
                </c:pt>
                <c:pt idx="233">
                  <c:v>0.40100000000000002</c:v>
                </c:pt>
                <c:pt idx="234">
                  <c:v>0.48699999999999999</c:v>
                </c:pt>
                <c:pt idx="235">
                  <c:v>0.48699999999999999</c:v>
                </c:pt>
                <c:pt idx="236">
                  <c:v>0.40150000000000002</c:v>
                </c:pt>
                <c:pt idx="237">
                  <c:v>0.47549999999999998</c:v>
                </c:pt>
                <c:pt idx="238">
                  <c:v>0.49249999999999999</c:v>
                </c:pt>
                <c:pt idx="239">
                  <c:v>0.57850000000000001</c:v>
                </c:pt>
                <c:pt idx="240">
                  <c:v>0.39450000000000002</c:v>
                </c:pt>
                <c:pt idx="241">
                  <c:v>0.42549999999999999</c:v>
                </c:pt>
                <c:pt idx="242">
                  <c:v>0.58199999999999996</c:v>
                </c:pt>
                <c:pt idx="243">
                  <c:v>0.41499999999999998</c:v>
                </c:pt>
                <c:pt idx="244">
                  <c:v>0.46150000000000002</c:v>
                </c:pt>
                <c:pt idx="245">
                  <c:v>0.53349999999999997</c:v>
                </c:pt>
                <c:pt idx="246">
                  <c:v>0.64900000000000002</c:v>
                </c:pt>
                <c:pt idx="247">
                  <c:v>0.499</c:v>
                </c:pt>
                <c:pt idx="248">
                  <c:v>0.46600000000000003</c:v>
                </c:pt>
                <c:pt idx="249">
                  <c:v>0.57350000000000001</c:v>
                </c:pt>
                <c:pt idx="250">
                  <c:v>0.47649999999999998</c:v>
                </c:pt>
                <c:pt idx="251">
                  <c:v>0.45200000000000001</c:v>
                </c:pt>
                <c:pt idx="252">
                  <c:v>0.53400000000000003</c:v>
                </c:pt>
                <c:pt idx="253">
                  <c:v>0.56599999999999995</c:v>
                </c:pt>
                <c:pt idx="254">
                  <c:v>0.47049999999999997</c:v>
                </c:pt>
                <c:pt idx="255">
                  <c:v>0.497</c:v>
                </c:pt>
                <c:pt idx="256">
                  <c:v>0.46800000000000003</c:v>
                </c:pt>
                <c:pt idx="257">
                  <c:v>0.44850000000000001</c:v>
                </c:pt>
                <c:pt idx="258">
                  <c:v>0.58099999999999996</c:v>
                </c:pt>
                <c:pt idx="259">
                  <c:v>0.6835</c:v>
                </c:pt>
                <c:pt idx="260">
                  <c:v>0.64300000000000002</c:v>
                </c:pt>
                <c:pt idx="261">
                  <c:v>0.36849999999999999</c:v>
                </c:pt>
                <c:pt idx="262">
                  <c:v>0.46700000000000003</c:v>
                </c:pt>
                <c:pt idx="263">
                  <c:v>0.38500000000000001</c:v>
                </c:pt>
                <c:pt idx="264">
                  <c:v>0.498</c:v>
                </c:pt>
                <c:pt idx="265">
                  <c:v>0.49399999999999999</c:v>
                </c:pt>
                <c:pt idx="266">
                  <c:v>0.54700000000000004</c:v>
                </c:pt>
                <c:pt idx="267">
                  <c:v>0.44850000000000001</c:v>
                </c:pt>
                <c:pt idx="268">
                  <c:v>0.51349999999999996</c:v>
                </c:pt>
                <c:pt idx="269">
                  <c:v>0.52249999999999996</c:v>
                </c:pt>
                <c:pt idx="270">
                  <c:v>0.42849999999999999</c:v>
                </c:pt>
                <c:pt idx="271">
                  <c:v>0.76049999999999995</c:v>
                </c:pt>
                <c:pt idx="272">
                  <c:v>0.46650000000000003</c:v>
                </c:pt>
                <c:pt idx="273">
                  <c:v>0.48</c:v>
                </c:pt>
                <c:pt idx="274">
                  <c:v>0.58950000000000002</c:v>
                </c:pt>
                <c:pt idx="275">
                  <c:v>0.51349999999999996</c:v>
                </c:pt>
                <c:pt idx="276">
                  <c:v>0.52049999999999996</c:v>
                </c:pt>
                <c:pt idx="277">
                  <c:v>0.53049999999999997</c:v>
                </c:pt>
                <c:pt idx="278">
                  <c:v>0.64349999999999996</c:v>
                </c:pt>
                <c:pt idx="279">
                  <c:v>0.47049999999999997</c:v>
                </c:pt>
                <c:pt idx="280">
                  <c:v>0.62450000000000006</c:v>
                </c:pt>
                <c:pt idx="281">
                  <c:v>0.53600000000000003</c:v>
                </c:pt>
                <c:pt idx="282">
                  <c:v>0.58699999999999997</c:v>
                </c:pt>
                <c:pt idx="283">
                  <c:v>0.52049999999999996</c:v>
                </c:pt>
                <c:pt idx="284">
                  <c:v>0.46100000000000002</c:v>
                </c:pt>
                <c:pt idx="285">
                  <c:v>0.57350000000000001</c:v>
                </c:pt>
                <c:pt idx="286">
                  <c:v>0.40749999999999997</c:v>
                </c:pt>
                <c:pt idx="287">
                  <c:v>0.50049999999999994</c:v>
                </c:pt>
                <c:pt idx="288">
                  <c:v>0.52500000000000002</c:v>
                </c:pt>
                <c:pt idx="289">
                  <c:v>0.72099999999999997</c:v>
                </c:pt>
                <c:pt idx="290">
                  <c:v>0.51400000000000001</c:v>
                </c:pt>
                <c:pt idx="291">
                  <c:v>0.60250000000000004</c:v>
                </c:pt>
                <c:pt idx="292">
                  <c:v>0.46400000000000002</c:v>
                </c:pt>
                <c:pt idx="293">
                  <c:v>0.84150000000000003</c:v>
                </c:pt>
                <c:pt idx="294">
                  <c:v>0.57250000000000001</c:v>
                </c:pt>
                <c:pt idx="295">
                  <c:v>0.61750000000000005</c:v>
                </c:pt>
                <c:pt idx="296">
                  <c:v>0.76800000000000002</c:v>
                </c:pt>
                <c:pt idx="297">
                  <c:v>0.53800000000000003</c:v>
                </c:pt>
                <c:pt idx="298">
                  <c:v>0.55549999999999999</c:v>
                </c:pt>
                <c:pt idx="299">
                  <c:v>0.95499999999999996</c:v>
                </c:pt>
                <c:pt idx="300">
                  <c:v>0.51</c:v>
                </c:pt>
                <c:pt idx="301">
                  <c:v>0.42649999999999999</c:v>
                </c:pt>
                <c:pt idx="302">
                  <c:v>0.58850000000000002</c:v>
                </c:pt>
                <c:pt idx="303">
                  <c:v>0.55349999999999999</c:v>
                </c:pt>
                <c:pt idx="304">
                  <c:v>0.55600000000000005</c:v>
                </c:pt>
                <c:pt idx="305">
                  <c:v>0.47849999999999998</c:v>
                </c:pt>
                <c:pt idx="306">
                  <c:v>0.63849999999999996</c:v>
                </c:pt>
                <c:pt idx="307">
                  <c:v>0.50649999999999995</c:v>
                </c:pt>
                <c:pt idx="308">
                  <c:v>0.68149999999999999</c:v>
                </c:pt>
                <c:pt idx="309">
                  <c:v>0.52800000000000002</c:v>
                </c:pt>
                <c:pt idx="310">
                  <c:v>0.59450000000000003</c:v>
                </c:pt>
                <c:pt idx="311">
                  <c:v>0.67400000000000004</c:v>
                </c:pt>
                <c:pt idx="312">
                  <c:v>0.42599999999999999</c:v>
                </c:pt>
                <c:pt idx="313">
                  <c:v>0.62749999999999995</c:v>
                </c:pt>
                <c:pt idx="314">
                  <c:v>0.62949999999999995</c:v>
                </c:pt>
                <c:pt idx="315">
                  <c:v>0.76200000000000001</c:v>
                </c:pt>
                <c:pt idx="316">
                  <c:v>0.441</c:v>
                </c:pt>
                <c:pt idx="317">
                  <c:v>0.59099999999999997</c:v>
                </c:pt>
                <c:pt idx="318">
                  <c:v>0.77749999999999997</c:v>
                </c:pt>
                <c:pt idx="319">
                  <c:v>0.6855</c:v>
                </c:pt>
                <c:pt idx="320">
                  <c:v>0.59699999999999998</c:v>
                </c:pt>
                <c:pt idx="321">
                  <c:v>0.63349999999999995</c:v>
                </c:pt>
                <c:pt idx="322">
                  <c:v>0.65600000000000003</c:v>
                </c:pt>
                <c:pt idx="323">
                  <c:v>0.60399999999999998</c:v>
                </c:pt>
                <c:pt idx="324">
                  <c:v>0.66300000000000003</c:v>
                </c:pt>
                <c:pt idx="325">
                  <c:v>0.53900000000000003</c:v>
                </c:pt>
                <c:pt idx="326">
                  <c:v>0.62949999999999995</c:v>
                </c:pt>
                <c:pt idx="327">
                  <c:v>0.57850000000000001</c:v>
                </c:pt>
                <c:pt idx="328">
                  <c:v>0.65549999999999997</c:v>
                </c:pt>
                <c:pt idx="329">
                  <c:v>0.5605</c:v>
                </c:pt>
                <c:pt idx="330">
                  <c:v>0.77</c:v>
                </c:pt>
                <c:pt idx="331">
                  <c:v>0.57799999999999996</c:v>
                </c:pt>
                <c:pt idx="332">
                  <c:v>0.57650000000000001</c:v>
                </c:pt>
                <c:pt idx="333">
                  <c:v>0.57699999999999996</c:v>
                </c:pt>
                <c:pt idx="334">
                  <c:v>0.53949999999999998</c:v>
                </c:pt>
                <c:pt idx="335">
                  <c:v>0.58050000000000002</c:v>
                </c:pt>
                <c:pt idx="336">
                  <c:v>0.52900000000000003</c:v>
                </c:pt>
                <c:pt idx="337">
                  <c:v>0.59399999999999997</c:v>
                </c:pt>
                <c:pt idx="338">
                  <c:v>0.59</c:v>
                </c:pt>
                <c:pt idx="339">
                  <c:v>0.59399999999999997</c:v>
                </c:pt>
                <c:pt idx="340">
                  <c:v>0.84150000000000003</c:v>
                </c:pt>
                <c:pt idx="341">
                  <c:v>0.65100000000000002</c:v>
                </c:pt>
                <c:pt idx="342">
                  <c:v>0.61599999999999999</c:v>
                </c:pt>
                <c:pt idx="343">
                  <c:v>0.65949999999999998</c:v>
                </c:pt>
                <c:pt idx="344">
                  <c:v>0.58350000000000002</c:v>
                </c:pt>
                <c:pt idx="345">
                  <c:v>0.64349999999999996</c:v>
                </c:pt>
                <c:pt idx="346">
                  <c:v>0.51200000000000001</c:v>
                </c:pt>
                <c:pt idx="347">
                  <c:v>0.65300000000000002</c:v>
                </c:pt>
                <c:pt idx="348">
                  <c:v>0.67749999999999999</c:v>
                </c:pt>
                <c:pt idx="349">
                  <c:v>0.63549999999999995</c:v>
                </c:pt>
                <c:pt idx="350">
                  <c:v>0.47749999999999998</c:v>
                </c:pt>
                <c:pt idx="351">
                  <c:v>0.65049999999999997</c:v>
                </c:pt>
                <c:pt idx="352">
                  <c:v>0.71450000000000002</c:v>
                </c:pt>
                <c:pt idx="353">
                  <c:v>0.59550000000000003</c:v>
                </c:pt>
                <c:pt idx="354">
                  <c:v>0.625</c:v>
                </c:pt>
                <c:pt idx="355">
                  <c:v>0.59599999999999997</c:v>
                </c:pt>
                <c:pt idx="356">
                  <c:v>0.66749999999999998</c:v>
                </c:pt>
                <c:pt idx="357">
                  <c:v>0.49399999999999999</c:v>
                </c:pt>
                <c:pt idx="358">
                  <c:v>0.57299999999999995</c:v>
                </c:pt>
                <c:pt idx="359">
                  <c:v>0.51</c:v>
                </c:pt>
                <c:pt idx="360">
                  <c:v>0.56899999999999995</c:v>
                </c:pt>
                <c:pt idx="361">
                  <c:v>0.51500000000000001</c:v>
                </c:pt>
                <c:pt idx="362">
                  <c:v>0.45</c:v>
                </c:pt>
                <c:pt idx="363">
                  <c:v>0.498</c:v>
                </c:pt>
                <c:pt idx="364">
                  <c:v>0.63149999999999995</c:v>
                </c:pt>
                <c:pt idx="365">
                  <c:v>0.70050000000000001</c:v>
                </c:pt>
                <c:pt idx="366">
                  <c:v>0.55300000000000005</c:v>
                </c:pt>
                <c:pt idx="367">
                  <c:v>0.76900000000000002</c:v>
                </c:pt>
                <c:pt idx="368">
                  <c:v>0.66149999999999998</c:v>
                </c:pt>
                <c:pt idx="369">
                  <c:v>0.62150000000000005</c:v>
                </c:pt>
                <c:pt idx="370">
                  <c:v>0.70450000000000002</c:v>
                </c:pt>
                <c:pt idx="371">
                  <c:v>0.65</c:v>
                </c:pt>
                <c:pt idx="372">
                  <c:v>0.64449999999999996</c:v>
                </c:pt>
                <c:pt idx="373">
                  <c:v>0.625</c:v>
                </c:pt>
                <c:pt idx="374">
                  <c:v>0.65149999999999997</c:v>
                </c:pt>
                <c:pt idx="375">
                  <c:v>0.67349999999999999</c:v>
                </c:pt>
                <c:pt idx="376">
                  <c:v>0.59750000000000003</c:v>
                </c:pt>
                <c:pt idx="377">
                  <c:v>0.73650000000000004</c:v>
                </c:pt>
                <c:pt idx="378">
                  <c:v>0.82899999999999996</c:v>
                </c:pt>
                <c:pt idx="379">
                  <c:v>0.625</c:v>
                </c:pt>
                <c:pt idx="380">
                  <c:v>0.6925</c:v>
                </c:pt>
                <c:pt idx="381">
                  <c:v>0.90149999999999997</c:v>
                </c:pt>
                <c:pt idx="382">
                  <c:v>0.57650000000000001</c:v>
                </c:pt>
                <c:pt idx="383">
                  <c:v>0.77649999999999997</c:v>
                </c:pt>
                <c:pt idx="384">
                  <c:v>0.58099999999999996</c:v>
                </c:pt>
                <c:pt idx="385">
                  <c:v>0.72199999999999998</c:v>
                </c:pt>
                <c:pt idx="386">
                  <c:v>0.69650000000000001</c:v>
                </c:pt>
                <c:pt idx="387">
                  <c:v>0.58250000000000002</c:v>
                </c:pt>
                <c:pt idx="388">
                  <c:v>0.64349999999999996</c:v>
                </c:pt>
                <c:pt idx="389">
                  <c:v>0.64449999999999996</c:v>
                </c:pt>
                <c:pt idx="390">
                  <c:v>0.61499999999999999</c:v>
                </c:pt>
                <c:pt idx="391">
                  <c:v>0.58050000000000002</c:v>
                </c:pt>
                <c:pt idx="392">
                  <c:v>0.65149999999999997</c:v>
                </c:pt>
                <c:pt idx="393">
                  <c:v>0.76400000000000001</c:v>
                </c:pt>
                <c:pt idx="394">
                  <c:v>0.70350000000000001</c:v>
                </c:pt>
                <c:pt idx="395">
                  <c:v>0.5605</c:v>
                </c:pt>
                <c:pt idx="396">
                  <c:v>0.60699999999999998</c:v>
                </c:pt>
                <c:pt idx="397">
                  <c:v>0.53949999999999998</c:v>
                </c:pt>
                <c:pt idx="398">
                  <c:v>0.60150000000000003</c:v>
                </c:pt>
                <c:pt idx="399">
                  <c:v>0.98850000000000005</c:v>
                </c:pt>
                <c:pt idx="400">
                  <c:v>0.751</c:v>
                </c:pt>
                <c:pt idx="401">
                  <c:v>0.61499999999999999</c:v>
                </c:pt>
                <c:pt idx="402">
                  <c:v>0.97450000000000003</c:v>
                </c:pt>
                <c:pt idx="403">
                  <c:v>0.63300000000000001</c:v>
                </c:pt>
                <c:pt idx="404">
                  <c:v>0.69499999999999995</c:v>
                </c:pt>
                <c:pt idx="405">
                  <c:v>0.52500000000000002</c:v>
                </c:pt>
                <c:pt idx="406">
                  <c:v>0.77500000000000002</c:v>
                </c:pt>
                <c:pt idx="407">
                  <c:v>0.57799999999999996</c:v>
                </c:pt>
                <c:pt idx="408">
                  <c:v>0.5575</c:v>
                </c:pt>
                <c:pt idx="409">
                  <c:v>0.6885</c:v>
                </c:pt>
                <c:pt idx="410">
                  <c:v>0.59899999999999998</c:v>
                </c:pt>
                <c:pt idx="411">
                  <c:v>0.76900000000000002</c:v>
                </c:pt>
                <c:pt idx="412">
                  <c:v>0.69550000000000001</c:v>
                </c:pt>
                <c:pt idx="413">
                  <c:v>0.79200000000000004</c:v>
                </c:pt>
                <c:pt idx="414">
                  <c:v>0.55449999999999999</c:v>
                </c:pt>
                <c:pt idx="415">
                  <c:v>0.58050000000000002</c:v>
                </c:pt>
                <c:pt idx="416">
                  <c:v>0.62949999999999995</c:v>
                </c:pt>
                <c:pt idx="417">
                  <c:v>0.73799999999999999</c:v>
                </c:pt>
                <c:pt idx="418">
                  <c:v>0.60050000000000003</c:v>
                </c:pt>
                <c:pt idx="419">
                  <c:v>0.66</c:v>
                </c:pt>
                <c:pt idx="420">
                  <c:v>0.67649999999999999</c:v>
                </c:pt>
                <c:pt idx="421">
                  <c:v>0.627</c:v>
                </c:pt>
                <c:pt idx="422">
                  <c:v>0.82750000000000001</c:v>
                </c:pt>
                <c:pt idx="423">
                  <c:v>0.88149999999999995</c:v>
                </c:pt>
                <c:pt idx="424">
                  <c:v>0.70699999999999996</c:v>
                </c:pt>
                <c:pt idx="425">
                  <c:v>0.57999999999999996</c:v>
                </c:pt>
                <c:pt idx="426">
                  <c:v>0.69899999999999995</c:v>
                </c:pt>
                <c:pt idx="427">
                  <c:v>0.622</c:v>
                </c:pt>
                <c:pt idx="428">
                  <c:v>0.51600000000000001</c:v>
                </c:pt>
                <c:pt idx="429">
                  <c:v>0.6875</c:v>
                </c:pt>
                <c:pt idx="430">
                  <c:v>0.59899999999999998</c:v>
                </c:pt>
                <c:pt idx="431">
                  <c:v>0.60599999999999998</c:v>
                </c:pt>
                <c:pt idx="432">
                  <c:v>0.75700000000000001</c:v>
                </c:pt>
                <c:pt idx="433">
                  <c:v>0.77800000000000002</c:v>
                </c:pt>
                <c:pt idx="434">
                  <c:v>0.62549999999999994</c:v>
                </c:pt>
                <c:pt idx="435">
                  <c:v>0.879</c:v>
                </c:pt>
                <c:pt idx="436">
                  <c:v>0.84950000000000003</c:v>
                </c:pt>
                <c:pt idx="437">
                  <c:v>0.63549999999999995</c:v>
                </c:pt>
                <c:pt idx="438">
                  <c:v>0.6835</c:v>
                </c:pt>
                <c:pt idx="439">
                  <c:v>0.78100000000000003</c:v>
                </c:pt>
                <c:pt idx="440">
                  <c:v>0.57750000000000001</c:v>
                </c:pt>
                <c:pt idx="441">
                  <c:v>0.77349999999999997</c:v>
                </c:pt>
                <c:pt idx="442">
                  <c:v>0.72399999999999998</c:v>
                </c:pt>
                <c:pt idx="443">
                  <c:v>0.78300000000000003</c:v>
                </c:pt>
                <c:pt idx="444">
                  <c:v>0.63749999999999996</c:v>
                </c:pt>
                <c:pt idx="445">
                  <c:v>0.75849999999999995</c:v>
                </c:pt>
                <c:pt idx="446">
                  <c:v>0.75600000000000001</c:v>
                </c:pt>
                <c:pt idx="447">
                  <c:v>0.71699999999999997</c:v>
                </c:pt>
                <c:pt idx="448">
                  <c:v>0.80349999999999999</c:v>
                </c:pt>
                <c:pt idx="449">
                  <c:v>0.71699999999999997</c:v>
                </c:pt>
                <c:pt idx="450">
                  <c:v>0.97</c:v>
                </c:pt>
                <c:pt idx="451">
                  <c:v>0.88300000000000001</c:v>
                </c:pt>
                <c:pt idx="452">
                  <c:v>0.55500000000000005</c:v>
                </c:pt>
                <c:pt idx="453">
                  <c:v>0.84250000000000003</c:v>
                </c:pt>
                <c:pt idx="454">
                  <c:v>0.70199999999999996</c:v>
                </c:pt>
                <c:pt idx="455">
                  <c:v>0.93</c:v>
                </c:pt>
                <c:pt idx="456">
                  <c:v>0.78500000000000003</c:v>
                </c:pt>
                <c:pt idx="457">
                  <c:v>0.73650000000000004</c:v>
                </c:pt>
                <c:pt idx="458">
                  <c:v>0.81950000000000001</c:v>
                </c:pt>
                <c:pt idx="459">
                  <c:v>0.59499999999999997</c:v>
                </c:pt>
                <c:pt idx="460">
                  <c:v>0.77649999999999997</c:v>
                </c:pt>
                <c:pt idx="461">
                  <c:v>0.70450000000000002</c:v>
                </c:pt>
                <c:pt idx="462">
                  <c:v>0.85650000000000004</c:v>
                </c:pt>
                <c:pt idx="463">
                  <c:v>0.61899999999999999</c:v>
                </c:pt>
                <c:pt idx="464">
                  <c:v>0.996</c:v>
                </c:pt>
                <c:pt idx="465">
                  <c:v>0.71699999999999997</c:v>
                </c:pt>
                <c:pt idx="466">
                  <c:v>0.83950000000000002</c:v>
                </c:pt>
                <c:pt idx="467">
                  <c:v>0.74099999999999999</c:v>
                </c:pt>
                <c:pt idx="468">
                  <c:v>0.73650000000000004</c:v>
                </c:pt>
                <c:pt idx="469">
                  <c:v>0.82150000000000001</c:v>
                </c:pt>
                <c:pt idx="470">
                  <c:v>0.97799999999999998</c:v>
                </c:pt>
                <c:pt idx="471">
                  <c:v>0.879</c:v>
                </c:pt>
                <c:pt idx="472">
                  <c:v>1.0105</c:v>
                </c:pt>
                <c:pt idx="473">
                  <c:v>0.94599999999999995</c:v>
                </c:pt>
                <c:pt idx="474">
                  <c:v>0.5585</c:v>
                </c:pt>
                <c:pt idx="475">
                  <c:v>0.66800000000000004</c:v>
                </c:pt>
                <c:pt idx="476">
                  <c:v>0.89800000000000002</c:v>
                </c:pt>
                <c:pt idx="477">
                  <c:v>0.92</c:v>
                </c:pt>
                <c:pt idx="478">
                  <c:v>0.85799999999999998</c:v>
                </c:pt>
                <c:pt idx="479">
                  <c:v>0.76649999999999996</c:v>
                </c:pt>
                <c:pt idx="480">
                  <c:v>0.77149999999999996</c:v>
                </c:pt>
                <c:pt idx="481">
                  <c:v>0.91549999999999998</c:v>
                </c:pt>
                <c:pt idx="482">
                  <c:v>0.69899999999999995</c:v>
                </c:pt>
                <c:pt idx="483">
                  <c:v>0.71699999999999997</c:v>
                </c:pt>
                <c:pt idx="484">
                  <c:v>0.80200000000000005</c:v>
                </c:pt>
                <c:pt idx="485">
                  <c:v>0.52249999999999996</c:v>
                </c:pt>
                <c:pt idx="486">
                  <c:v>0.875</c:v>
                </c:pt>
                <c:pt idx="487">
                  <c:v>0.78500000000000003</c:v>
                </c:pt>
                <c:pt idx="488">
                  <c:v>0.72850000000000004</c:v>
                </c:pt>
                <c:pt idx="489">
                  <c:v>0.84599999999999997</c:v>
                </c:pt>
                <c:pt idx="490">
                  <c:v>0.90849999999999997</c:v>
                </c:pt>
                <c:pt idx="491">
                  <c:v>0.8075</c:v>
                </c:pt>
                <c:pt idx="492">
                  <c:v>0.75449999999999995</c:v>
                </c:pt>
                <c:pt idx="493">
                  <c:v>0.6855</c:v>
                </c:pt>
                <c:pt idx="494">
                  <c:v>0.66700000000000004</c:v>
                </c:pt>
                <c:pt idx="495">
                  <c:v>0.78200000000000003</c:v>
                </c:pt>
                <c:pt idx="496">
                  <c:v>0.67649999999999999</c:v>
                </c:pt>
                <c:pt idx="497">
                  <c:v>0.76500000000000001</c:v>
                </c:pt>
                <c:pt idx="498">
                  <c:v>0.86499999999999999</c:v>
                </c:pt>
                <c:pt idx="499">
                  <c:v>0.98150000000000004</c:v>
                </c:pt>
                <c:pt idx="500">
                  <c:v>0.83</c:v>
                </c:pt>
                <c:pt idx="501">
                  <c:v>0.89400000000000002</c:v>
                </c:pt>
                <c:pt idx="502">
                  <c:v>0.88900000000000001</c:v>
                </c:pt>
                <c:pt idx="503">
                  <c:v>0.89749999999999996</c:v>
                </c:pt>
                <c:pt idx="504">
                  <c:v>0.873</c:v>
                </c:pt>
                <c:pt idx="505">
                  <c:v>1.0129999999999999</c:v>
                </c:pt>
                <c:pt idx="506">
                  <c:v>0.86799999999999999</c:v>
                </c:pt>
                <c:pt idx="507">
                  <c:v>1.0269999999999999</c:v>
                </c:pt>
                <c:pt idx="508">
                  <c:v>0.84399999999999997</c:v>
                </c:pt>
                <c:pt idx="509">
                  <c:v>0.97950000000000004</c:v>
                </c:pt>
                <c:pt idx="510">
                  <c:v>0.97650000000000003</c:v>
                </c:pt>
                <c:pt idx="511">
                  <c:v>0.755</c:v>
                </c:pt>
                <c:pt idx="512">
                  <c:v>0.92800000000000005</c:v>
                </c:pt>
                <c:pt idx="513">
                  <c:v>0.753</c:v>
                </c:pt>
                <c:pt idx="514">
                  <c:v>0.82250000000000001</c:v>
                </c:pt>
                <c:pt idx="515">
                  <c:v>0.79800000000000004</c:v>
                </c:pt>
                <c:pt idx="516">
                  <c:v>0.88300000000000001</c:v>
                </c:pt>
                <c:pt idx="517">
                  <c:v>0.76800000000000002</c:v>
                </c:pt>
                <c:pt idx="518">
                  <c:v>0.94</c:v>
                </c:pt>
                <c:pt idx="519">
                  <c:v>0.90249999999999997</c:v>
                </c:pt>
                <c:pt idx="520">
                  <c:v>0.87</c:v>
                </c:pt>
                <c:pt idx="521">
                  <c:v>0.96</c:v>
                </c:pt>
                <c:pt idx="522">
                  <c:v>0.95199999999999996</c:v>
                </c:pt>
                <c:pt idx="523">
                  <c:v>0.874</c:v>
                </c:pt>
                <c:pt idx="524">
                  <c:v>0.83199999999999996</c:v>
                </c:pt>
                <c:pt idx="525">
                  <c:v>0.97750000000000004</c:v>
                </c:pt>
                <c:pt idx="526">
                  <c:v>0.86699999999999999</c:v>
                </c:pt>
                <c:pt idx="527">
                  <c:v>0.88700000000000001</c:v>
                </c:pt>
                <c:pt idx="528">
                  <c:v>1.806</c:v>
                </c:pt>
                <c:pt idx="529">
                  <c:v>1.3174999999999999</c:v>
                </c:pt>
                <c:pt idx="530">
                  <c:v>0.86899999999999999</c:v>
                </c:pt>
                <c:pt idx="531">
                  <c:v>0.95550000000000002</c:v>
                </c:pt>
                <c:pt idx="532">
                  <c:v>0.93100000000000005</c:v>
                </c:pt>
                <c:pt idx="533">
                  <c:v>1.0660000000000001</c:v>
                </c:pt>
                <c:pt idx="534">
                  <c:v>0.82450000000000001</c:v>
                </c:pt>
                <c:pt idx="535">
                  <c:v>0.88600000000000001</c:v>
                </c:pt>
                <c:pt idx="536">
                  <c:v>0.92149999999999999</c:v>
                </c:pt>
                <c:pt idx="537">
                  <c:v>0.87150000000000005</c:v>
                </c:pt>
                <c:pt idx="538">
                  <c:v>0.74050000000000005</c:v>
                </c:pt>
                <c:pt idx="539">
                  <c:v>0.87250000000000005</c:v>
                </c:pt>
                <c:pt idx="540">
                  <c:v>0.82399999999999995</c:v>
                </c:pt>
                <c:pt idx="541">
                  <c:v>0.92149999999999999</c:v>
                </c:pt>
                <c:pt idx="542">
                  <c:v>0.73299999999999998</c:v>
                </c:pt>
                <c:pt idx="543">
                  <c:v>0.92500000000000004</c:v>
                </c:pt>
                <c:pt idx="544">
                  <c:v>0.86750000000000005</c:v>
                </c:pt>
                <c:pt idx="545">
                  <c:v>0.85399999999999998</c:v>
                </c:pt>
                <c:pt idx="546">
                  <c:v>0.89349999999999996</c:v>
                </c:pt>
                <c:pt idx="547">
                  <c:v>0.86699999999999999</c:v>
                </c:pt>
                <c:pt idx="548">
                  <c:v>0.872</c:v>
                </c:pt>
                <c:pt idx="549">
                  <c:v>0.69550000000000001</c:v>
                </c:pt>
                <c:pt idx="550">
                  <c:v>0.92900000000000005</c:v>
                </c:pt>
                <c:pt idx="551">
                  <c:v>0.92500000000000004</c:v>
                </c:pt>
                <c:pt idx="552">
                  <c:v>0.77149999999999996</c:v>
                </c:pt>
                <c:pt idx="553">
                  <c:v>0.97</c:v>
                </c:pt>
                <c:pt idx="554">
                  <c:v>1.1220000000000001</c:v>
                </c:pt>
                <c:pt idx="555">
                  <c:v>0.83750000000000002</c:v>
                </c:pt>
                <c:pt idx="556">
                  <c:v>0.96599999999999997</c:v>
                </c:pt>
                <c:pt idx="557">
                  <c:v>0.86899999999999999</c:v>
                </c:pt>
                <c:pt idx="558">
                  <c:v>0.95699999999999996</c:v>
                </c:pt>
                <c:pt idx="559">
                  <c:v>0.90600000000000003</c:v>
                </c:pt>
                <c:pt idx="560">
                  <c:v>0.85699999999999998</c:v>
                </c:pt>
                <c:pt idx="561">
                  <c:v>0.92700000000000005</c:v>
                </c:pt>
                <c:pt idx="562">
                  <c:v>0.83699999999999997</c:v>
                </c:pt>
                <c:pt idx="563">
                  <c:v>0.86650000000000005</c:v>
                </c:pt>
                <c:pt idx="564">
                  <c:v>0.98499999999999999</c:v>
                </c:pt>
                <c:pt idx="565">
                  <c:v>0.87250000000000005</c:v>
                </c:pt>
                <c:pt idx="566">
                  <c:v>0.85299999999999998</c:v>
                </c:pt>
                <c:pt idx="567">
                  <c:v>0.97150000000000003</c:v>
                </c:pt>
                <c:pt idx="568">
                  <c:v>1.1405000000000001</c:v>
                </c:pt>
                <c:pt idx="569">
                  <c:v>0.83950000000000002</c:v>
                </c:pt>
                <c:pt idx="570">
                  <c:v>0.9335</c:v>
                </c:pt>
                <c:pt idx="571">
                  <c:v>0.89149999999999996</c:v>
                </c:pt>
                <c:pt idx="572">
                  <c:v>1.103</c:v>
                </c:pt>
                <c:pt idx="573">
                  <c:v>1.0309999999999999</c:v>
                </c:pt>
                <c:pt idx="574">
                  <c:v>1.3445</c:v>
                </c:pt>
                <c:pt idx="575">
                  <c:v>1.742</c:v>
                </c:pt>
                <c:pt idx="576">
                  <c:v>0.92500000000000004</c:v>
                </c:pt>
                <c:pt idx="577">
                  <c:v>1.62</c:v>
                </c:pt>
                <c:pt idx="578">
                  <c:v>1.4435</c:v>
                </c:pt>
                <c:pt idx="579">
                  <c:v>0.97499999999999998</c:v>
                </c:pt>
                <c:pt idx="580">
                  <c:v>0.85650000000000004</c:v>
                </c:pt>
                <c:pt idx="581">
                  <c:v>1.4984999999999999</c:v>
                </c:pt>
                <c:pt idx="582">
                  <c:v>0.85950000000000004</c:v>
                </c:pt>
                <c:pt idx="583">
                  <c:v>1.1085</c:v>
                </c:pt>
                <c:pt idx="584">
                  <c:v>0.77600000000000002</c:v>
                </c:pt>
                <c:pt idx="585">
                  <c:v>1.115</c:v>
                </c:pt>
                <c:pt idx="586">
                  <c:v>1.0620000000000001</c:v>
                </c:pt>
                <c:pt idx="587">
                  <c:v>1.3035000000000001</c:v>
                </c:pt>
                <c:pt idx="588">
                  <c:v>1.7789999999999999</c:v>
                </c:pt>
                <c:pt idx="589">
                  <c:v>0.95299999999999996</c:v>
                </c:pt>
                <c:pt idx="590">
                  <c:v>1.0049999999999999</c:v>
                </c:pt>
                <c:pt idx="591">
                  <c:v>1.514</c:v>
                </c:pt>
                <c:pt idx="592">
                  <c:v>1.2290000000000001</c:v>
                </c:pt>
                <c:pt idx="593">
                  <c:v>1.016</c:v>
                </c:pt>
                <c:pt idx="594">
                  <c:v>1.8440000000000001</c:v>
                </c:pt>
                <c:pt idx="595">
                  <c:v>1.0920000000000001</c:v>
                </c:pt>
                <c:pt idx="596">
                  <c:v>1.7344999999999999</c:v>
                </c:pt>
                <c:pt idx="597">
                  <c:v>1.4019999999999999</c:v>
                </c:pt>
                <c:pt idx="598">
                  <c:v>1.347</c:v>
                </c:pt>
                <c:pt idx="599">
                  <c:v>1.6194999999999999</c:v>
                </c:pt>
                <c:pt idx="600">
                  <c:v>1.978</c:v>
                </c:pt>
                <c:pt idx="601">
                  <c:v>1.4384999999999999</c:v>
                </c:pt>
                <c:pt idx="602">
                  <c:v>1.8075000000000001</c:v>
                </c:pt>
                <c:pt idx="603">
                  <c:v>1.4684999999999999</c:v>
                </c:pt>
                <c:pt idx="604">
                  <c:v>2.5259999999999998</c:v>
                </c:pt>
                <c:pt idx="605">
                  <c:v>1.756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7D9-C849-B7D3-A04B473F08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100"/>
        <c:axId val="658451295"/>
        <c:axId val="657621375"/>
      </c:barChart>
      <c:catAx>
        <c:axId val="658451295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Abalone 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/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621375"/>
        <c:crosses val="autoZero"/>
        <c:auto val="1"/>
        <c:lblAlgn val="ctr"/>
        <c:lblOffset val="100"/>
        <c:noMultiLvlLbl val="0"/>
      </c:catAx>
      <c:valAx>
        <c:axId val="65762137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451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[Ebin_Mathew_ExcData.xlsx]Ecomonic Values!PivotTable1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Category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'Ecomonic Values'!$W$1</c:f>
              <c:strCache>
                <c:ptCount val="1"/>
                <c:pt idx="0">
                  <c:v>Count of Gender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'Ecomonic Values'!$V$2:$V$358</c:f>
              <c:strCache>
                <c:ptCount val="356"/>
                <c:pt idx="0">
                  <c:v>0.941315833333333</c:v>
                </c:pt>
                <c:pt idx="1">
                  <c:v>0.963793333333333</c:v>
                </c:pt>
                <c:pt idx="2">
                  <c:v>0.965635</c:v>
                </c:pt>
                <c:pt idx="3">
                  <c:v>0.966938333333333</c:v>
                </c:pt>
                <c:pt idx="4">
                  <c:v>0.969713333333333</c:v>
                </c:pt>
                <c:pt idx="5">
                  <c:v>0.974733333333333</c:v>
                </c:pt>
                <c:pt idx="6">
                  <c:v>0.977062083333333</c:v>
                </c:pt>
                <c:pt idx="7">
                  <c:v>0.977645833333333</c:v>
                </c:pt>
                <c:pt idx="8">
                  <c:v>0.984208333333333</c:v>
                </c:pt>
                <c:pt idx="9">
                  <c:v>0.984926666666667</c:v>
                </c:pt>
                <c:pt idx="10">
                  <c:v>0.984963333333333</c:v>
                </c:pt>
                <c:pt idx="11">
                  <c:v>0.986166666666667</c:v>
                </c:pt>
                <c:pt idx="12">
                  <c:v>0.987887083333333</c:v>
                </c:pt>
                <c:pt idx="13">
                  <c:v>0.98883875</c:v>
                </c:pt>
                <c:pt idx="14">
                  <c:v>0.989372916666667</c:v>
                </c:pt>
                <c:pt idx="15">
                  <c:v>0.990229166666667</c:v>
                </c:pt>
                <c:pt idx="16">
                  <c:v>0.990291666666667</c:v>
                </c:pt>
                <c:pt idx="17">
                  <c:v>0.9906</c:v>
                </c:pt>
                <c:pt idx="18">
                  <c:v>0.99087875</c:v>
                </c:pt>
                <c:pt idx="19">
                  <c:v>0.991964583333333</c:v>
                </c:pt>
                <c:pt idx="20">
                  <c:v>0.992190416666667</c:v>
                </c:pt>
                <c:pt idx="21">
                  <c:v>0.99247</c:v>
                </c:pt>
                <c:pt idx="22">
                  <c:v>0.992778333333333</c:v>
                </c:pt>
                <c:pt idx="23">
                  <c:v>0.9935625</c:v>
                </c:pt>
                <c:pt idx="24">
                  <c:v>0.993704583333333</c:v>
                </c:pt>
                <c:pt idx="25">
                  <c:v>0.993815833333333</c:v>
                </c:pt>
                <c:pt idx="26">
                  <c:v>0.99404375</c:v>
                </c:pt>
                <c:pt idx="27">
                  <c:v>0.994202916666667</c:v>
                </c:pt>
                <c:pt idx="28">
                  <c:v>0.994577083333333</c:v>
                </c:pt>
                <c:pt idx="29">
                  <c:v>0.995541666666667</c:v>
                </c:pt>
                <c:pt idx="30">
                  <c:v>0.9961125</c:v>
                </c:pt>
                <c:pt idx="31">
                  <c:v>0.996637083333333</c:v>
                </c:pt>
                <c:pt idx="32">
                  <c:v>0.997375</c:v>
                </c:pt>
                <c:pt idx="33">
                  <c:v>0.997516666666667</c:v>
                </c:pt>
                <c:pt idx="34">
                  <c:v>0.997666666666667</c:v>
                </c:pt>
                <c:pt idx="35">
                  <c:v>0.999873333333333</c:v>
                </c:pt>
                <c:pt idx="36">
                  <c:v>1.0004025</c:v>
                </c:pt>
                <c:pt idx="37">
                  <c:v>1.00047708333333</c:v>
                </c:pt>
                <c:pt idx="38">
                  <c:v>1.00103666666667</c:v>
                </c:pt>
                <c:pt idx="39">
                  <c:v>1.00103958333333</c:v>
                </c:pt>
                <c:pt idx="40">
                  <c:v>1.00116666666667</c:v>
                </c:pt>
                <c:pt idx="41">
                  <c:v>1.00160416666667</c:v>
                </c:pt>
                <c:pt idx="42">
                  <c:v>1.002015</c:v>
                </c:pt>
                <c:pt idx="43">
                  <c:v>1.00230666666667</c:v>
                </c:pt>
                <c:pt idx="44">
                  <c:v>1.00246125</c:v>
                </c:pt>
                <c:pt idx="45">
                  <c:v>1.00247958333333</c:v>
                </c:pt>
                <c:pt idx="46">
                  <c:v>1.00253333333333</c:v>
                </c:pt>
                <c:pt idx="47">
                  <c:v>1.00271875</c:v>
                </c:pt>
                <c:pt idx="48">
                  <c:v>1.00283333333333</c:v>
                </c:pt>
                <c:pt idx="49">
                  <c:v>1.00295666666667</c:v>
                </c:pt>
                <c:pt idx="50">
                  <c:v>1.00328333333333</c:v>
                </c:pt>
                <c:pt idx="51">
                  <c:v>1.00345833333333</c:v>
                </c:pt>
                <c:pt idx="52">
                  <c:v>1.00377</c:v>
                </c:pt>
                <c:pt idx="53">
                  <c:v>1.0040025</c:v>
                </c:pt>
                <c:pt idx="54">
                  <c:v>1.00432</c:v>
                </c:pt>
                <c:pt idx="55">
                  <c:v>1.00510333333333</c:v>
                </c:pt>
                <c:pt idx="56">
                  <c:v>1.00515333333333</c:v>
                </c:pt>
                <c:pt idx="57">
                  <c:v>1.00544</c:v>
                </c:pt>
                <c:pt idx="58">
                  <c:v>1.00565916666667</c:v>
                </c:pt>
                <c:pt idx="59">
                  <c:v>1.00576833333333</c:v>
                </c:pt>
                <c:pt idx="60">
                  <c:v>1.00583333333333</c:v>
                </c:pt>
                <c:pt idx="61">
                  <c:v>1.00591666666667</c:v>
                </c:pt>
                <c:pt idx="62">
                  <c:v>1.00651833333333</c:v>
                </c:pt>
                <c:pt idx="63">
                  <c:v>1.00670666666667</c:v>
                </c:pt>
                <c:pt idx="64">
                  <c:v>1.00681125</c:v>
                </c:pt>
                <c:pt idx="65">
                  <c:v>1.00764666666667</c:v>
                </c:pt>
                <c:pt idx="66">
                  <c:v>1.00767791666667</c:v>
                </c:pt>
                <c:pt idx="67">
                  <c:v>1.00790375</c:v>
                </c:pt>
                <c:pt idx="68">
                  <c:v>1.00796375</c:v>
                </c:pt>
                <c:pt idx="69">
                  <c:v>1.00890666666667</c:v>
                </c:pt>
                <c:pt idx="70">
                  <c:v>1.00891666666667</c:v>
                </c:pt>
                <c:pt idx="71">
                  <c:v>1.00935</c:v>
                </c:pt>
                <c:pt idx="72">
                  <c:v>1.009445</c:v>
                </c:pt>
                <c:pt idx="73">
                  <c:v>1.00954</c:v>
                </c:pt>
                <c:pt idx="74">
                  <c:v>1.00968</c:v>
                </c:pt>
                <c:pt idx="75">
                  <c:v>1.01094</c:v>
                </c:pt>
                <c:pt idx="76">
                  <c:v>1.01134</c:v>
                </c:pt>
                <c:pt idx="77">
                  <c:v>1.01152083333333</c:v>
                </c:pt>
                <c:pt idx="78">
                  <c:v>1.011575</c:v>
                </c:pt>
                <c:pt idx="79">
                  <c:v>1.01184458333333</c:v>
                </c:pt>
                <c:pt idx="80">
                  <c:v>1.01185416666667</c:v>
                </c:pt>
                <c:pt idx="81">
                  <c:v>1.011895</c:v>
                </c:pt>
                <c:pt idx="82">
                  <c:v>1.01190666666667</c:v>
                </c:pt>
                <c:pt idx="83">
                  <c:v>1.01209083333333</c:v>
                </c:pt>
                <c:pt idx="84">
                  <c:v>1.0125</c:v>
                </c:pt>
                <c:pt idx="85">
                  <c:v>1.01253333333333</c:v>
                </c:pt>
                <c:pt idx="86">
                  <c:v>1.01266333333333</c:v>
                </c:pt>
                <c:pt idx="87">
                  <c:v>1.01266666666667</c:v>
                </c:pt>
                <c:pt idx="88">
                  <c:v>1.0128175</c:v>
                </c:pt>
                <c:pt idx="89">
                  <c:v>1.01297291666667</c:v>
                </c:pt>
                <c:pt idx="90">
                  <c:v>1.01335958333333</c:v>
                </c:pt>
                <c:pt idx="91">
                  <c:v>1.01363791666667</c:v>
                </c:pt>
                <c:pt idx="92">
                  <c:v>1.01391666666667</c:v>
                </c:pt>
                <c:pt idx="93">
                  <c:v>1.01408458333333</c:v>
                </c:pt>
                <c:pt idx="94">
                  <c:v>1.01415166666667</c:v>
                </c:pt>
                <c:pt idx="95">
                  <c:v>1.01482666666667</c:v>
                </c:pt>
                <c:pt idx="96">
                  <c:v>1.0149625</c:v>
                </c:pt>
                <c:pt idx="97">
                  <c:v>1.01504166666667</c:v>
                </c:pt>
                <c:pt idx="98">
                  <c:v>1.01509083333333</c:v>
                </c:pt>
                <c:pt idx="99">
                  <c:v>1.01509166666667</c:v>
                </c:pt>
                <c:pt idx="100">
                  <c:v>1.01518916666667</c:v>
                </c:pt>
                <c:pt idx="101">
                  <c:v>1.01522625</c:v>
                </c:pt>
                <c:pt idx="102">
                  <c:v>1.0152475</c:v>
                </c:pt>
                <c:pt idx="103">
                  <c:v>1.0153375</c:v>
                </c:pt>
                <c:pt idx="104">
                  <c:v>1.01548</c:v>
                </c:pt>
                <c:pt idx="105">
                  <c:v>1.0155625</c:v>
                </c:pt>
                <c:pt idx="106">
                  <c:v>1.01556541666667</c:v>
                </c:pt>
                <c:pt idx="107">
                  <c:v>1.01575</c:v>
                </c:pt>
                <c:pt idx="108">
                  <c:v>1.016</c:v>
                </c:pt>
                <c:pt idx="109">
                  <c:v>1.01624416666667</c:v>
                </c:pt>
                <c:pt idx="110">
                  <c:v>1.01671375</c:v>
                </c:pt>
                <c:pt idx="111">
                  <c:v>1.01676</c:v>
                </c:pt>
                <c:pt idx="112">
                  <c:v>1.01679833333333</c:v>
                </c:pt>
                <c:pt idx="113">
                  <c:v>1.01699708333333</c:v>
                </c:pt>
                <c:pt idx="114">
                  <c:v>1.01704166666667</c:v>
                </c:pt>
                <c:pt idx="115">
                  <c:v>1.01727333333333</c:v>
                </c:pt>
                <c:pt idx="116">
                  <c:v>1.0172875</c:v>
                </c:pt>
                <c:pt idx="117">
                  <c:v>1.01743333333333</c:v>
                </c:pt>
                <c:pt idx="118">
                  <c:v>1.01752083333333</c:v>
                </c:pt>
                <c:pt idx="119">
                  <c:v>1.01758916666667</c:v>
                </c:pt>
                <c:pt idx="120">
                  <c:v>1.01783958333333</c:v>
                </c:pt>
                <c:pt idx="121">
                  <c:v>1.01785666666667</c:v>
                </c:pt>
                <c:pt idx="122">
                  <c:v>1.018</c:v>
                </c:pt>
                <c:pt idx="123">
                  <c:v>1.01800416666667</c:v>
                </c:pt>
                <c:pt idx="124">
                  <c:v>1.01833125</c:v>
                </c:pt>
                <c:pt idx="125">
                  <c:v>1.01845625</c:v>
                </c:pt>
                <c:pt idx="126">
                  <c:v>1.01867333333333</c:v>
                </c:pt>
                <c:pt idx="127">
                  <c:v>1.01912</c:v>
                </c:pt>
                <c:pt idx="128">
                  <c:v>1.01932</c:v>
                </c:pt>
                <c:pt idx="129">
                  <c:v>1.01950791666667</c:v>
                </c:pt>
                <c:pt idx="130">
                  <c:v>1.01952</c:v>
                </c:pt>
                <c:pt idx="131">
                  <c:v>1.01989541666667</c:v>
                </c:pt>
                <c:pt idx="132">
                  <c:v>1.02002916666667</c:v>
                </c:pt>
                <c:pt idx="133">
                  <c:v>1.020055</c:v>
                </c:pt>
                <c:pt idx="134">
                  <c:v>1.02010416666667</c:v>
                </c:pt>
                <c:pt idx="135">
                  <c:v>1.02019958333333</c:v>
                </c:pt>
                <c:pt idx="136">
                  <c:v>1.02064583333333</c:v>
                </c:pt>
                <c:pt idx="137">
                  <c:v>1.02065625</c:v>
                </c:pt>
                <c:pt idx="138">
                  <c:v>1.02082666666667</c:v>
                </c:pt>
                <c:pt idx="139">
                  <c:v>1.02085</c:v>
                </c:pt>
                <c:pt idx="140">
                  <c:v>1.02085375</c:v>
                </c:pt>
                <c:pt idx="141">
                  <c:v>1.02095708333333</c:v>
                </c:pt>
                <c:pt idx="142">
                  <c:v>1.02096833333333</c:v>
                </c:pt>
                <c:pt idx="143">
                  <c:v>1.021</c:v>
                </c:pt>
                <c:pt idx="144">
                  <c:v>1.0210475</c:v>
                </c:pt>
                <c:pt idx="145">
                  <c:v>1.0215275</c:v>
                </c:pt>
                <c:pt idx="146">
                  <c:v>1.02182916666667</c:v>
                </c:pt>
                <c:pt idx="147">
                  <c:v>1.02216666666667</c:v>
                </c:pt>
                <c:pt idx="148">
                  <c:v>1.02218958333333</c:v>
                </c:pt>
                <c:pt idx="149">
                  <c:v>1.02231166666667</c:v>
                </c:pt>
                <c:pt idx="150">
                  <c:v>1.0223175</c:v>
                </c:pt>
                <c:pt idx="151">
                  <c:v>1.02235416666667</c:v>
                </c:pt>
                <c:pt idx="152">
                  <c:v>1.022485</c:v>
                </c:pt>
                <c:pt idx="153">
                  <c:v>1.02263208333333</c:v>
                </c:pt>
                <c:pt idx="154">
                  <c:v>1.0230525</c:v>
                </c:pt>
                <c:pt idx="155">
                  <c:v>1.02307833333333</c:v>
                </c:pt>
                <c:pt idx="156">
                  <c:v>1.02308166666667</c:v>
                </c:pt>
                <c:pt idx="157">
                  <c:v>1.02326583333333</c:v>
                </c:pt>
                <c:pt idx="158">
                  <c:v>1.02352083333333</c:v>
                </c:pt>
                <c:pt idx="159">
                  <c:v>1.0235975</c:v>
                </c:pt>
                <c:pt idx="160">
                  <c:v>1.02361125</c:v>
                </c:pt>
                <c:pt idx="161">
                  <c:v>1.02375791666667</c:v>
                </c:pt>
                <c:pt idx="162">
                  <c:v>1.02397708333333</c:v>
                </c:pt>
                <c:pt idx="163">
                  <c:v>1.024</c:v>
                </c:pt>
                <c:pt idx="164">
                  <c:v>1.02410375</c:v>
                </c:pt>
                <c:pt idx="165">
                  <c:v>1.02415125</c:v>
                </c:pt>
                <c:pt idx="166">
                  <c:v>1.02424416666667</c:v>
                </c:pt>
                <c:pt idx="167">
                  <c:v>1.02439583333333</c:v>
                </c:pt>
                <c:pt idx="168">
                  <c:v>1.02442</c:v>
                </c:pt>
                <c:pt idx="169">
                  <c:v>1.02474833333333</c:v>
                </c:pt>
                <c:pt idx="170">
                  <c:v>1.02492666666667</c:v>
                </c:pt>
                <c:pt idx="171">
                  <c:v>1.02510041666667</c:v>
                </c:pt>
                <c:pt idx="172">
                  <c:v>1.02521916666667</c:v>
                </c:pt>
                <c:pt idx="173">
                  <c:v>1.0252725</c:v>
                </c:pt>
                <c:pt idx="174">
                  <c:v>1.02555166666667</c:v>
                </c:pt>
                <c:pt idx="175">
                  <c:v>1.02587833333333</c:v>
                </c:pt>
                <c:pt idx="176">
                  <c:v>1.02607166666667</c:v>
                </c:pt>
                <c:pt idx="177">
                  <c:v>1.02664166666667</c:v>
                </c:pt>
                <c:pt idx="178">
                  <c:v>1.0267025</c:v>
                </c:pt>
                <c:pt idx="179">
                  <c:v>1.02682625</c:v>
                </c:pt>
                <c:pt idx="180">
                  <c:v>1.02688125</c:v>
                </c:pt>
                <c:pt idx="181">
                  <c:v>1.02710916666667</c:v>
                </c:pt>
                <c:pt idx="182">
                  <c:v>1.0272625</c:v>
                </c:pt>
                <c:pt idx="183">
                  <c:v>1.02734541666667</c:v>
                </c:pt>
                <c:pt idx="184">
                  <c:v>1.02737</c:v>
                </c:pt>
                <c:pt idx="185">
                  <c:v>1.02739375</c:v>
                </c:pt>
                <c:pt idx="186">
                  <c:v>1.02741666666667</c:v>
                </c:pt>
                <c:pt idx="187">
                  <c:v>1.02811833333333</c:v>
                </c:pt>
                <c:pt idx="188">
                  <c:v>1.02822666666667</c:v>
                </c:pt>
                <c:pt idx="189">
                  <c:v>1.02825375</c:v>
                </c:pt>
                <c:pt idx="190">
                  <c:v>1.02831083333333</c:v>
                </c:pt>
                <c:pt idx="191">
                  <c:v>1.02861041666667</c:v>
                </c:pt>
                <c:pt idx="192">
                  <c:v>1.02887333333333</c:v>
                </c:pt>
                <c:pt idx="193">
                  <c:v>1.02897833333333</c:v>
                </c:pt>
                <c:pt idx="194">
                  <c:v>1.02932666666667</c:v>
                </c:pt>
                <c:pt idx="195">
                  <c:v>1.02936666666667</c:v>
                </c:pt>
                <c:pt idx="196">
                  <c:v>1.02942666666667</c:v>
                </c:pt>
                <c:pt idx="197">
                  <c:v>1.02949416666667</c:v>
                </c:pt>
                <c:pt idx="198">
                  <c:v>1.02951916666667</c:v>
                </c:pt>
                <c:pt idx="199">
                  <c:v>1.02969375</c:v>
                </c:pt>
                <c:pt idx="200">
                  <c:v>1.0297</c:v>
                </c:pt>
                <c:pt idx="201">
                  <c:v>1.02979583333333</c:v>
                </c:pt>
                <c:pt idx="202">
                  <c:v>1.0299375</c:v>
                </c:pt>
                <c:pt idx="203">
                  <c:v>1.0302575</c:v>
                </c:pt>
                <c:pt idx="204">
                  <c:v>1.03033541666667</c:v>
                </c:pt>
                <c:pt idx="205">
                  <c:v>1.03063583333333</c:v>
                </c:pt>
                <c:pt idx="206">
                  <c:v>1.03072291666667</c:v>
                </c:pt>
                <c:pt idx="207">
                  <c:v>1.0310025</c:v>
                </c:pt>
                <c:pt idx="208">
                  <c:v>1.03106333333333</c:v>
                </c:pt>
                <c:pt idx="209">
                  <c:v>1.03169333333333</c:v>
                </c:pt>
                <c:pt idx="210">
                  <c:v>1.0318</c:v>
                </c:pt>
                <c:pt idx="211">
                  <c:v>1.03180666666667</c:v>
                </c:pt>
                <c:pt idx="212">
                  <c:v>1.0319</c:v>
                </c:pt>
                <c:pt idx="213">
                  <c:v>1.03226166666667</c:v>
                </c:pt>
                <c:pt idx="214">
                  <c:v>1.03254583333333</c:v>
                </c:pt>
                <c:pt idx="215">
                  <c:v>1.03256666666667</c:v>
                </c:pt>
                <c:pt idx="216">
                  <c:v>1.03285041666667</c:v>
                </c:pt>
                <c:pt idx="217">
                  <c:v>1.03289083333333</c:v>
                </c:pt>
                <c:pt idx="218">
                  <c:v>1.03312583333333</c:v>
                </c:pt>
                <c:pt idx="219">
                  <c:v>1.03329125</c:v>
                </c:pt>
                <c:pt idx="220">
                  <c:v>1.033375</c:v>
                </c:pt>
                <c:pt idx="221">
                  <c:v>1.0333925</c:v>
                </c:pt>
                <c:pt idx="222">
                  <c:v>1.03350666666667</c:v>
                </c:pt>
                <c:pt idx="223">
                  <c:v>1.03363291666667</c:v>
                </c:pt>
                <c:pt idx="224">
                  <c:v>1.03379916666667</c:v>
                </c:pt>
                <c:pt idx="225">
                  <c:v>1.03405</c:v>
                </c:pt>
                <c:pt idx="226">
                  <c:v>1.034185</c:v>
                </c:pt>
                <c:pt idx="227">
                  <c:v>1.03425166666667</c:v>
                </c:pt>
                <c:pt idx="228">
                  <c:v>1.03439375</c:v>
                </c:pt>
                <c:pt idx="229">
                  <c:v>1.03441166666667</c:v>
                </c:pt>
                <c:pt idx="230">
                  <c:v>1.03467166666667</c:v>
                </c:pt>
                <c:pt idx="231">
                  <c:v>1.03469</c:v>
                </c:pt>
                <c:pt idx="232">
                  <c:v>1.03476</c:v>
                </c:pt>
                <c:pt idx="233">
                  <c:v>1.03501208333333</c:v>
                </c:pt>
                <c:pt idx="234">
                  <c:v>1.03502291666667</c:v>
                </c:pt>
                <c:pt idx="235">
                  <c:v>1.03533083333333</c:v>
                </c:pt>
                <c:pt idx="236">
                  <c:v>1.03565416666667</c:v>
                </c:pt>
                <c:pt idx="237">
                  <c:v>1.03582333333333</c:v>
                </c:pt>
                <c:pt idx="238">
                  <c:v>1.03619791666667</c:v>
                </c:pt>
                <c:pt idx="239">
                  <c:v>1.03626083333333</c:v>
                </c:pt>
                <c:pt idx="240">
                  <c:v>1.03646125</c:v>
                </c:pt>
                <c:pt idx="241">
                  <c:v>1.03654916666667</c:v>
                </c:pt>
                <c:pt idx="242">
                  <c:v>1.03678333333333</c:v>
                </c:pt>
                <c:pt idx="243">
                  <c:v>1.03698333333333</c:v>
                </c:pt>
                <c:pt idx="244">
                  <c:v>1.03699833333333</c:v>
                </c:pt>
                <c:pt idx="245">
                  <c:v>1.03714</c:v>
                </c:pt>
                <c:pt idx="246">
                  <c:v>1.03730416666667</c:v>
                </c:pt>
                <c:pt idx="247">
                  <c:v>1.03748333333333</c:v>
                </c:pt>
                <c:pt idx="248">
                  <c:v>1.03763958333333</c:v>
                </c:pt>
                <c:pt idx="249">
                  <c:v>1.03766</c:v>
                </c:pt>
                <c:pt idx="250">
                  <c:v>1.03782083333333</c:v>
                </c:pt>
                <c:pt idx="251">
                  <c:v>1.03811583333333</c:v>
                </c:pt>
                <c:pt idx="252">
                  <c:v>1.03822666666667</c:v>
                </c:pt>
                <c:pt idx="253">
                  <c:v>1.03880333333333</c:v>
                </c:pt>
                <c:pt idx="254">
                  <c:v>1.03889916666667</c:v>
                </c:pt>
                <c:pt idx="255">
                  <c:v>1.03912166666667</c:v>
                </c:pt>
                <c:pt idx="256">
                  <c:v>1.03975166666667</c:v>
                </c:pt>
                <c:pt idx="257">
                  <c:v>1.04012208333333</c:v>
                </c:pt>
                <c:pt idx="258">
                  <c:v>1.0403175</c:v>
                </c:pt>
                <c:pt idx="259">
                  <c:v>1.04034208333333</c:v>
                </c:pt>
                <c:pt idx="260">
                  <c:v>1.04114833333333</c:v>
                </c:pt>
                <c:pt idx="261">
                  <c:v>1.04121666666667</c:v>
                </c:pt>
                <c:pt idx="262">
                  <c:v>1.04123125</c:v>
                </c:pt>
                <c:pt idx="263">
                  <c:v>1.04123541666667</c:v>
                </c:pt>
                <c:pt idx="264">
                  <c:v>1.04133541666667</c:v>
                </c:pt>
                <c:pt idx="265">
                  <c:v>1.041405</c:v>
                </c:pt>
                <c:pt idx="266">
                  <c:v>1.04192666666667</c:v>
                </c:pt>
                <c:pt idx="267">
                  <c:v>1.0422175</c:v>
                </c:pt>
                <c:pt idx="268">
                  <c:v>1.04238958333333</c:v>
                </c:pt>
                <c:pt idx="269">
                  <c:v>1.04311166666667</c:v>
                </c:pt>
                <c:pt idx="270">
                  <c:v>1.04336416666667</c:v>
                </c:pt>
                <c:pt idx="271">
                  <c:v>1.0435275</c:v>
                </c:pt>
                <c:pt idx="272">
                  <c:v>1.04353125</c:v>
                </c:pt>
                <c:pt idx="273">
                  <c:v>1.04402833333333</c:v>
                </c:pt>
                <c:pt idx="274">
                  <c:v>1.04438625</c:v>
                </c:pt>
                <c:pt idx="275">
                  <c:v>1.04440625</c:v>
                </c:pt>
                <c:pt idx="276">
                  <c:v>1.04452458333333</c:v>
                </c:pt>
                <c:pt idx="277">
                  <c:v>1.04472958333333</c:v>
                </c:pt>
                <c:pt idx="278">
                  <c:v>1.04500166666667</c:v>
                </c:pt>
                <c:pt idx="279">
                  <c:v>1.045445</c:v>
                </c:pt>
                <c:pt idx="280">
                  <c:v>1.04569166666667</c:v>
                </c:pt>
                <c:pt idx="281">
                  <c:v>1.04576458333333</c:v>
                </c:pt>
                <c:pt idx="282">
                  <c:v>1.04679166666667</c:v>
                </c:pt>
                <c:pt idx="283">
                  <c:v>1.04682083333333</c:v>
                </c:pt>
                <c:pt idx="284">
                  <c:v>1.04727</c:v>
                </c:pt>
                <c:pt idx="285">
                  <c:v>1.04741583333333</c:v>
                </c:pt>
                <c:pt idx="286">
                  <c:v>1.04742291666667</c:v>
                </c:pt>
                <c:pt idx="287">
                  <c:v>1.04752291666667</c:v>
                </c:pt>
                <c:pt idx="288">
                  <c:v>1.04757666666667</c:v>
                </c:pt>
                <c:pt idx="289">
                  <c:v>1.0477</c:v>
                </c:pt>
                <c:pt idx="290">
                  <c:v>1.04818291666667</c:v>
                </c:pt>
                <c:pt idx="291">
                  <c:v>1.04866</c:v>
                </c:pt>
                <c:pt idx="292">
                  <c:v>1.04903791666667</c:v>
                </c:pt>
                <c:pt idx="293">
                  <c:v>1.04928791666667</c:v>
                </c:pt>
                <c:pt idx="294">
                  <c:v>1.04951666666667</c:v>
                </c:pt>
                <c:pt idx="295">
                  <c:v>1.04990208333333</c:v>
                </c:pt>
                <c:pt idx="296">
                  <c:v>1.05013291666667</c:v>
                </c:pt>
                <c:pt idx="297">
                  <c:v>1.05030625</c:v>
                </c:pt>
                <c:pt idx="298">
                  <c:v>1.05033333333333</c:v>
                </c:pt>
                <c:pt idx="299">
                  <c:v>1.05058875</c:v>
                </c:pt>
                <c:pt idx="300">
                  <c:v>1.05148458333333</c:v>
                </c:pt>
                <c:pt idx="301">
                  <c:v>1.051525</c:v>
                </c:pt>
                <c:pt idx="302">
                  <c:v>1.05171333333333</c:v>
                </c:pt>
                <c:pt idx="303">
                  <c:v>1.05174375</c:v>
                </c:pt>
                <c:pt idx="304">
                  <c:v>1.05211333333333</c:v>
                </c:pt>
                <c:pt idx="305">
                  <c:v>1.05228083333333</c:v>
                </c:pt>
                <c:pt idx="306">
                  <c:v>1.05278</c:v>
                </c:pt>
                <c:pt idx="307">
                  <c:v>1.05404833333333</c:v>
                </c:pt>
                <c:pt idx="308">
                  <c:v>1.05471333333333</c:v>
                </c:pt>
                <c:pt idx="309">
                  <c:v>1.0547575</c:v>
                </c:pt>
                <c:pt idx="310">
                  <c:v>1.05495333333333</c:v>
                </c:pt>
                <c:pt idx="311">
                  <c:v>1.05509291666667</c:v>
                </c:pt>
                <c:pt idx="312">
                  <c:v>1.05598333333333</c:v>
                </c:pt>
                <c:pt idx="313">
                  <c:v>1.0560625</c:v>
                </c:pt>
                <c:pt idx="314">
                  <c:v>1.05651666666667</c:v>
                </c:pt>
                <c:pt idx="315">
                  <c:v>1.05715</c:v>
                </c:pt>
                <c:pt idx="316">
                  <c:v>1.05718291666667</c:v>
                </c:pt>
                <c:pt idx="317">
                  <c:v>1.05735333333333</c:v>
                </c:pt>
                <c:pt idx="318">
                  <c:v>1.05751791666667</c:v>
                </c:pt>
                <c:pt idx="319">
                  <c:v>1.05799916666667</c:v>
                </c:pt>
                <c:pt idx="320">
                  <c:v>1.05802416666667</c:v>
                </c:pt>
                <c:pt idx="321">
                  <c:v>1.05812958333333</c:v>
                </c:pt>
                <c:pt idx="322">
                  <c:v>1.05813</c:v>
                </c:pt>
                <c:pt idx="323">
                  <c:v>1.05815</c:v>
                </c:pt>
                <c:pt idx="324">
                  <c:v>1.05857166666667</c:v>
                </c:pt>
                <c:pt idx="325">
                  <c:v>1.05899958333333</c:v>
                </c:pt>
                <c:pt idx="326">
                  <c:v>1.06008708333333</c:v>
                </c:pt>
                <c:pt idx="327">
                  <c:v>1.06116291666667</c:v>
                </c:pt>
                <c:pt idx="328">
                  <c:v>1.0618975</c:v>
                </c:pt>
                <c:pt idx="329">
                  <c:v>1.06192291666667</c:v>
                </c:pt>
                <c:pt idx="330">
                  <c:v>1.0620125</c:v>
                </c:pt>
                <c:pt idx="331">
                  <c:v>1.06201666666667</c:v>
                </c:pt>
                <c:pt idx="332">
                  <c:v>1.06291916666667</c:v>
                </c:pt>
                <c:pt idx="333">
                  <c:v>1.06348333333333</c:v>
                </c:pt>
                <c:pt idx="334">
                  <c:v>1.06412</c:v>
                </c:pt>
                <c:pt idx="335">
                  <c:v>1.06420916666667</c:v>
                </c:pt>
                <c:pt idx="336">
                  <c:v>1.06579583333333</c:v>
                </c:pt>
                <c:pt idx="337">
                  <c:v>1.0659</c:v>
                </c:pt>
                <c:pt idx="338">
                  <c:v>1.06604333333333</c:v>
                </c:pt>
                <c:pt idx="339">
                  <c:v>1.06711666666667</c:v>
                </c:pt>
                <c:pt idx="340">
                  <c:v>1.06765125</c:v>
                </c:pt>
                <c:pt idx="341">
                  <c:v>1.0687125</c:v>
                </c:pt>
                <c:pt idx="342">
                  <c:v>1.06919333333333</c:v>
                </c:pt>
                <c:pt idx="343">
                  <c:v>1.07002083333333</c:v>
                </c:pt>
                <c:pt idx="344">
                  <c:v>1.070415</c:v>
                </c:pt>
                <c:pt idx="345">
                  <c:v>1.07383916666667</c:v>
                </c:pt>
                <c:pt idx="346">
                  <c:v>1.0746125</c:v>
                </c:pt>
                <c:pt idx="347">
                  <c:v>1.07466666666667</c:v>
                </c:pt>
                <c:pt idx="348">
                  <c:v>1.07616708333333</c:v>
                </c:pt>
                <c:pt idx="349">
                  <c:v>1.0771275</c:v>
                </c:pt>
                <c:pt idx="350">
                  <c:v>1.07903291666667</c:v>
                </c:pt>
                <c:pt idx="351">
                  <c:v>1.07980791666667</c:v>
                </c:pt>
                <c:pt idx="352">
                  <c:v>1.08042583333333</c:v>
                </c:pt>
                <c:pt idx="353">
                  <c:v>1.08376666666667</c:v>
                </c:pt>
                <c:pt idx="354">
                  <c:v>1.08780083333333</c:v>
                </c:pt>
                <c:pt idx="355">
                  <c:v>1.13195833333333</c:v>
                </c:pt>
              </c:strCache>
            </c:strRef>
          </c:cat>
          <c:val>
            <c:numRef>
              <c:f>'Ecomonic Values'!$W$2:$W$358</c:f>
              <c:numCache>
                <c:formatCode>General</c:formatCode>
                <c:ptCount val="35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2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16-4F2F-895D-22549FC17AFD}"/>
            </c:ext>
          </c:extLst>
        </c:ser>
        <c:ser>
          <c:idx val="1"/>
          <c:order val="1"/>
          <c:tx>
            <c:strRef>
              <c:f>'Ecomonic Values'!$X$1</c:f>
              <c:strCache>
                <c:ptCount val="1"/>
                <c:pt idx="0">
                  <c:v>Sum of Length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'Ecomonic Values'!$V$2:$V$358</c:f>
              <c:strCache>
                <c:ptCount val="356"/>
                <c:pt idx="0">
                  <c:v>0.941315833333333</c:v>
                </c:pt>
                <c:pt idx="1">
                  <c:v>0.963793333333333</c:v>
                </c:pt>
                <c:pt idx="2">
                  <c:v>0.965635</c:v>
                </c:pt>
                <c:pt idx="3">
                  <c:v>0.966938333333333</c:v>
                </c:pt>
                <c:pt idx="4">
                  <c:v>0.969713333333333</c:v>
                </c:pt>
                <c:pt idx="5">
                  <c:v>0.974733333333333</c:v>
                </c:pt>
                <c:pt idx="6">
                  <c:v>0.977062083333333</c:v>
                </c:pt>
                <c:pt idx="7">
                  <c:v>0.977645833333333</c:v>
                </c:pt>
                <c:pt idx="8">
                  <c:v>0.984208333333333</c:v>
                </c:pt>
                <c:pt idx="9">
                  <c:v>0.984926666666667</c:v>
                </c:pt>
                <c:pt idx="10">
                  <c:v>0.984963333333333</c:v>
                </c:pt>
                <c:pt idx="11">
                  <c:v>0.986166666666667</c:v>
                </c:pt>
                <c:pt idx="12">
                  <c:v>0.987887083333333</c:v>
                </c:pt>
                <c:pt idx="13">
                  <c:v>0.98883875</c:v>
                </c:pt>
                <c:pt idx="14">
                  <c:v>0.989372916666667</c:v>
                </c:pt>
                <c:pt idx="15">
                  <c:v>0.990229166666667</c:v>
                </c:pt>
                <c:pt idx="16">
                  <c:v>0.990291666666667</c:v>
                </c:pt>
                <c:pt idx="17">
                  <c:v>0.9906</c:v>
                </c:pt>
                <c:pt idx="18">
                  <c:v>0.99087875</c:v>
                </c:pt>
                <c:pt idx="19">
                  <c:v>0.991964583333333</c:v>
                </c:pt>
                <c:pt idx="20">
                  <c:v>0.992190416666667</c:v>
                </c:pt>
                <c:pt idx="21">
                  <c:v>0.99247</c:v>
                </c:pt>
                <c:pt idx="22">
                  <c:v>0.992778333333333</c:v>
                </c:pt>
                <c:pt idx="23">
                  <c:v>0.9935625</c:v>
                </c:pt>
                <c:pt idx="24">
                  <c:v>0.993704583333333</c:v>
                </c:pt>
                <c:pt idx="25">
                  <c:v>0.993815833333333</c:v>
                </c:pt>
                <c:pt idx="26">
                  <c:v>0.99404375</c:v>
                </c:pt>
                <c:pt idx="27">
                  <c:v>0.994202916666667</c:v>
                </c:pt>
                <c:pt idx="28">
                  <c:v>0.994577083333333</c:v>
                </c:pt>
                <c:pt idx="29">
                  <c:v>0.995541666666667</c:v>
                </c:pt>
                <c:pt idx="30">
                  <c:v>0.9961125</c:v>
                </c:pt>
                <c:pt idx="31">
                  <c:v>0.996637083333333</c:v>
                </c:pt>
                <c:pt idx="32">
                  <c:v>0.997375</c:v>
                </c:pt>
                <c:pt idx="33">
                  <c:v>0.997516666666667</c:v>
                </c:pt>
                <c:pt idx="34">
                  <c:v>0.997666666666667</c:v>
                </c:pt>
                <c:pt idx="35">
                  <c:v>0.999873333333333</c:v>
                </c:pt>
                <c:pt idx="36">
                  <c:v>1.0004025</c:v>
                </c:pt>
                <c:pt idx="37">
                  <c:v>1.00047708333333</c:v>
                </c:pt>
                <c:pt idx="38">
                  <c:v>1.00103666666667</c:v>
                </c:pt>
                <c:pt idx="39">
                  <c:v>1.00103958333333</c:v>
                </c:pt>
                <c:pt idx="40">
                  <c:v>1.00116666666667</c:v>
                </c:pt>
                <c:pt idx="41">
                  <c:v>1.00160416666667</c:v>
                </c:pt>
                <c:pt idx="42">
                  <c:v>1.002015</c:v>
                </c:pt>
                <c:pt idx="43">
                  <c:v>1.00230666666667</c:v>
                </c:pt>
                <c:pt idx="44">
                  <c:v>1.00246125</c:v>
                </c:pt>
                <c:pt idx="45">
                  <c:v>1.00247958333333</c:v>
                </c:pt>
                <c:pt idx="46">
                  <c:v>1.00253333333333</c:v>
                </c:pt>
                <c:pt idx="47">
                  <c:v>1.00271875</c:v>
                </c:pt>
                <c:pt idx="48">
                  <c:v>1.00283333333333</c:v>
                </c:pt>
                <c:pt idx="49">
                  <c:v>1.00295666666667</c:v>
                </c:pt>
                <c:pt idx="50">
                  <c:v>1.00328333333333</c:v>
                </c:pt>
                <c:pt idx="51">
                  <c:v>1.00345833333333</c:v>
                </c:pt>
                <c:pt idx="52">
                  <c:v>1.00377</c:v>
                </c:pt>
                <c:pt idx="53">
                  <c:v>1.0040025</c:v>
                </c:pt>
                <c:pt idx="54">
                  <c:v>1.00432</c:v>
                </c:pt>
                <c:pt idx="55">
                  <c:v>1.00510333333333</c:v>
                </c:pt>
                <c:pt idx="56">
                  <c:v>1.00515333333333</c:v>
                </c:pt>
                <c:pt idx="57">
                  <c:v>1.00544</c:v>
                </c:pt>
                <c:pt idx="58">
                  <c:v>1.00565916666667</c:v>
                </c:pt>
                <c:pt idx="59">
                  <c:v>1.00576833333333</c:v>
                </c:pt>
                <c:pt idx="60">
                  <c:v>1.00583333333333</c:v>
                </c:pt>
                <c:pt idx="61">
                  <c:v>1.00591666666667</c:v>
                </c:pt>
                <c:pt idx="62">
                  <c:v>1.00651833333333</c:v>
                </c:pt>
                <c:pt idx="63">
                  <c:v>1.00670666666667</c:v>
                </c:pt>
                <c:pt idx="64">
                  <c:v>1.00681125</c:v>
                </c:pt>
                <c:pt idx="65">
                  <c:v>1.00764666666667</c:v>
                </c:pt>
                <c:pt idx="66">
                  <c:v>1.00767791666667</c:v>
                </c:pt>
                <c:pt idx="67">
                  <c:v>1.00790375</c:v>
                </c:pt>
                <c:pt idx="68">
                  <c:v>1.00796375</c:v>
                </c:pt>
                <c:pt idx="69">
                  <c:v>1.00890666666667</c:v>
                </c:pt>
                <c:pt idx="70">
                  <c:v>1.00891666666667</c:v>
                </c:pt>
                <c:pt idx="71">
                  <c:v>1.00935</c:v>
                </c:pt>
                <c:pt idx="72">
                  <c:v>1.009445</c:v>
                </c:pt>
                <c:pt idx="73">
                  <c:v>1.00954</c:v>
                </c:pt>
                <c:pt idx="74">
                  <c:v>1.00968</c:v>
                </c:pt>
                <c:pt idx="75">
                  <c:v>1.01094</c:v>
                </c:pt>
                <c:pt idx="76">
                  <c:v>1.01134</c:v>
                </c:pt>
                <c:pt idx="77">
                  <c:v>1.01152083333333</c:v>
                </c:pt>
                <c:pt idx="78">
                  <c:v>1.011575</c:v>
                </c:pt>
                <c:pt idx="79">
                  <c:v>1.01184458333333</c:v>
                </c:pt>
                <c:pt idx="80">
                  <c:v>1.01185416666667</c:v>
                </c:pt>
                <c:pt idx="81">
                  <c:v>1.011895</c:v>
                </c:pt>
                <c:pt idx="82">
                  <c:v>1.01190666666667</c:v>
                </c:pt>
                <c:pt idx="83">
                  <c:v>1.01209083333333</c:v>
                </c:pt>
                <c:pt idx="84">
                  <c:v>1.0125</c:v>
                </c:pt>
                <c:pt idx="85">
                  <c:v>1.01253333333333</c:v>
                </c:pt>
                <c:pt idx="86">
                  <c:v>1.01266333333333</c:v>
                </c:pt>
                <c:pt idx="87">
                  <c:v>1.01266666666667</c:v>
                </c:pt>
                <c:pt idx="88">
                  <c:v>1.0128175</c:v>
                </c:pt>
                <c:pt idx="89">
                  <c:v>1.01297291666667</c:v>
                </c:pt>
                <c:pt idx="90">
                  <c:v>1.01335958333333</c:v>
                </c:pt>
                <c:pt idx="91">
                  <c:v>1.01363791666667</c:v>
                </c:pt>
                <c:pt idx="92">
                  <c:v>1.01391666666667</c:v>
                </c:pt>
                <c:pt idx="93">
                  <c:v>1.01408458333333</c:v>
                </c:pt>
                <c:pt idx="94">
                  <c:v>1.01415166666667</c:v>
                </c:pt>
                <c:pt idx="95">
                  <c:v>1.01482666666667</c:v>
                </c:pt>
                <c:pt idx="96">
                  <c:v>1.0149625</c:v>
                </c:pt>
                <c:pt idx="97">
                  <c:v>1.01504166666667</c:v>
                </c:pt>
                <c:pt idx="98">
                  <c:v>1.01509083333333</c:v>
                </c:pt>
                <c:pt idx="99">
                  <c:v>1.01509166666667</c:v>
                </c:pt>
                <c:pt idx="100">
                  <c:v>1.01518916666667</c:v>
                </c:pt>
                <c:pt idx="101">
                  <c:v>1.01522625</c:v>
                </c:pt>
                <c:pt idx="102">
                  <c:v>1.0152475</c:v>
                </c:pt>
                <c:pt idx="103">
                  <c:v>1.0153375</c:v>
                </c:pt>
                <c:pt idx="104">
                  <c:v>1.01548</c:v>
                </c:pt>
                <c:pt idx="105">
                  <c:v>1.0155625</c:v>
                </c:pt>
                <c:pt idx="106">
                  <c:v>1.01556541666667</c:v>
                </c:pt>
                <c:pt idx="107">
                  <c:v>1.01575</c:v>
                </c:pt>
                <c:pt idx="108">
                  <c:v>1.016</c:v>
                </c:pt>
                <c:pt idx="109">
                  <c:v>1.01624416666667</c:v>
                </c:pt>
                <c:pt idx="110">
                  <c:v>1.01671375</c:v>
                </c:pt>
                <c:pt idx="111">
                  <c:v>1.01676</c:v>
                </c:pt>
                <c:pt idx="112">
                  <c:v>1.01679833333333</c:v>
                </c:pt>
                <c:pt idx="113">
                  <c:v>1.01699708333333</c:v>
                </c:pt>
                <c:pt idx="114">
                  <c:v>1.01704166666667</c:v>
                </c:pt>
                <c:pt idx="115">
                  <c:v>1.01727333333333</c:v>
                </c:pt>
                <c:pt idx="116">
                  <c:v>1.0172875</c:v>
                </c:pt>
                <c:pt idx="117">
                  <c:v>1.01743333333333</c:v>
                </c:pt>
                <c:pt idx="118">
                  <c:v>1.01752083333333</c:v>
                </c:pt>
                <c:pt idx="119">
                  <c:v>1.01758916666667</c:v>
                </c:pt>
                <c:pt idx="120">
                  <c:v>1.01783958333333</c:v>
                </c:pt>
                <c:pt idx="121">
                  <c:v>1.01785666666667</c:v>
                </c:pt>
                <c:pt idx="122">
                  <c:v>1.018</c:v>
                </c:pt>
                <c:pt idx="123">
                  <c:v>1.01800416666667</c:v>
                </c:pt>
                <c:pt idx="124">
                  <c:v>1.01833125</c:v>
                </c:pt>
                <c:pt idx="125">
                  <c:v>1.01845625</c:v>
                </c:pt>
                <c:pt idx="126">
                  <c:v>1.01867333333333</c:v>
                </c:pt>
                <c:pt idx="127">
                  <c:v>1.01912</c:v>
                </c:pt>
                <c:pt idx="128">
                  <c:v>1.01932</c:v>
                </c:pt>
                <c:pt idx="129">
                  <c:v>1.01950791666667</c:v>
                </c:pt>
                <c:pt idx="130">
                  <c:v>1.01952</c:v>
                </c:pt>
                <c:pt idx="131">
                  <c:v>1.01989541666667</c:v>
                </c:pt>
                <c:pt idx="132">
                  <c:v>1.02002916666667</c:v>
                </c:pt>
                <c:pt idx="133">
                  <c:v>1.020055</c:v>
                </c:pt>
                <c:pt idx="134">
                  <c:v>1.02010416666667</c:v>
                </c:pt>
                <c:pt idx="135">
                  <c:v>1.02019958333333</c:v>
                </c:pt>
                <c:pt idx="136">
                  <c:v>1.02064583333333</c:v>
                </c:pt>
                <c:pt idx="137">
                  <c:v>1.02065625</c:v>
                </c:pt>
                <c:pt idx="138">
                  <c:v>1.02082666666667</c:v>
                </c:pt>
                <c:pt idx="139">
                  <c:v>1.02085</c:v>
                </c:pt>
                <c:pt idx="140">
                  <c:v>1.02085375</c:v>
                </c:pt>
                <c:pt idx="141">
                  <c:v>1.02095708333333</c:v>
                </c:pt>
                <c:pt idx="142">
                  <c:v>1.02096833333333</c:v>
                </c:pt>
                <c:pt idx="143">
                  <c:v>1.021</c:v>
                </c:pt>
                <c:pt idx="144">
                  <c:v>1.0210475</c:v>
                </c:pt>
                <c:pt idx="145">
                  <c:v>1.0215275</c:v>
                </c:pt>
                <c:pt idx="146">
                  <c:v>1.02182916666667</c:v>
                </c:pt>
                <c:pt idx="147">
                  <c:v>1.02216666666667</c:v>
                </c:pt>
                <c:pt idx="148">
                  <c:v>1.02218958333333</c:v>
                </c:pt>
                <c:pt idx="149">
                  <c:v>1.02231166666667</c:v>
                </c:pt>
                <c:pt idx="150">
                  <c:v>1.0223175</c:v>
                </c:pt>
                <c:pt idx="151">
                  <c:v>1.02235416666667</c:v>
                </c:pt>
                <c:pt idx="152">
                  <c:v>1.022485</c:v>
                </c:pt>
                <c:pt idx="153">
                  <c:v>1.02263208333333</c:v>
                </c:pt>
                <c:pt idx="154">
                  <c:v>1.0230525</c:v>
                </c:pt>
                <c:pt idx="155">
                  <c:v>1.02307833333333</c:v>
                </c:pt>
                <c:pt idx="156">
                  <c:v>1.02308166666667</c:v>
                </c:pt>
                <c:pt idx="157">
                  <c:v>1.02326583333333</c:v>
                </c:pt>
                <c:pt idx="158">
                  <c:v>1.02352083333333</c:v>
                </c:pt>
                <c:pt idx="159">
                  <c:v>1.0235975</c:v>
                </c:pt>
                <c:pt idx="160">
                  <c:v>1.02361125</c:v>
                </c:pt>
                <c:pt idx="161">
                  <c:v>1.02375791666667</c:v>
                </c:pt>
                <c:pt idx="162">
                  <c:v>1.02397708333333</c:v>
                </c:pt>
                <c:pt idx="163">
                  <c:v>1.024</c:v>
                </c:pt>
                <c:pt idx="164">
                  <c:v>1.02410375</c:v>
                </c:pt>
                <c:pt idx="165">
                  <c:v>1.02415125</c:v>
                </c:pt>
                <c:pt idx="166">
                  <c:v>1.02424416666667</c:v>
                </c:pt>
                <c:pt idx="167">
                  <c:v>1.02439583333333</c:v>
                </c:pt>
                <c:pt idx="168">
                  <c:v>1.02442</c:v>
                </c:pt>
                <c:pt idx="169">
                  <c:v>1.02474833333333</c:v>
                </c:pt>
                <c:pt idx="170">
                  <c:v>1.02492666666667</c:v>
                </c:pt>
                <c:pt idx="171">
                  <c:v>1.02510041666667</c:v>
                </c:pt>
                <c:pt idx="172">
                  <c:v>1.02521916666667</c:v>
                </c:pt>
                <c:pt idx="173">
                  <c:v>1.0252725</c:v>
                </c:pt>
                <c:pt idx="174">
                  <c:v>1.02555166666667</c:v>
                </c:pt>
                <c:pt idx="175">
                  <c:v>1.02587833333333</c:v>
                </c:pt>
                <c:pt idx="176">
                  <c:v>1.02607166666667</c:v>
                </c:pt>
                <c:pt idx="177">
                  <c:v>1.02664166666667</c:v>
                </c:pt>
                <c:pt idx="178">
                  <c:v>1.0267025</c:v>
                </c:pt>
                <c:pt idx="179">
                  <c:v>1.02682625</c:v>
                </c:pt>
                <c:pt idx="180">
                  <c:v>1.02688125</c:v>
                </c:pt>
                <c:pt idx="181">
                  <c:v>1.02710916666667</c:v>
                </c:pt>
                <c:pt idx="182">
                  <c:v>1.0272625</c:v>
                </c:pt>
                <c:pt idx="183">
                  <c:v>1.02734541666667</c:v>
                </c:pt>
                <c:pt idx="184">
                  <c:v>1.02737</c:v>
                </c:pt>
                <c:pt idx="185">
                  <c:v>1.02739375</c:v>
                </c:pt>
                <c:pt idx="186">
                  <c:v>1.02741666666667</c:v>
                </c:pt>
                <c:pt idx="187">
                  <c:v>1.02811833333333</c:v>
                </c:pt>
                <c:pt idx="188">
                  <c:v>1.02822666666667</c:v>
                </c:pt>
                <c:pt idx="189">
                  <c:v>1.02825375</c:v>
                </c:pt>
                <c:pt idx="190">
                  <c:v>1.02831083333333</c:v>
                </c:pt>
                <c:pt idx="191">
                  <c:v>1.02861041666667</c:v>
                </c:pt>
                <c:pt idx="192">
                  <c:v>1.02887333333333</c:v>
                </c:pt>
                <c:pt idx="193">
                  <c:v>1.02897833333333</c:v>
                </c:pt>
                <c:pt idx="194">
                  <c:v>1.02932666666667</c:v>
                </c:pt>
                <c:pt idx="195">
                  <c:v>1.02936666666667</c:v>
                </c:pt>
                <c:pt idx="196">
                  <c:v>1.02942666666667</c:v>
                </c:pt>
                <c:pt idx="197">
                  <c:v>1.02949416666667</c:v>
                </c:pt>
                <c:pt idx="198">
                  <c:v>1.02951916666667</c:v>
                </c:pt>
                <c:pt idx="199">
                  <c:v>1.02969375</c:v>
                </c:pt>
                <c:pt idx="200">
                  <c:v>1.0297</c:v>
                </c:pt>
                <c:pt idx="201">
                  <c:v>1.02979583333333</c:v>
                </c:pt>
                <c:pt idx="202">
                  <c:v>1.0299375</c:v>
                </c:pt>
                <c:pt idx="203">
                  <c:v>1.0302575</c:v>
                </c:pt>
                <c:pt idx="204">
                  <c:v>1.03033541666667</c:v>
                </c:pt>
                <c:pt idx="205">
                  <c:v>1.03063583333333</c:v>
                </c:pt>
                <c:pt idx="206">
                  <c:v>1.03072291666667</c:v>
                </c:pt>
                <c:pt idx="207">
                  <c:v>1.0310025</c:v>
                </c:pt>
                <c:pt idx="208">
                  <c:v>1.03106333333333</c:v>
                </c:pt>
                <c:pt idx="209">
                  <c:v>1.03169333333333</c:v>
                </c:pt>
                <c:pt idx="210">
                  <c:v>1.0318</c:v>
                </c:pt>
                <c:pt idx="211">
                  <c:v>1.03180666666667</c:v>
                </c:pt>
                <c:pt idx="212">
                  <c:v>1.0319</c:v>
                </c:pt>
                <c:pt idx="213">
                  <c:v>1.03226166666667</c:v>
                </c:pt>
                <c:pt idx="214">
                  <c:v>1.03254583333333</c:v>
                </c:pt>
                <c:pt idx="215">
                  <c:v>1.03256666666667</c:v>
                </c:pt>
                <c:pt idx="216">
                  <c:v>1.03285041666667</c:v>
                </c:pt>
                <c:pt idx="217">
                  <c:v>1.03289083333333</c:v>
                </c:pt>
                <c:pt idx="218">
                  <c:v>1.03312583333333</c:v>
                </c:pt>
                <c:pt idx="219">
                  <c:v>1.03329125</c:v>
                </c:pt>
                <c:pt idx="220">
                  <c:v>1.033375</c:v>
                </c:pt>
                <c:pt idx="221">
                  <c:v>1.0333925</c:v>
                </c:pt>
                <c:pt idx="222">
                  <c:v>1.03350666666667</c:v>
                </c:pt>
                <c:pt idx="223">
                  <c:v>1.03363291666667</c:v>
                </c:pt>
                <c:pt idx="224">
                  <c:v>1.03379916666667</c:v>
                </c:pt>
                <c:pt idx="225">
                  <c:v>1.03405</c:v>
                </c:pt>
                <c:pt idx="226">
                  <c:v>1.034185</c:v>
                </c:pt>
                <c:pt idx="227">
                  <c:v>1.03425166666667</c:v>
                </c:pt>
                <c:pt idx="228">
                  <c:v>1.03439375</c:v>
                </c:pt>
                <c:pt idx="229">
                  <c:v>1.03441166666667</c:v>
                </c:pt>
                <c:pt idx="230">
                  <c:v>1.03467166666667</c:v>
                </c:pt>
                <c:pt idx="231">
                  <c:v>1.03469</c:v>
                </c:pt>
                <c:pt idx="232">
                  <c:v>1.03476</c:v>
                </c:pt>
                <c:pt idx="233">
                  <c:v>1.03501208333333</c:v>
                </c:pt>
                <c:pt idx="234">
                  <c:v>1.03502291666667</c:v>
                </c:pt>
                <c:pt idx="235">
                  <c:v>1.03533083333333</c:v>
                </c:pt>
                <c:pt idx="236">
                  <c:v>1.03565416666667</c:v>
                </c:pt>
                <c:pt idx="237">
                  <c:v>1.03582333333333</c:v>
                </c:pt>
                <c:pt idx="238">
                  <c:v>1.03619791666667</c:v>
                </c:pt>
                <c:pt idx="239">
                  <c:v>1.03626083333333</c:v>
                </c:pt>
                <c:pt idx="240">
                  <c:v>1.03646125</c:v>
                </c:pt>
                <c:pt idx="241">
                  <c:v>1.03654916666667</c:v>
                </c:pt>
                <c:pt idx="242">
                  <c:v>1.03678333333333</c:v>
                </c:pt>
                <c:pt idx="243">
                  <c:v>1.03698333333333</c:v>
                </c:pt>
                <c:pt idx="244">
                  <c:v>1.03699833333333</c:v>
                </c:pt>
                <c:pt idx="245">
                  <c:v>1.03714</c:v>
                </c:pt>
                <c:pt idx="246">
                  <c:v>1.03730416666667</c:v>
                </c:pt>
                <c:pt idx="247">
                  <c:v>1.03748333333333</c:v>
                </c:pt>
                <c:pt idx="248">
                  <c:v>1.03763958333333</c:v>
                </c:pt>
                <c:pt idx="249">
                  <c:v>1.03766</c:v>
                </c:pt>
                <c:pt idx="250">
                  <c:v>1.03782083333333</c:v>
                </c:pt>
                <c:pt idx="251">
                  <c:v>1.03811583333333</c:v>
                </c:pt>
                <c:pt idx="252">
                  <c:v>1.03822666666667</c:v>
                </c:pt>
                <c:pt idx="253">
                  <c:v>1.03880333333333</c:v>
                </c:pt>
                <c:pt idx="254">
                  <c:v>1.03889916666667</c:v>
                </c:pt>
                <c:pt idx="255">
                  <c:v>1.03912166666667</c:v>
                </c:pt>
                <c:pt idx="256">
                  <c:v>1.03975166666667</c:v>
                </c:pt>
                <c:pt idx="257">
                  <c:v>1.04012208333333</c:v>
                </c:pt>
                <c:pt idx="258">
                  <c:v>1.0403175</c:v>
                </c:pt>
                <c:pt idx="259">
                  <c:v>1.04034208333333</c:v>
                </c:pt>
                <c:pt idx="260">
                  <c:v>1.04114833333333</c:v>
                </c:pt>
                <c:pt idx="261">
                  <c:v>1.04121666666667</c:v>
                </c:pt>
                <c:pt idx="262">
                  <c:v>1.04123125</c:v>
                </c:pt>
                <c:pt idx="263">
                  <c:v>1.04123541666667</c:v>
                </c:pt>
                <c:pt idx="264">
                  <c:v>1.04133541666667</c:v>
                </c:pt>
                <c:pt idx="265">
                  <c:v>1.041405</c:v>
                </c:pt>
                <c:pt idx="266">
                  <c:v>1.04192666666667</c:v>
                </c:pt>
                <c:pt idx="267">
                  <c:v>1.0422175</c:v>
                </c:pt>
                <c:pt idx="268">
                  <c:v>1.04238958333333</c:v>
                </c:pt>
                <c:pt idx="269">
                  <c:v>1.04311166666667</c:v>
                </c:pt>
                <c:pt idx="270">
                  <c:v>1.04336416666667</c:v>
                </c:pt>
                <c:pt idx="271">
                  <c:v>1.0435275</c:v>
                </c:pt>
                <c:pt idx="272">
                  <c:v>1.04353125</c:v>
                </c:pt>
                <c:pt idx="273">
                  <c:v>1.04402833333333</c:v>
                </c:pt>
                <c:pt idx="274">
                  <c:v>1.04438625</c:v>
                </c:pt>
                <c:pt idx="275">
                  <c:v>1.04440625</c:v>
                </c:pt>
                <c:pt idx="276">
                  <c:v>1.04452458333333</c:v>
                </c:pt>
                <c:pt idx="277">
                  <c:v>1.04472958333333</c:v>
                </c:pt>
                <c:pt idx="278">
                  <c:v>1.04500166666667</c:v>
                </c:pt>
                <c:pt idx="279">
                  <c:v>1.045445</c:v>
                </c:pt>
                <c:pt idx="280">
                  <c:v>1.04569166666667</c:v>
                </c:pt>
                <c:pt idx="281">
                  <c:v>1.04576458333333</c:v>
                </c:pt>
                <c:pt idx="282">
                  <c:v>1.04679166666667</c:v>
                </c:pt>
                <c:pt idx="283">
                  <c:v>1.04682083333333</c:v>
                </c:pt>
                <c:pt idx="284">
                  <c:v>1.04727</c:v>
                </c:pt>
                <c:pt idx="285">
                  <c:v>1.04741583333333</c:v>
                </c:pt>
                <c:pt idx="286">
                  <c:v>1.04742291666667</c:v>
                </c:pt>
                <c:pt idx="287">
                  <c:v>1.04752291666667</c:v>
                </c:pt>
                <c:pt idx="288">
                  <c:v>1.04757666666667</c:v>
                </c:pt>
                <c:pt idx="289">
                  <c:v>1.0477</c:v>
                </c:pt>
                <c:pt idx="290">
                  <c:v>1.04818291666667</c:v>
                </c:pt>
                <c:pt idx="291">
                  <c:v>1.04866</c:v>
                </c:pt>
                <c:pt idx="292">
                  <c:v>1.04903791666667</c:v>
                </c:pt>
                <c:pt idx="293">
                  <c:v>1.04928791666667</c:v>
                </c:pt>
                <c:pt idx="294">
                  <c:v>1.04951666666667</c:v>
                </c:pt>
                <c:pt idx="295">
                  <c:v>1.04990208333333</c:v>
                </c:pt>
                <c:pt idx="296">
                  <c:v>1.05013291666667</c:v>
                </c:pt>
                <c:pt idx="297">
                  <c:v>1.05030625</c:v>
                </c:pt>
                <c:pt idx="298">
                  <c:v>1.05033333333333</c:v>
                </c:pt>
                <c:pt idx="299">
                  <c:v>1.05058875</c:v>
                </c:pt>
                <c:pt idx="300">
                  <c:v>1.05148458333333</c:v>
                </c:pt>
                <c:pt idx="301">
                  <c:v>1.051525</c:v>
                </c:pt>
                <c:pt idx="302">
                  <c:v>1.05171333333333</c:v>
                </c:pt>
                <c:pt idx="303">
                  <c:v>1.05174375</c:v>
                </c:pt>
                <c:pt idx="304">
                  <c:v>1.05211333333333</c:v>
                </c:pt>
                <c:pt idx="305">
                  <c:v>1.05228083333333</c:v>
                </c:pt>
                <c:pt idx="306">
                  <c:v>1.05278</c:v>
                </c:pt>
                <c:pt idx="307">
                  <c:v>1.05404833333333</c:v>
                </c:pt>
                <c:pt idx="308">
                  <c:v>1.05471333333333</c:v>
                </c:pt>
                <c:pt idx="309">
                  <c:v>1.0547575</c:v>
                </c:pt>
                <c:pt idx="310">
                  <c:v>1.05495333333333</c:v>
                </c:pt>
                <c:pt idx="311">
                  <c:v>1.05509291666667</c:v>
                </c:pt>
                <c:pt idx="312">
                  <c:v>1.05598333333333</c:v>
                </c:pt>
                <c:pt idx="313">
                  <c:v>1.0560625</c:v>
                </c:pt>
                <c:pt idx="314">
                  <c:v>1.05651666666667</c:v>
                </c:pt>
                <c:pt idx="315">
                  <c:v>1.05715</c:v>
                </c:pt>
                <c:pt idx="316">
                  <c:v>1.05718291666667</c:v>
                </c:pt>
                <c:pt idx="317">
                  <c:v>1.05735333333333</c:v>
                </c:pt>
                <c:pt idx="318">
                  <c:v>1.05751791666667</c:v>
                </c:pt>
                <c:pt idx="319">
                  <c:v>1.05799916666667</c:v>
                </c:pt>
                <c:pt idx="320">
                  <c:v>1.05802416666667</c:v>
                </c:pt>
                <c:pt idx="321">
                  <c:v>1.05812958333333</c:v>
                </c:pt>
                <c:pt idx="322">
                  <c:v>1.05813</c:v>
                </c:pt>
                <c:pt idx="323">
                  <c:v>1.05815</c:v>
                </c:pt>
                <c:pt idx="324">
                  <c:v>1.05857166666667</c:v>
                </c:pt>
                <c:pt idx="325">
                  <c:v>1.05899958333333</c:v>
                </c:pt>
                <c:pt idx="326">
                  <c:v>1.06008708333333</c:v>
                </c:pt>
                <c:pt idx="327">
                  <c:v>1.06116291666667</c:v>
                </c:pt>
                <c:pt idx="328">
                  <c:v>1.0618975</c:v>
                </c:pt>
                <c:pt idx="329">
                  <c:v>1.06192291666667</c:v>
                </c:pt>
                <c:pt idx="330">
                  <c:v>1.0620125</c:v>
                </c:pt>
                <c:pt idx="331">
                  <c:v>1.06201666666667</c:v>
                </c:pt>
                <c:pt idx="332">
                  <c:v>1.06291916666667</c:v>
                </c:pt>
                <c:pt idx="333">
                  <c:v>1.06348333333333</c:v>
                </c:pt>
                <c:pt idx="334">
                  <c:v>1.06412</c:v>
                </c:pt>
                <c:pt idx="335">
                  <c:v>1.06420916666667</c:v>
                </c:pt>
                <c:pt idx="336">
                  <c:v>1.06579583333333</c:v>
                </c:pt>
                <c:pt idx="337">
                  <c:v>1.0659</c:v>
                </c:pt>
                <c:pt idx="338">
                  <c:v>1.06604333333333</c:v>
                </c:pt>
                <c:pt idx="339">
                  <c:v>1.06711666666667</c:v>
                </c:pt>
                <c:pt idx="340">
                  <c:v>1.06765125</c:v>
                </c:pt>
                <c:pt idx="341">
                  <c:v>1.0687125</c:v>
                </c:pt>
                <c:pt idx="342">
                  <c:v>1.06919333333333</c:v>
                </c:pt>
                <c:pt idx="343">
                  <c:v>1.07002083333333</c:v>
                </c:pt>
                <c:pt idx="344">
                  <c:v>1.070415</c:v>
                </c:pt>
                <c:pt idx="345">
                  <c:v>1.07383916666667</c:v>
                </c:pt>
                <c:pt idx="346">
                  <c:v>1.0746125</c:v>
                </c:pt>
                <c:pt idx="347">
                  <c:v>1.07466666666667</c:v>
                </c:pt>
                <c:pt idx="348">
                  <c:v>1.07616708333333</c:v>
                </c:pt>
                <c:pt idx="349">
                  <c:v>1.0771275</c:v>
                </c:pt>
                <c:pt idx="350">
                  <c:v>1.07903291666667</c:v>
                </c:pt>
                <c:pt idx="351">
                  <c:v>1.07980791666667</c:v>
                </c:pt>
                <c:pt idx="352">
                  <c:v>1.08042583333333</c:v>
                </c:pt>
                <c:pt idx="353">
                  <c:v>1.08376666666667</c:v>
                </c:pt>
                <c:pt idx="354">
                  <c:v>1.08780083333333</c:v>
                </c:pt>
                <c:pt idx="355">
                  <c:v>1.13195833333333</c:v>
                </c:pt>
              </c:strCache>
            </c:strRef>
          </c:cat>
          <c:val>
            <c:numRef>
              <c:f>'Ecomonic Values'!$X$2:$X$358</c:f>
              <c:numCache>
                <c:formatCode>General</c:formatCode>
                <c:ptCount val="356"/>
                <c:pt idx="0">
                  <c:v>0.48499999999999999</c:v>
                </c:pt>
                <c:pt idx="1">
                  <c:v>0.52</c:v>
                </c:pt>
                <c:pt idx="2">
                  <c:v>0.56000000000000005</c:v>
                </c:pt>
                <c:pt idx="3">
                  <c:v>0.53500000000000003</c:v>
                </c:pt>
                <c:pt idx="4">
                  <c:v>0.55000000000000004</c:v>
                </c:pt>
                <c:pt idx="5">
                  <c:v>0.54500000000000004</c:v>
                </c:pt>
                <c:pt idx="6">
                  <c:v>0.54500000000000004</c:v>
                </c:pt>
                <c:pt idx="7">
                  <c:v>0.58499999999999996</c:v>
                </c:pt>
                <c:pt idx="8">
                  <c:v>0.52</c:v>
                </c:pt>
                <c:pt idx="9">
                  <c:v>0.53</c:v>
                </c:pt>
                <c:pt idx="10">
                  <c:v>0.54500000000000004</c:v>
                </c:pt>
                <c:pt idx="11">
                  <c:v>0.55500000000000005</c:v>
                </c:pt>
                <c:pt idx="12">
                  <c:v>0.57999999999999996</c:v>
                </c:pt>
                <c:pt idx="13">
                  <c:v>0.55500000000000005</c:v>
                </c:pt>
                <c:pt idx="14">
                  <c:v>0.55000000000000004</c:v>
                </c:pt>
                <c:pt idx="15">
                  <c:v>0.55000000000000004</c:v>
                </c:pt>
                <c:pt idx="16">
                  <c:v>0.55500000000000005</c:v>
                </c:pt>
                <c:pt idx="17">
                  <c:v>0.55000000000000004</c:v>
                </c:pt>
                <c:pt idx="18">
                  <c:v>0.55500000000000005</c:v>
                </c:pt>
                <c:pt idx="19">
                  <c:v>0.56499999999999995</c:v>
                </c:pt>
                <c:pt idx="20">
                  <c:v>0.54500000000000004</c:v>
                </c:pt>
                <c:pt idx="21">
                  <c:v>0.55500000000000005</c:v>
                </c:pt>
                <c:pt idx="22">
                  <c:v>0.58499999999999996</c:v>
                </c:pt>
                <c:pt idx="23">
                  <c:v>0.56000000000000005</c:v>
                </c:pt>
                <c:pt idx="24">
                  <c:v>0.56000000000000005</c:v>
                </c:pt>
                <c:pt idx="25">
                  <c:v>0.57499999999999996</c:v>
                </c:pt>
                <c:pt idx="26">
                  <c:v>0.57999999999999996</c:v>
                </c:pt>
                <c:pt idx="27">
                  <c:v>0.55500000000000005</c:v>
                </c:pt>
                <c:pt idx="28">
                  <c:v>0.56000000000000005</c:v>
                </c:pt>
                <c:pt idx="29">
                  <c:v>0.56999999999999995</c:v>
                </c:pt>
                <c:pt idx="30">
                  <c:v>0.55500000000000005</c:v>
                </c:pt>
                <c:pt idx="31">
                  <c:v>0.56499999999999995</c:v>
                </c:pt>
                <c:pt idx="32">
                  <c:v>0.57499999999999996</c:v>
                </c:pt>
                <c:pt idx="33">
                  <c:v>0.56999999999999995</c:v>
                </c:pt>
                <c:pt idx="34">
                  <c:v>0.56000000000000005</c:v>
                </c:pt>
                <c:pt idx="35">
                  <c:v>0.57499999999999996</c:v>
                </c:pt>
                <c:pt idx="36">
                  <c:v>0.58499999999999996</c:v>
                </c:pt>
                <c:pt idx="37">
                  <c:v>0.56499999999999995</c:v>
                </c:pt>
                <c:pt idx="38">
                  <c:v>0.56999999999999995</c:v>
                </c:pt>
                <c:pt idx="39">
                  <c:v>0.56999999999999995</c:v>
                </c:pt>
                <c:pt idx="40">
                  <c:v>0.56999999999999995</c:v>
                </c:pt>
                <c:pt idx="41">
                  <c:v>0.57499999999999996</c:v>
                </c:pt>
                <c:pt idx="42">
                  <c:v>0.56999999999999995</c:v>
                </c:pt>
                <c:pt idx="43">
                  <c:v>0.57999999999999996</c:v>
                </c:pt>
                <c:pt idx="44">
                  <c:v>0.57999999999999996</c:v>
                </c:pt>
                <c:pt idx="45">
                  <c:v>0.56999999999999995</c:v>
                </c:pt>
                <c:pt idx="46">
                  <c:v>0.56499999999999995</c:v>
                </c:pt>
                <c:pt idx="47">
                  <c:v>0.58499999999999996</c:v>
                </c:pt>
                <c:pt idx="48">
                  <c:v>0.57999999999999996</c:v>
                </c:pt>
                <c:pt idx="49">
                  <c:v>0.57499999999999996</c:v>
                </c:pt>
                <c:pt idx="50">
                  <c:v>0.57999999999999996</c:v>
                </c:pt>
                <c:pt idx="51">
                  <c:v>0.58499999999999996</c:v>
                </c:pt>
                <c:pt idx="52">
                  <c:v>0.58499999999999996</c:v>
                </c:pt>
                <c:pt idx="53">
                  <c:v>0.57499999999999996</c:v>
                </c:pt>
                <c:pt idx="54">
                  <c:v>0.6</c:v>
                </c:pt>
                <c:pt idx="55">
                  <c:v>0.59499999999999997</c:v>
                </c:pt>
                <c:pt idx="56">
                  <c:v>0.57499999999999996</c:v>
                </c:pt>
                <c:pt idx="57">
                  <c:v>0.57499999999999996</c:v>
                </c:pt>
                <c:pt idx="58">
                  <c:v>0.57999999999999996</c:v>
                </c:pt>
                <c:pt idx="59">
                  <c:v>0.57999999999999996</c:v>
                </c:pt>
                <c:pt idx="60">
                  <c:v>0.59499999999999997</c:v>
                </c:pt>
                <c:pt idx="61">
                  <c:v>1.1599999999999999</c:v>
                </c:pt>
                <c:pt idx="62">
                  <c:v>0.57999999999999996</c:v>
                </c:pt>
                <c:pt idx="63">
                  <c:v>0.56999999999999995</c:v>
                </c:pt>
                <c:pt idx="64">
                  <c:v>0.59499999999999997</c:v>
                </c:pt>
                <c:pt idx="65">
                  <c:v>0.59</c:v>
                </c:pt>
                <c:pt idx="66">
                  <c:v>0.6</c:v>
                </c:pt>
                <c:pt idx="67">
                  <c:v>0.59</c:v>
                </c:pt>
                <c:pt idx="68">
                  <c:v>0.59</c:v>
                </c:pt>
                <c:pt idx="69">
                  <c:v>0.6</c:v>
                </c:pt>
                <c:pt idx="70">
                  <c:v>0.58499999999999996</c:v>
                </c:pt>
                <c:pt idx="71">
                  <c:v>0.57999999999999996</c:v>
                </c:pt>
                <c:pt idx="72">
                  <c:v>0.57499999999999996</c:v>
                </c:pt>
                <c:pt idx="73">
                  <c:v>0.59</c:v>
                </c:pt>
                <c:pt idx="74">
                  <c:v>0.6</c:v>
                </c:pt>
                <c:pt idx="75">
                  <c:v>0.59</c:v>
                </c:pt>
                <c:pt idx="76">
                  <c:v>0.56999999999999995</c:v>
                </c:pt>
                <c:pt idx="77">
                  <c:v>0.59499999999999997</c:v>
                </c:pt>
                <c:pt idx="78">
                  <c:v>0.60499999999999998</c:v>
                </c:pt>
                <c:pt idx="79">
                  <c:v>0.6</c:v>
                </c:pt>
                <c:pt idx="80">
                  <c:v>0.59</c:v>
                </c:pt>
                <c:pt idx="81">
                  <c:v>0.57999999999999996</c:v>
                </c:pt>
                <c:pt idx="82">
                  <c:v>0.65500000000000003</c:v>
                </c:pt>
                <c:pt idx="83">
                  <c:v>0.58499999999999996</c:v>
                </c:pt>
                <c:pt idx="84">
                  <c:v>0.59499999999999997</c:v>
                </c:pt>
                <c:pt idx="85">
                  <c:v>0.6</c:v>
                </c:pt>
                <c:pt idx="86">
                  <c:v>0.59</c:v>
                </c:pt>
                <c:pt idx="87">
                  <c:v>0.61499999999999999</c:v>
                </c:pt>
                <c:pt idx="88">
                  <c:v>0.59</c:v>
                </c:pt>
                <c:pt idx="89">
                  <c:v>0.61499999999999999</c:v>
                </c:pt>
                <c:pt idx="90">
                  <c:v>0.58499999999999996</c:v>
                </c:pt>
                <c:pt idx="91">
                  <c:v>0.59499999999999997</c:v>
                </c:pt>
                <c:pt idx="92">
                  <c:v>0.62</c:v>
                </c:pt>
                <c:pt idx="93">
                  <c:v>0.59</c:v>
                </c:pt>
                <c:pt idx="94">
                  <c:v>0.60499999999999998</c:v>
                </c:pt>
                <c:pt idx="95">
                  <c:v>0.59499999999999997</c:v>
                </c:pt>
                <c:pt idx="96">
                  <c:v>0.60499999999999998</c:v>
                </c:pt>
                <c:pt idx="97">
                  <c:v>0.59499999999999997</c:v>
                </c:pt>
                <c:pt idx="98">
                  <c:v>0.6</c:v>
                </c:pt>
                <c:pt idx="99">
                  <c:v>0.61499999999999999</c:v>
                </c:pt>
                <c:pt idx="100">
                  <c:v>0.6</c:v>
                </c:pt>
                <c:pt idx="101">
                  <c:v>0.59499999999999997</c:v>
                </c:pt>
                <c:pt idx="102">
                  <c:v>0.6</c:v>
                </c:pt>
                <c:pt idx="103">
                  <c:v>0.58499999999999996</c:v>
                </c:pt>
                <c:pt idx="104">
                  <c:v>0.59</c:v>
                </c:pt>
                <c:pt idx="105">
                  <c:v>0.61499999999999999</c:v>
                </c:pt>
                <c:pt idx="106">
                  <c:v>0.6</c:v>
                </c:pt>
                <c:pt idx="107">
                  <c:v>0.59</c:v>
                </c:pt>
                <c:pt idx="108">
                  <c:v>0.62</c:v>
                </c:pt>
                <c:pt idx="109">
                  <c:v>0.56499999999999995</c:v>
                </c:pt>
                <c:pt idx="110">
                  <c:v>0.60499999999999998</c:v>
                </c:pt>
                <c:pt idx="111">
                  <c:v>0.625</c:v>
                </c:pt>
                <c:pt idx="112">
                  <c:v>0.62</c:v>
                </c:pt>
                <c:pt idx="113">
                  <c:v>0.6</c:v>
                </c:pt>
                <c:pt idx="114">
                  <c:v>0.63</c:v>
                </c:pt>
                <c:pt idx="115">
                  <c:v>0.6</c:v>
                </c:pt>
                <c:pt idx="116">
                  <c:v>0.59499999999999997</c:v>
                </c:pt>
                <c:pt idx="117">
                  <c:v>0.61499999999999999</c:v>
                </c:pt>
                <c:pt idx="118">
                  <c:v>0.62</c:v>
                </c:pt>
                <c:pt idx="119">
                  <c:v>0.61</c:v>
                </c:pt>
                <c:pt idx="120">
                  <c:v>0.61</c:v>
                </c:pt>
                <c:pt idx="121">
                  <c:v>0.62</c:v>
                </c:pt>
                <c:pt idx="122">
                  <c:v>0.6</c:v>
                </c:pt>
                <c:pt idx="123">
                  <c:v>0.61499999999999999</c:v>
                </c:pt>
                <c:pt idx="124">
                  <c:v>0.61</c:v>
                </c:pt>
                <c:pt idx="125">
                  <c:v>0.625</c:v>
                </c:pt>
                <c:pt idx="126">
                  <c:v>0.625</c:v>
                </c:pt>
                <c:pt idx="127">
                  <c:v>0.61</c:v>
                </c:pt>
                <c:pt idx="128">
                  <c:v>0.61</c:v>
                </c:pt>
                <c:pt idx="129">
                  <c:v>0.61499999999999999</c:v>
                </c:pt>
                <c:pt idx="130">
                  <c:v>0.6</c:v>
                </c:pt>
                <c:pt idx="131">
                  <c:v>0.63</c:v>
                </c:pt>
                <c:pt idx="132">
                  <c:v>0.61499999999999999</c:v>
                </c:pt>
                <c:pt idx="133">
                  <c:v>0.61499999999999999</c:v>
                </c:pt>
                <c:pt idx="134">
                  <c:v>0.61499999999999999</c:v>
                </c:pt>
                <c:pt idx="135">
                  <c:v>0.61</c:v>
                </c:pt>
                <c:pt idx="136">
                  <c:v>0.63500000000000001</c:v>
                </c:pt>
                <c:pt idx="137">
                  <c:v>0.65</c:v>
                </c:pt>
                <c:pt idx="138">
                  <c:v>0.61</c:v>
                </c:pt>
                <c:pt idx="139">
                  <c:v>0.61499999999999999</c:v>
                </c:pt>
                <c:pt idx="140">
                  <c:v>0.60499999999999998</c:v>
                </c:pt>
                <c:pt idx="141">
                  <c:v>0.60499999999999998</c:v>
                </c:pt>
                <c:pt idx="142">
                  <c:v>0.6</c:v>
                </c:pt>
                <c:pt idx="143">
                  <c:v>0.63500000000000001</c:v>
                </c:pt>
                <c:pt idx="144">
                  <c:v>0.63</c:v>
                </c:pt>
                <c:pt idx="145">
                  <c:v>0.61</c:v>
                </c:pt>
                <c:pt idx="146">
                  <c:v>0.64</c:v>
                </c:pt>
                <c:pt idx="147">
                  <c:v>0.62</c:v>
                </c:pt>
                <c:pt idx="148">
                  <c:v>0.63</c:v>
                </c:pt>
                <c:pt idx="149">
                  <c:v>0.62</c:v>
                </c:pt>
                <c:pt idx="150">
                  <c:v>0.61</c:v>
                </c:pt>
                <c:pt idx="151">
                  <c:v>0.61499999999999999</c:v>
                </c:pt>
                <c:pt idx="152">
                  <c:v>0.61499999999999999</c:v>
                </c:pt>
                <c:pt idx="153">
                  <c:v>0.63500000000000001</c:v>
                </c:pt>
                <c:pt idx="154">
                  <c:v>0.60499999999999998</c:v>
                </c:pt>
                <c:pt idx="155">
                  <c:v>0.61499999999999999</c:v>
                </c:pt>
                <c:pt idx="156">
                  <c:v>0.61</c:v>
                </c:pt>
                <c:pt idx="157">
                  <c:v>0.61499999999999999</c:v>
                </c:pt>
                <c:pt idx="158">
                  <c:v>0.63</c:v>
                </c:pt>
                <c:pt idx="159">
                  <c:v>0.62</c:v>
                </c:pt>
                <c:pt idx="160">
                  <c:v>0.63500000000000001</c:v>
                </c:pt>
                <c:pt idx="161">
                  <c:v>0.625</c:v>
                </c:pt>
                <c:pt idx="162">
                  <c:v>0.62</c:v>
                </c:pt>
                <c:pt idx="163">
                  <c:v>0.625</c:v>
                </c:pt>
                <c:pt idx="164">
                  <c:v>0.6</c:v>
                </c:pt>
                <c:pt idx="165">
                  <c:v>0.62</c:v>
                </c:pt>
                <c:pt idx="166">
                  <c:v>0.64</c:v>
                </c:pt>
                <c:pt idx="167">
                  <c:v>0.625</c:v>
                </c:pt>
                <c:pt idx="168">
                  <c:v>0.61</c:v>
                </c:pt>
                <c:pt idx="169">
                  <c:v>0.625</c:v>
                </c:pt>
                <c:pt idx="170">
                  <c:v>0.64</c:v>
                </c:pt>
                <c:pt idx="171">
                  <c:v>0.625</c:v>
                </c:pt>
                <c:pt idx="172">
                  <c:v>0.65</c:v>
                </c:pt>
                <c:pt idx="173">
                  <c:v>0.625</c:v>
                </c:pt>
                <c:pt idx="174">
                  <c:v>0.6</c:v>
                </c:pt>
                <c:pt idx="175">
                  <c:v>0.61</c:v>
                </c:pt>
                <c:pt idx="176">
                  <c:v>0.63</c:v>
                </c:pt>
                <c:pt idx="177">
                  <c:v>0.63</c:v>
                </c:pt>
                <c:pt idx="178">
                  <c:v>0.64500000000000002</c:v>
                </c:pt>
                <c:pt idx="179">
                  <c:v>0.64</c:v>
                </c:pt>
                <c:pt idx="180">
                  <c:v>0.62</c:v>
                </c:pt>
                <c:pt idx="181">
                  <c:v>0.63</c:v>
                </c:pt>
                <c:pt idx="182">
                  <c:v>0.625</c:v>
                </c:pt>
                <c:pt idx="183">
                  <c:v>0.63500000000000001</c:v>
                </c:pt>
                <c:pt idx="184">
                  <c:v>0.62</c:v>
                </c:pt>
                <c:pt idx="185">
                  <c:v>0.63</c:v>
                </c:pt>
                <c:pt idx="186">
                  <c:v>0.65</c:v>
                </c:pt>
                <c:pt idx="187">
                  <c:v>0.66</c:v>
                </c:pt>
                <c:pt idx="188">
                  <c:v>0.63</c:v>
                </c:pt>
                <c:pt idx="189">
                  <c:v>0.60499999999999998</c:v>
                </c:pt>
                <c:pt idx="190">
                  <c:v>0.63</c:v>
                </c:pt>
                <c:pt idx="191">
                  <c:v>0.62</c:v>
                </c:pt>
                <c:pt idx="192">
                  <c:v>0.625</c:v>
                </c:pt>
                <c:pt idx="193">
                  <c:v>0.625</c:v>
                </c:pt>
                <c:pt idx="194">
                  <c:v>0.62</c:v>
                </c:pt>
                <c:pt idx="195">
                  <c:v>0.61499999999999999</c:v>
                </c:pt>
                <c:pt idx="196">
                  <c:v>0.64</c:v>
                </c:pt>
                <c:pt idx="197">
                  <c:v>0.65</c:v>
                </c:pt>
                <c:pt idx="198">
                  <c:v>0.63500000000000001</c:v>
                </c:pt>
                <c:pt idx="199">
                  <c:v>0.63</c:v>
                </c:pt>
                <c:pt idx="200">
                  <c:v>0.64500000000000002</c:v>
                </c:pt>
                <c:pt idx="201">
                  <c:v>0.64500000000000002</c:v>
                </c:pt>
                <c:pt idx="202">
                  <c:v>0.64</c:v>
                </c:pt>
                <c:pt idx="203">
                  <c:v>0.63</c:v>
                </c:pt>
                <c:pt idx="204">
                  <c:v>0.63500000000000001</c:v>
                </c:pt>
                <c:pt idx="205">
                  <c:v>0.67500000000000004</c:v>
                </c:pt>
                <c:pt idx="206">
                  <c:v>0.65500000000000003</c:v>
                </c:pt>
                <c:pt idx="207">
                  <c:v>0.63500000000000001</c:v>
                </c:pt>
                <c:pt idx="208">
                  <c:v>0.63500000000000001</c:v>
                </c:pt>
                <c:pt idx="209">
                  <c:v>0.63</c:v>
                </c:pt>
                <c:pt idx="210">
                  <c:v>0.64500000000000002</c:v>
                </c:pt>
                <c:pt idx="211">
                  <c:v>0.64500000000000002</c:v>
                </c:pt>
                <c:pt idx="212">
                  <c:v>0.63</c:v>
                </c:pt>
                <c:pt idx="213">
                  <c:v>0.63500000000000001</c:v>
                </c:pt>
                <c:pt idx="214">
                  <c:v>0.62</c:v>
                </c:pt>
                <c:pt idx="215">
                  <c:v>0.625</c:v>
                </c:pt>
                <c:pt idx="216">
                  <c:v>0.64</c:v>
                </c:pt>
                <c:pt idx="217">
                  <c:v>0.625</c:v>
                </c:pt>
                <c:pt idx="218">
                  <c:v>0.65500000000000003</c:v>
                </c:pt>
                <c:pt idx="219">
                  <c:v>0.63500000000000001</c:v>
                </c:pt>
                <c:pt idx="220">
                  <c:v>0.64500000000000002</c:v>
                </c:pt>
                <c:pt idx="221">
                  <c:v>0.64500000000000002</c:v>
                </c:pt>
                <c:pt idx="222">
                  <c:v>0.65500000000000003</c:v>
                </c:pt>
                <c:pt idx="223">
                  <c:v>0.64</c:v>
                </c:pt>
                <c:pt idx="224">
                  <c:v>0.64500000000000002</c:v>
                </c:pt>
                <c:pt idx="225">
                  <c:v>0.64500000000000002</c:v>
                </c:pt>
                <c:pt idx="226">
                  <c:v>0.65</c:v>
                </c:pt>
                <c:pt idx="227">
                  <c:v>0.65</c:v>
                </c:pt>
                <c:pt idx="228">
                  <c:v>0.65</c:v>
                </c:pt>
                <c:pt idx="229">
                  <c:v>0.67500000000000004</c:v>
                </c:pt>
                <c:pt idx="230">
                  <c:v>0.64</c:v>
                </c:pt>
                <c:pt idx="231">
                  <c:v>0.65</c:v>
                </c:pt>
                <c:pt idx="232">
                  <c:v>0.64</c:v>
                </c:pt>
                <c:pt idx="233">
                  <c:v>0.66</c:v>
                </c:pt>
                <c:pt idx="234">
                  <c:v>0.63</c:v>
                </c:pt>
                <c:pt idx="235">
                  <c:v>0.63500000000000001</c:v>
                </c:pt>
                <c:pt idx="236">
                  <c:v>0.65</c:v>
                </c:pt>
                <c:pt idx="237">
                  <c:v>0.66</c:v>
                </c:pt>
                <c:pt idx="238">
                  <c:v>0.63500000000000001</c:v>
                </c:pt>
                <c:pt idx="239">
                  <c:v>0.64500000000000002</c:v>
                </c:pt>
                <c:pt idx="240">
                  <c:v>0.65500000000000003</c:v>
                </c:pt>
                <c:pt idx="241">
                  <c:v>0.65500000000000003</c:v>
                </c:pt>
                <c:pt idx="242">
                  <c:v>0.66</c:v>
                </c:pt>
                <c:pt idx="243">
                  <c:v>0.64</c:v>
                </c:pt>
                <c:pt idx="244">
                  <c:v>0.65</c:v>
                </c:pt>
                <c:pt idx="245">
                  <c:v>0.625</c:v>
                </c:pt>
                <c:pt idx="246">
                  <c:v>0.66</c:v>
                </c:pt>
                <c:pt idx="247">
                  <c:v>0.64500000000000002</c:v>
                </c:pt>
                <c:pt idx="248">
                  <c:v>0.68</c:v>
                </c:pt>
                <c:pt idx="249">
                  <c:v>0.64500000000000002</c:v>
                </c:pt>
                <c:pt idx="250">
                  <c:v>0.68500000000000005</c:v>
                </c:pt>
                <c:pt idx="251">
                  <c:v>0.65</c:v>
                </c:pt>
                <c:pt idx="252">
                  <c:v>0.65500000000000003</c:v>
                </c:pt>
                <c:pt idx="253">
                  <c:v>0.66</c:v>
                </c:pt>
                <c:pt idx="254">
                  <c:v>0.64500000000000002</c:v>
                </c:pt>
                <c:pt idx="255">
                  <c:v>0.72499999999999998</c:v>
                </c:pt>
                <c:pt idx="256">
                  <c:v>0.63</c:v>
                </c:pt>
                <c:pt idx="257">
                  <c:v>0.63</c:v>
                </c:pt>
                <c:pt idx="258">
                  <c:v>0.67</c:v>
                </c:pt>
                <c:pt idx="259">
                  <c:v>0.67500000000000004</c:v>
                </c:pt>
                <c:pt idx="260">
                  <c:v>0.67</c:v>
                </c:pt>
                <c:pt idx="261">
                  <c:v>0.64500000000000002</c:v>
                </c:pt>
                <c:pt idx="262">
                  <c:v>0.69</c:v>
                </c:pt>
                <c:pt idx="263">
                  <c:v>0.66500000000000004</c:v>
                </c:pt>
                <c:pt idx="264">
                  <c:v>0.67</c:v>
                </c:pt>
                <c:pt idx="265">
                  <c:v>0.63500000000000001</c:v>
                </c:pt>
                <c:pt idx="266">
                  <c:v>0.65500000000000003</c:v>
                </c:pt>
                <c:pt idx="267">
                  <c:v>0.67500000000000004</c:v>
                </c:pt>
                <c:pt idx="268">
                  <c:v>0.7</c:v>
                </c:pt>
                <c:pt idx="269">
                  <c:v>0.64500000000000002</c:v>
                </c:pt>
                <c:pt idx="270">
                  <c:v>0.66</c:v>
                </c:pt>
                <c:pt idx="271">
                  <c:v>0.66500000000000004</c:v>
                </c:pt>
                <c:pt idx="272">
                  <c:v>0.66500000000000004</c:v>
                </c:pt>
                <c:pt idx="273">
                  <c:v>0.68</c:v>
                </c:pt>
                <c:pt idx="274">
                  <c:v>0.65</c:v>
                </c:pt>
                <c:pt idx="275">
                  <c:v>0.67500000000000004</c:v>
                </c:pt>
                <c:pt idx="276">
                  <c:v>0.67</c:v>
                </c:pt>
                <c:pt idx="277">
                  <c:v>0.65500000000000003</c:v>
                </c:pt>
                <c:pt idx="278">
                  <c:v>0.68500000000000005</c:v>
                </c:pt>
                <c:pt idx="279">
                  <c:v>0.7</c:v>
                </c:pt>
                <c:pt idx="280">
                  <c:v>0.68500000000000005</c:v>
                </c:pt>
                <c:pt idx="281">
                  <c:v>0.68</c:v>
                </c:pt>
                <c:pt idx="282">
                  <c:v>0.69499999999999995</c:v>
                </c:pt>
                <c:pt idx="283">
                  <c:v>0.71</c:v>
                </c:pt>
                <c:pt idx="284">
                  <c:v>0.68</c:v>
                </c:pt>
                <c:pt idx="285">
                  <c:v>0.68</c:v>
                </c:pt>
                <c:pt idx="286">
                  <c:v>0.67500000000000004</c:v>
                </c:pt>
                <c:pt idx="287">
                  <c:v>0.67500000000000004</c:v>
                </c:pt>
                <c:pt idx="288">
                  <c:v>0.65500000000000003</c:v>
                </c:pt>
                <c:pt idx="289">
                  <c:v>0.67</c:v>
                </c:pt>
                <c:pt idx="290">
                  <c:v>0.66</c:v>
                </c:pt>
                <c:pt idx="291">
                  <c:v>0.67500000000000004</c:v>
                </c:pt>
                <c:pt idx="292">
                  <c:v>0.67</c:v>
                </c:pt>
                <c:pt idx="293">
                  <c:v>0.71</c:v>
                </c:pt>
                <c:pt idx="294">
                  <c:v>0.65</c:v>
                </c:pt>
                <c:pt idx="295">
                  <c:v>0.64500000000000002</c:v>
                </c:pt>
                <c:pt idx="296">
                  <c:v>0.68500000000000005</c:v>
                </c:pt>
                <c:pt idx="297">
                  <c:v>0.64</c:v>
                </c:pt>
                <c:pt idx="298">
                  <c:v>0.71499999999999997</c:v>
                </c:pt>
                <c:pt idx="299">
                  <c:v>0.66</c:v>
                </c:pt>
                <c:pt idx="300">
                  <c:v>0.66</c:v>
                </c:pt>
                <c:pt idx="301">
                  <c:v>0.67</c:v>
                </c:pt>
                <c:pt idx="302">
                  <c:v>0.70499999999999996</c:v>
                </c:pt>
                <c:pt idx="303">
                  <c:v>0.68500000000000005</c:v>
                </c:pt>
                <c:pt idx="304">
                  <c:v>0.7</c:v>
                </c:pt>
                <c:pt idx="305">
                  <c:v>0.7</c:v>
                </c:pt>
                <c:pt idx="306">
                  <c:v>0.69</c:v>
                </c:pt>
                <c:pt idx="307">
                  <c:v>0.67500000000000004</c:v>
                </c:pt>
                <c:pt idx="308">
                  <c:v>0.68</c:v>
                </c:pt>
                <c:pt idx="309">
                  <c:v>0.68</c:v>
                </c:pt>
                <c:pt idx="310">
                  <c:v>0.65500000000000003</c:v>
                </c:pt>
                <c:pt idx="311">
                  <c:v>0.71</c:v>
                </c:pt>
                <c:pt idx="312">
                  <c:v>0.69499999999999995</c:v>
                </c:pt>
                <c:pt idx="313">
                  <c:v>0.70499999999999996</c:v>
                </c:pt>
                <c:pt idx="314">
                  <c:v>0.71</c:v>
                </c:pt>
                <c:pt idx="315">
                  <c:v>0.69499999999999995</c:v>
                </c:pt>
                <c:pt idx="316">
                  <c:v>0.7</c:v>
                </c:pt>
                <c:pt idx="317">
                  <c:v>0.70499999999999996</c:v>
                </c:pt>
                <c:pt idx="318">
                  <c:v>0.66500000000000004</c:v>
                </c:pt>
                <c:pt idx="319">
                  <c:v>0.67</c:v>
                </c:pt>
                <c:pt idx="320">
                  <c:v>0.71499999999999997</c:v>
                </c:pt>
                <c:pt idx="321">
                  <c:v>0.69499999999999995</c:v>
                </c:pt>
                <c:pt idx="322">
                  <c:v>0.71</c:v>
                </c:pt>
                <c:pt idx="323">
                  <c:v>0.72</c:v>
                </c:pt>
                <c:pt idx="324">
                  <c:v>0.64</c:v>
                </c:pt>
                <c:pt idx="325">
                  <c:v>0.71</c:v>
                </c:pt>
                <c:pt idx="326">
                  <c:v>0.72</c:v>
                </c:pt>
                <c:pt idx="327">
                  <c:v>0.7</c:v>
                </c:pt>
                <c:pt idx="328">
                  <c:v>0.70499999999999996</c:v>
                </c:pt>
                <c:pt idx="329">
                  <c:v>0.72</c:v>
                </c:pt>
                <c:pt idx="330">
                  <c:v>0.73</c:v>
                </c:pt>
                <c:pt idx="331">
                  <c:v>0.72</c:v>
                </c:pt>
                <c:pt idx="332">
                  <c:v>0.71</c:v>
                </c:pt>
                <c:pt idx="333">
                  <c:v>0.65500000000000003</c:v>
                </c:pt>
                <c:pt idx="334">
                  <c:v>0.72499999999999998</c:v>
                </c:pt>
                <c:pt idx="335">
                  <c:v>0.73499999999999999</c:v>
                </c:pt>
                <c:pt idx="336">
                  <c:v>0.70499999999999996</c:v>
                </c:pt>
                <c:pt idx="337">
                  <c:v>0.7</c:v>
                </c:pt>
                <c:pt idx="338">
                  <c:v>0.69499999999999995</c:v>
                </c:pt>
                <c:pt idx="339">
                  <c:v>0.7</c:v>
                </c:pt>
                <c:pt idx="340">
                  <c:v>0.73</c:v>
                </c:pt>
                <c:pt idx="341">
                  <c:v>0.67500000000000004</c:v>
                </c:pt>
                <c:pt idx="342">
                  <c:v>0.75</c:v>
                </c:pt>
                <c:pt idx="343">
                  <c:v>0.71</c:v>
                </c:pt>
                <c:pt idx="344">
                  <c:v>0.72</c:v>
                </c:pt>
                <c:pt idx="345">
                  <c:v>0.73499999999999999</c:v>
                </c:pt>
                <c:pt idx="346">
                  <c:v>0.71499999999999997</c:v>
                </c:pt>
                <c:pt idx="347">
                  <c:v>0.72499999999999998</c:v>
                </c:pt>
                <c:pt idx="348">
                  <c:v>0.75</c:v>
                </c:pt>
                <c:pt idx="349">
                  <c:v>0.745</c:v>
                </c:pt>
                <c:pt idx="350">
                  <c:v>0.72499999999999998</c:v>
                </c:pt>
                <c:pt idx="351">
                  <c:v>0.72</c:v>
                </c:pt>
                <c:pt idx="352">
                  <c:v>0.72499999999999998</c:v>
                </c:pt>
                <c:pt idx="353">
                  <c:v>0.72499999999999998</c:v>
                </c:pt>
                <c:pt idx="354">
                  <c:v>0.73499999999999999</c:v>
                </c:pt>
                <c:pt idx="355">
                  <c:v>0.81499999999999995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16-4F2F-895D-22549FC17AFD}"/>
            </c:ext>
          </c:extLst>
        </c:ser>
        <c:ser>
          <c:idx val="2"/>
          <c:order val="2"/>
          <c:tx>
            <c:strRef>
              <c:f>'Ecomonic Values'!$Y$1</c:f>
              <c:strCache>
                <c:ptCount val="1"/>
                <c:pt idx="0">
                  <c:v>Sum of Diameter</c:v>
                </c:pt>
              </c:strCache>
            </c:strRef>
          </c:tx>
          <c:spPr>
            <a:noFill/>
            <a:ln w="9525" cap="flat" cmpd="sng" algn="ctr">
              <a:solidFill>
                <a:schemeClr val="accent3"/>
              </a:solidFill>
              <a:miter lim="800000"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'Ecomonic Values'!$V$2:$V$358</c:f>
              <c:strCache>
                <c:ptCount val="356"/>
                <c:pt idx="0">
                  <c:v>0.941315833333333</c:v>
                </c:pt>
                <c:pt idx="1">
                  <c:v>0.963793333333333</c:v>
                </c:pt>
                <c:pt idx="2">
                  <c:v>0.965635</c:v>
                </c:pt>
                <c:pt idx="3">
                  <c:v>0.966938333333333</c:v>
                </c:pt>
                <c:pt idx="4">
                  <c:v>0.969713333333333</c:v>
                </c:pt>
                <c:pt idx="5">
                  <c:v>0.974733333333333</c:v>
                </c:pt>
                <c:pt idx="6">
                  <c:v>0.977062083333333</c:v>
                </c:pt>
                <c:pt idx="7">
                  <c:v>0.977645833333333</c:v>
                </c:pt>
                <c:pt idx="8">
                  <c:v>0.984208333333333</c:v>
                </c:pt>
                <c:pt idx="9">
                  <c:v>0.984926666666667</c:v>
                </c:pt>
                <c:pt idx="10">
                  <c:v>0.984963333333333</c:v>
                </c:pt>
                <c:pt idx="11">
                  <c:v>0.986166666666667</c:v>
                </c:pt>
                <c:pt idx="12">
                  <c:v>0.987887083333333</c:v>
                </c:pt>
                <c:pt idx="13">
                  <c:v>0.98883875</c:v>
                </c:pt>
                <c:pt idx="14">
                  <c:v>0.989372916666667</c:v>
                </c:pt>
                <c:pt idx="15">
                  <c:v>0.990229166666667</c:v>
                </c:pt>
                <c:pt idx="16">
                  <c:v>0.990291666666667</c:v>
                </c:pt>
                <c:pt idx="17">
                  <c:v>0.9906</c:v>
                </c:pt>
                <c:pt idx="18">
                  <c:v>0.99087875</c:v>
                </c:pt>
                <c:pt idx="19">
                  <c:v>0.991964583333333</c:v>
                </c:pt>
                <c:pt idx="20">
                  <c:v>0.992190416666667</c:v>
                </c:pt>
                <c:pt idx="21">
                  <c:v>0.99247</c:v>
                </c:pt>
                <c:pt idx="22">
                  <c:v>0.992778333333333</c:v>
                </c:pt>
                <c:pt idx="23">
                  <c:v>0.9935625</c:v>
                </c:pt>
                <c:pt idx="24">
                  <c:v>0.993704583333333</c:v>
                </c:pt>
                <c:pt idx="25">
                  <c:v>0.993815833333333</c:v>
                </c:pt>
                <c:pt idx="26">
                  <c:v>0.99404375</c:v>
                </c:pt>
                <c:pt idx="27">
                  <c:v>0.994202916666667</c:v>
                </c:pt>
                <c:pt idx="28">
                  <c:v>0.994577083333333</c:v>
                </c:pt>
                <c:pt idx="29">
                  <c:v>0.995541666666667</c:v>
                </c:pt>
                <c:pt idx="30">
                  <c:v>0.9961125</c:v>
                </c:pt>
                <c:pt idx="31">
                  <c:v>0.996637083333333</c:v>
                </c:pt>
                <c:pt idx="32">
                  <c:v>0.997375</c:v>
                </c:pt>
                <c:pt idx="33">
                  <c:v>0.997516666666667</c:v>
                </c:pt>
                <c:pt idx="34">
                  <c:v>0.997666666666667</c:v>
                </c:pt>
                <c:pt idx="35">
                  <c:v>0.999873333333333</c:v>
                </c:pt>
                <c:pt idx="36">
                  <c:v>1.0004025</c:v>
                </c:pt>
                <c:pt idx="37">
                  <c:v>1.00047708333333</c:v>
                </c:pt>
                <c:pt idx="38">
                  <c:v>1.00103666666667</c:v>
                </c:pt>
                <c:pt idx="39">
                  <c:v>1.00103958333333</c:v>
                </c:pt>
                <c:pt idx="40">
                  <c:v>1.00116666666667</c:v>
                </c:pt>
                <c:pt idx="41">
                  <c:v>1.00160416666667</c:v>
                </c:pt>
                <c:pt idx="42">
                  <c:v>1.002015</c:v>
                </c:pt>
                <c:pt idx="43">
                  <c:v>1.00230666666667</c:v>
                </c:pt>
                <c:pt idx="44">
                  <c:v>1.00246125</c:v>
                </c:pt>
                <c:pt idx="45">
                  <c:v>1.00247958333333</c:v>
                </c:pt>
                <c:pt idx="46">
                  <c:v>1.00253333333333</c:v>
                </c:pt>
                <c:pt idx="47">
                  <c:v>1.00271875</c:v>
                </c:pt>
                <c:pt idx="48">
                  <c:v>1.00283333333333</c:v>
                </c:pt>
                <c:pt idx="49">
                  <c:v>1.00295666666667</c:v>
                </c:pt>
                <c:pt idx="50">
                  <c:v>1.00328333333333</c:v>
                </c:pt>
                <c:pt idx="51">
                  <c:v>1.00345833333333</c:v>
                </c:pt>
                <c:pt idx="52">
                  <c:v>1.00377</c:v>
                </c:pt>
                <c:pt idx="53">
                  <c:v>1.0040025</c:v>
                </c:pt>
                <c:pt idx="54">
                  <c:v>1.00432</c:v>
                </c:pt>
                <c:pt idx="55">
                  <c:v>1.00510333333333</c:v>
                </c:pt>
                <c:pt idx="56">
                  <c:v>1.00515333333333</c:v>
                </c:pt>
                <c:pt idx="57">
                  <c:v>1.00544</c:v>
                </c:pt>
                <c:pt idx="58">
                  <c:v>1.00565916666667</c:v>
                </c:pt>
                <c:pt idx="59">
                  <c:v>1.00576833333333</c:v>
                </c:pt>
                <c:pt idx="60">
                  <c:v>1.00583333333333</c:v>
                </c:pt>
                <c:pt idx="61">
                  <c:v>1.00591666666667</c:v>
                </c:pt>
                <c:pt idx="62">
                  <c:v>1.00651833333333</c:v>
                </c:pt>
                <c:pt idx="63">
                  <c:v>1.00670666666667</c:v>
                </c:pt>
                <c:pt idx="64">
                  <c:v>1.00681125</c:v>
                </c:pt>
                <c:pt idx="65">
                  <c:v>1.00764666666667</c:v>
                </c:pt>
                <c:pt idx="66">
                  <c:v>1.00767791666667</c:v>
                </c:pt>
                <c:pt idx="67">
                  <c:v>1.00790375</c:v>
                </c:pt>
                <c:pt idx="68">
                  <c:v>1.00796375</c:v>
                </c:pt>
                <c:pt idx="69">
                  <c:v>1.00890666666667</c:v>
                </c:pt>
                <c:pt idx="70">
                  <c:v>1.00891666666667</c:v>
                </c:pt>
                <c:pt idx="71">
                  <c:v>1.00935</c:v>
                </c:pt>
                <c:pt idx="72">
                  <c:v>1.009445</c:v>
                </c:pt>
                <c:pt idx="73">
                  <c:v>1.00954</c:v>
                </c:pt>
                <c:pt idx="74">
                  <c:v>1.00968</c:v>
                </c:pt>
                <c:pt idx="75">
                  <c:v>1.01094</c:v>
                </c:pt>
                <c:pt idx="76">
                  <c:v>1.01134</c:v>
                </c:pt>
                <c:pt idx="77">
                  <c:v>1.01152083333333</c:v>
                </c:pt>
                <c:pt idx="78">
                  <c:v>1.011575</c:v>
                </c:pt>
                <c:pt idx="79">
                  <c:v>1.01184458333333</c:v>
                </c:pt>
                <c:pt idx="80">
                  <c:v>1.01185416666667</c:v>
                </c:pt>
                <c:pt idx="81">
                  <c:v>1.011895</c:v>
                </c:pt>
                <c:pt idx="82">
                  <c:v>1.01190666666667</c:v>
                </c:pt>
                <c:pt idx="83">
                  <c:v>1.01209083333333</c:v>
                </c:pt>
                <c:pt idx="84">
                  <c:v>1.0125</c:v>
                </c:pt>
                <c:pt idx="85">
                  <c:v>1.01253333333333</c:v>
                </c:pt>
                <c:pt idx="86">
                  <c:v>1.01266333333333</c:v>
                </c:pt>
                <c:pt idx="87">
                  <c:v>1.01266666666667</c:v>
                </c:pt>
                <c:pt idx="88">
                  <c:v>1.0128175</c:v>
                </c:pt>
                <c:pt idx="89">
                  <c:v>1.01297291666667</c:v>
                </c:pt>
                <c:pt idx="90">
                  <c:v>1.01335958333333</c:v>
                </c:pt>
                <c:pt idx="91">
                  <c:v>1.01363791666667</c:v>
                </c:pt>
                <c:pt idx="92">
                  <c:v>1.01391666666667</c:v>
                </c:pt>
                <c:pt idx="93">
                  <c:v>1.01408458333333</c:v>
                </c:pt>
                <c:pt idx="94">
                  <c:v>1.01415166666667</c:v>
                </c:pt>
                <c:pt idx="95">
                  <c:v>1.01482666666667</c:v>
                </c:pt>
                <c:pt idx="96">
                  <c:v>1.0149625</c:v>
                </c:pt>
                <c:pt idx="97">
                  <c:v>1.01504166666667</c:v>
                </c:pt>
                <c:pt idx="98">
                  <c:v>1.01509083333333</c:v>
                </c:pt>
                <c:pt idx="99">
                  <c:v>1.01509166666667</c:v>
                </c:pt>
                <c:pt idx="100">
                  <c:v>1.01518916666667</c:v>
                </c:pt>
                <c:pt idx="101">
                  <c:v>1.01522625</c:v>
                </c:pt>
                <c:pt idx="102">
                  <c:v>1.0152475</c:v>
                </c:pt>
                <c:pt idx="103">
                  <c:v>1.0153375</c:v>
                </c:pt>
                <c:pt idx="104">
                  <c:v>1.01548</c:v>
                </c:pt>
                <c:pt idx="105">
                  <c:v>1.0155625</c:v>
                </c:pt>
                <c:pt idx="106">
                  <c:v>1.01556541666667</c:v>
                </c:pt>
                <c:pt idx="107">
                  <c:v>1.01575</c:v>
                </c:pt>
                <c:pt idx="108">
                  <c:v>1.016</c:v>
                </c:pt>
                <c:pt idx="109">
                  <c:v>1.01624416666667</c:v>
                </c:pt>
                <c:pt idx="110">
                  <c:v>1.01671375</c:v>
                </c:pt>
                <c:pt idx="111">
                  <c:v>1.01676</c:v>
                </c:pt>
                <c:pt idx="112">
                  <c:v>1.01679833333333</c:v>
                </c:pt>
                <c:pt idx="113">
                  <c:v>1.01699708333333</c:v>
                </c:pt>
                <c:pt idx="114">
                  <c:v>1.01704166666667</c:v>
                </c:pt>
                <c:pt idx="115">
                  <c:v>1.01727333333333</c:v>
                </c:pt>
                <c:pt idx="116">
                  <c:v>1.0172875</c:v>
                </c:pt>
                <c:pt idx="117">
                  <c:v>1.01743333333333</c:v>
                </c:pt>
                <c:pt idx="118">
                  <c:v>1.01752083333333</c:v>
                </c:pt>
                <c:pt idx="119">
                  <c:v>1.01758916666667</c:v>
                </c:pt>
                <c:pt idx="120">
                  <c:v>1.01783958333333</c:v>
                </c:pt>
                <c:pt idx="121">
                  <c:v>1.01785666666667</c:v>
                </c:pt>
                <c:pt idx="122">
                  <c:v>1.018</c:v>
                </c:pt>
                <c:pt idx="123">
                  <c:v>1.01800416666667</c:v>
                </c:pt>
                <c:pt idx="124">
                  <c:v>1.01833125</c:v>
                </c:pt>
                <c:pt idx="125">
                  <c:v>1.01845625</c:v>
                </c:pt>
                <c:pt idx="126">
                  <c:v>1.01867333333333</c:v>
                </c:pt>
                <c:pt idx="127">
                  <c:v>1.01912</c:v>
                </c:pt>
                <c:pt idx="128">
                  <c:v>1.01932</c:v>
                </c:pt>
                <c:pt idx="129">
                  <c:v>1.01950791666667</c:v>
                </c:pt>
                <c:pt idx="130">
                  <c:v>1.01952</c:v>
                </c:pt>
                <c:pt idx="131">
                  <c:v>1.01989541666667</c:v>
                </c:pt>
                <c:pt idx="132">
                  <c:v>1.02002916666667</c:v>
                </c:pt>
                <c:pt idx="133">
                  <c:v>1.020055</c:v>
                </c:pt>
                <c:pt idx="134">
                  <c:v>1.02010416666667</c:v>
                </c:pt>
                <c:pt idx="135">
                  <c:v>1.02019958333333</c:v>
                </c:pt>
                <c:pt idx="136">
                  <c:v>1.02064583333333</c:v>
                </c:pt>
                <c:pt idx="137">
                  <c:v>1.02065625</c:v>
                </c:pt>
                <c:pt idx="138">
                  <c:v>1.02082666666667</c:v>
                </c:pt>
                <c:pt idx="139">
                  <c:v>1.02085</c:v>
                </c:pt>
                <c:pt idx="140">
                  <c:v>1.02085375</c:v>
                </c:pt>
                <c:pt idx="141">
                  <c:v>1.02095708333333</c:v>
                </c:pt>
                <c:pt idx="142">
                  <c:v>1.02096833333333</c:v>
                </c:pt>
                <c:pt idx="143">
                  <c:v>1.021</c:v>
                </c:pt>
                <c:pt idx="144">
                  <c:v>1.0210475</c:v>
                </c:pt>
                <c:pt idx="145">
                  <c:v>1.0215275</c:v>
                </c:pt>
                <c:pt idx="146">
                  <c:v>1.02182916666667</c:v>
                </c:pt>
                <c:pt idx="147">
                  <c:v>1.02216666666667</c:v>
                </c:pt>
                <c:pt idx="148">
                  <c:v>1.02218958333333</c:v>
                </c:pt>
                <c:pt idx="149">
                  <c:v>1.02231166666667</c:v>
                </c:pt>
                <c:pt idx="150">
                  <c:v>1.0223175</c:v>
                </c:pt>
                <c:pt idx="151">
                  <c:v>1.02235416666667</c:v>
                </c:pt>
                <c:pt idx="152">
                  <c:v>1.022485</c:v>
                </c:pt>
                <c:pt idx="153">
                  <c:v>1.02263208333333</c:v>
                </c:pt>
                <c:pt idx="154">
                  <c:v>1.0230525</c:v>
                </c:pt>
                <c:pt idx="155">
                  <c:v>1.02307833333333</c:v>
                </c:pt>
                <c:pt idx="156">
                  <c:v>1.02308166666667</c:v>
                </c:pt>
                <c:pt idx="157">
                  <c:v>1.02326583333333</c:v>
                </c:pt>
                <c:pt idx="158">
                  <c:v>1.02352083333333</c:v>
                </c:pt>
                <c:pt idx="159">
                  <c:v>1.0235975</c:v>
                </c:pt>
                <c:pt idx="160">
                  <c:v>1.02361125</c:v>
                </c:pt>
                <c:pt idx="161">
                  <c:v>1.02375791666667</c:v>
                </c:pt>
                <c:pt idx="162">
                  <c:v>1.02397708333333</c:v>
                </c:pt>
                <c:pt idx="163">
                  <c:v>1.024</c:v>
                </c:pt>
                <c:pt idx="164">
                  <c:v>1.02410375</c:v>
                </c:pt>
                <c:pt idx="165">
                  <c:v>1.02415125</c:v>
                </c:pt>
                <c:pt idx="166">
                  <c:v>1.02424416666667</c:v>
                </c:pt>
                <c:pt idx="167">
                  <c:v>1.02439583333333</c:v>
                </c:pt>
                <c:pt idx="168">
                  <c:v>1.02442</c:v>
                </c:pt>
                <c:pt idx="169">
                  <c:v>1.02474833333333</c:v>
                </c:pt>
                <c:pt idx="170">
                  <c:v>1.02492666666667</c:v>
                </c:pt>
                <c:pt idx="171">
                  <c:v>1.02510041666667</c:v>
                </c:pt>
                <c:pt idx="172">
                  <c:v>1.02521916666667</c:v>
                </c:pt>
                <c:pt idx="173">
                  <c:v>1.0252725</c:v>
                </c:pt>
                <c:pt idx="174">
                  <c:v>1.02555166666667</c:v>
                </c:pt>
                <c:pt idx="175">
                  <c:v>1.02587833333333</c:v>
                </c:pt>
                <c:pt idx="176">
                  <c:v>1.02607166666667</c:v>
                </c:pt>
                <c:pt idx="177">
                  <c:v>1.02664166666667</c:v>
                </c:pt>
                <c:pt idx="178">
                  <c:v>1.0267025</c:v>
                </c:pt>
                <c:pt idx="179">
                  <c:v>1.02682625</c:v>
                </c:pt>
                <c:pt idx="180">
                  <c:v>1.02688125</c:v>
                </c:pt>
                <c:pt idx="181">
                  <c:v>1.02710916666667</c:v>
                </c:pt>
                <c:pt idx="182">
                  <c:v>1.0272625</c:v>
                </c:pt>
                <c:pt idx="183">
                  <c:v>1.02734541666667</c:v>
                </c:pt>
                <c:pt idx="184">
                  <c:v>1.02737</c:v>
                </c:pt>
                <c:pt idx="185">
                  <c:v>1.02739375</c:v>
                </c:pt>
                <c:pt idx="186">
                  <c:v>1.02741666666667</c:v>
                </c:pt>
                <c:pt idx="187">
                  <c:v>1.02811833333333</c:v>
                </c:pt>
                <c:pt idx="188">
                  <c:v>1.02822666666667</c:v>
                </c:pt>
                <c:pt idx="189">
                  <c:v>1.02825375</c:v>
                </c:pt>
                <c:pt idx="190">
                  <c:v>1.02831083333333</c:v>
                </c:pt>
                <c:pt idx="191">
                  <c:v>1.02861041666667</c:v>
                </c:pt>
                <c:pt idx="192">
                  <c:v>1.02887333333333</c:v>
                </c:pt>
                <c:pt idx="193">
                  <c:v>1.02897833333333</c:v>
                </c:pt>
                <c:pt idx="194">
                  <c:v>1.02932666666667</c:v>
                </c:pt>
                <c:pt idx="195">
                  <c:v>1.02936666666667</c:v>
                </c:pt>
                <c:pt idx="196">
                  <c:v>1.02942666666667</c:v>
                </c:pt>
                <c:pt idx="197">
                  <c:v>1.02949416666667</c:v>
                </c:pt>
                <c:pt idx="198">
                  <c:v>1.02951916666667</c:v>
                </c:pt>
                <c:pt idx="199">
                  <c:v>1.02969375</c:v>
                </c:pt>
                <c:pt idx="200">
                  <c:v>1.0297</c:v>
                </c:pt>
                <c:pt idx="201">
                  <c:v>1.02979583333333</c:v>
                </c:pt>
                <c:pt idx="202">
                  <c:v>1.0299375</c:v>
                </c:pt>
                <c:pt idx="203">
                  <c:v>1.0302575</c:v>
                </c:pt>
                <c:pt idx="204">
                  <c:v>1.03033541666667</c:v>
                </c:pt>
                <c:pt idx="205">
                  <c:v>1.03063583333333</c:v>
                </c:pt>
                <c:pt idx="206">
                  <c:v>1.03072291666667</c:v>
                </c:pt>
                <c:pt idx="207">
                  <c:v>1.0310025</c:v>
                </c:pt>
                <c:pt idx="208">
                  <c:v>1.03106333333333</c:v>
                </c:pt>
                <c:pt idx="209">
                  <c:v>1.03169333333333</c:v>
                </c:pt>
                <c:pt idx="210">
                  <c:v>1.0318</c:v>
                </c:pt>
                <c:pt idx="211">
                  <c:v>1.03180666666667</c:v>
                </c:pt>
                <c:pt idx="212">
                  <c:v>1.0319</c:v>
                </c:pt>
                <c:pt idx="213">
                  <c:v>1.03226166666667</c:v>
                </c:pt>
                <c:pt idx="214">
                  <c:v>1.03254583333333</c:v>
                </c:pt>
                <c:pt idx="215">
                  <c:v>1.03256666666667</c:v>
                </c:pt>
                <c:pt idx="216">
                  <c:v>1.03285041666667</c:v>
                </c:pt>
                <c:pt idx="217">
                  <c:v>1.03289083333333</c:v>
                </c:pt>
                <c:pt idx="218">
                  <c:v>1.03312583333333</c:v>
                </c:pt>
                <c:pt idx="219">
                  <c:v>1.03329125</c:v>
                </c:pt>
                <c:pt idx="220">
                  <c:v>1.033375</c:v>
                </c:pt>
                <c:pt idx="221">
                  <c:v>1.0333925</c:v>
                </c:pt>
                <c:pt idx="222">
                  <c:v>1.03350666666667</c:v>
                </c:pt>
                <c:pt idx="223">
                  <c:v>1.03363291666667</c:v>
                </c:pt>
                <c:pt idx="224">
                  <c:v>1.03379916666667</c:v>
                </c:pt>
                <c:pt idx="225">
                  <c:v>1.03405</c:v>
                </c:pt>
                <c:pt idx="226">
                  <c:v>1.034185</c:v>
                </c:pt>
                <c:pt idx="227">
                  <c:v>1.03425166666667</c:v>
                </c:pt>
                <c:pt idx="228">
                  <c:v>1.03439375</c:v>
                </c:pt>
                <c:pt idx="229">
                  <c:v>1.03441166666667</c:v>
                </c:pt>
                <c:pt idx="230">
                  <c:v>1.03467166666667</c:v>
                </c:pt>
                <c:pt idx="231">
                  <c:v>1.03469</c:v>
                </c:pt>
                <c:pt idx="232">
                  <c:v>1.03476</c:v>
                </c:pt>
                <c:pt idx="233">
                  <c:v>1.03501208333333</c:v>
                </c:pt>
                <c:pt idx="234">
                  <c:v>1.03502291666667</c:v>
                </c:pt>
                <c:pt idx="235">
                  <c:v>1.03533083333333</c:v>
                </c:pt>
                <c:pt idx="236">
                  <c:v>1.03565416666667</c:v>
                </c:pt>
                <c:pt idx="237">
                  <c:v>1.03582333333333</c:v>
                </c:pt>
                <c:pt idx="238">
                  <c:v>1.03619791666667</c:v>
                </c:pt>
                <c:pt idx="239">
                  <c:v>1.03626083333333</c:v>
                </c:pt>
                <c:pt idx="240">
                  <c:v>1.03646125</c:v>
                </c:pt>
                <c:pt idx="241">
                  <c:v>1.03654916666667</c:v>
                </c:pt>
                <c:pt idx="242">
                  <c:v>1.03678333333333</c:v>
                </c:pt>
                <c:pt idx="243">
                  <c:v>1.03698333333333</c:v>
                </c:pt>
                <c:pt idx="244">
                  <c:v>1.03699833333333</c:v>
                </c:pt>
                <c:pt idx="245">
                  <c:v>1.03714</c:v>
                </c:pt>
                <c:pt idx="246">
                  <c:v>1.03730416666667</c:v>
                </c:pt>
                <c:pt idx="247">
                  <c:v>1.03748333333333</c:v>
                </c:pt>
                <c:pt idx="248">
                  <c:v>1.03763958333333</c:v>
                </c:pt>
                <c:pt idx="249">
                  <c:v>1.03766</c:v>
                </c:pt>
                <c:pt idx="250">
                  <c:v>1.03782083333333</c:v>
                </c:pt>
                <c:pt idx="251">
                  <c:v>1.03811583333333</c:v>
                </c:pt>
                <c:pt idx="252">
                  <c:v>1.03822666666667</c:v>
                </c:pt>
                <c:pt idx="253">
                  <c:v>1.03880333333333</c:v>
                </c:pt>
                <c:pt idx="254">
                  <c:v>1.03889916666667</c:v>
                </c:pt>
                <c:pt idx="255">
                  <c:v>1.03912166666667</c:v>
                </c:pt>
                <c:pt idx="256">
                  <c:v>1.03975166666667</c:v>
                </c:pt>
                <c:pt idx="257">
                  <c:v>1.04012208333333</c:v>
                </c:pt>
                <c:pt idx="258">
                  <c:v>1.0403175</c:v>
                </c:pt>
                <c:pt idx="259">
                  <c:v>1.04034208333333</c:v>
                </c:pt>
                <c:pt idx="260">
                  <c:v>1.04114833333333</c:v>
                </c:pt>
                <c:pt idx="261">
                  <c:v>1.04121666666667</c:v>
                </c:pt>
                <c:pt idx="262">
                  <c:v>1.04123125</c:v>
                </c:pt>
                <c:pt idx="263">
                  <c:v>1.04123541666667</c:v>
                </c:pt>
                <c:pt idx="264">
                  <c:v>1.04133541666667</c:v>
                </c:pt>
                <c:pt idx="265">
                  <c:v>1.041405</c:v>
                </c:pt>
                <c:pt idx="266">
                  <c:v>1.04192666666667</c:v>
                </c:pt>
                <c:pt idx="267">
                  <c:v>1.0422175</c:v>
                </c:pt>
                <c:pt idx="268">
                  <c:v>1.04238958333333</c:v>
                </c:pt>
                <c:pt idx="269">
                  <c:v>1.04311166666667</c:v>
                </c:pt>
                <c:pt idx="270">
                  <c:v>1.04336416666667</c:v>
                </c:pt>
                <c:pt idx="271">
                  <c:v>1.0435275</c:v>
                </c:pt>
                <c:pt idx="272">
                  <c:v>1.04353125</c:v>
                </c:pt>
                <c:pt idx="273">
                  <c:v>1.04402833333333</c:v>
                </c:pt>
                <c:pt idx="274">
                  <c:v>1.04438625</c:v>
                </c:pt>
                <c:pt idx="275">
                  <c:v>1.04440625</c:v>
                </c:pt>
                <c:pt idx="276">
                  <c:v>1.04452458333333</c:v>
                </c:pt>
                <c:pt idx="277">
                  <c:v>1.04472958333333</c:v>
                </c:pt>
                <c:pt idx="278">
                  <c:v>1.04500166666667</c:v>
                </c:pt>
                <c:pt idx="279">
                  <c:v>1.045445</c:v>
                </c:pt>
                <c:pt idx="280">
                  <c:v>1.04569166666667</c:v>
                </c:pt>
                <c:pt idx="281">
                  <c:v>1.04576458333333</c:v>
                </c:pt>
                <c:pt idx="282">
                  <c:v>1.04679166666667</c:v>
                </c:pt>
                <c:pt idx="283">
                  <c:v>1.04682083333333</c:v>
                </c:pt>
                <c:pt idx="284">
                  <c:v>1.04727</c:v>
                </c:pt>
                <c:pt idx="285">
                  <c:v>1.04741583333333</c:v>
                </c:pt>
                <c:pt idx="286">
                  <c:v>1.04742291666667</c:v>
                </c:pt>
                <c:pt idx="287">
                  <c:v>1.04752291666667</c:v>
                </c:pt>
                <c:pt idx="288">
                  <c:v>1.04757666666667</c:v>
                </c:pt>
                <c:pt idx="289">
                  <c:v>1.0477</c:v>
                </c:pt>
                <c:pt idx="290">
                  <c:v>1.04818291666667</c:v>
                </c:pt>
                <c:pt idx="291">
                  <c:v>1.04866</c:v>
                </c:pt>
                <c:pt idx="292">
                  <c:v>1.04903791666667</c:v>
                </c:pt>
                <c:pt idx="293">
                  <c:v>1.04928791666667</c:v>
                </c:pt>
                <c:pt idx="294">
                  <c:v>1.04951666666667</c:v>
                </c:pt>
                <c:pt idx="295">
                  <c:v>1.04990208333333</c:v>
                </c:pt>
                <c:pt idx="296">
                  <c:v>1.05013291666667</c:v>
                </c:pt>
                <c:pt idx="297">
                  <c:v>1.05030625</c:v>
                </c:pt>
                <c:pt idx="298">
                  <c:v>1.05033333333333</c:v>
                </c:pt>
                <c:pt idx="299">
                  <c:v>1.05058875</c:v>
                </c:pt>
                <c:pt idx="300">
                  <c:v>1.05148458333333</c:v>
                </c:pt>
                <c:pt idx="301">
                  <c:v>1.051525</c:v>
                </c:pt>
                <c:pt idx="302">
                  <c:v>1.05171333333333</c:v>
                </c:pt>
                <c:pt idx="303">
                  <c:v>1.05174375</c:v>
                </c:pt>
                <c:pt idx="304">
                  <c:v>1.05211333333333</c:v>
                </c:pt>
                <c:pt idx="305">
                  <c:v>1.05228083333333</c:v>
                </c:pt>
                <c:pt idx="306">
                  <c:v>1.05278</c:v>
                </c:pt>
                <c:pt idx="307">
                  <c:v>1.05404833333333</c:v>
                </c:pt>
                <c:pt idx="308">
                  <c:v>1.05471333333333</c:v>
                </c:pt>
                <c:pt idx="309">
                  <c:v>1.0547575</c:v>
                </c:pt>
                <c:pt idx="310">
                  <c:v>1.05495333333333</c:v>
                </c:pt>
                <c:pt idx="311">
                  <c:v>1.05509291666667</c:v>
                </c:pt>
                <c:pt idx="312">
                  <c:v>1.05598333333333</c:v>
                </c:pt>
                <c:pt idx="313">
                  <c:v>1.0560625</c:v>
                </c:pt>
                <c:pt idx="314">
                  <c:v>1.05651666666667</c:v>
                </c:pt>
                <c:pt idx="315">
                  <c:v>1.05715</c:v>
                </c:pt>
                <c:pt idx="316">
                  <c:v>1.05718291666667</c:v>
                </c:pt>
                <c:pt idx="317">
                  <c:v>1.05735333333333</c:v>
                </c:pt>
                <c:pt idx="318">
                  <c:v>1.05751791666667</c:v>
                </c:pt>
                <c:pt idx="319">
                  <c:v>1.05799916666667</c:v>
                </c:pt>
                <c:pt idx="320">
                  <c:v>1.05802416666667</c:v>
                </c:pt>
                <c:pt idx="321">
                  <c:v>1.05812958333333</c:v>
                </c:pt>
                <c:pt idx="322">
                  <c:v>1.05813</c:v>
                </c:pt>
                <c:pt idx="323">
                  <c:v>1.05815</c:v>
                </c:pt>
                <c:pt idx="324">
                  <c:v>1.05857166666667</c:v>
                </c:pt>
                <c:pt idx="325">
                  <c:v>1.05899958333333</c:v>
                </c:pt>
                <c:pt idx="326">
                  <c:v>1.06008708333333</c:v>
                </c:pt>
                <c:pt idx="327">
                  <c:v>1.06116291666667</c:v>
                </c:pt>
                <c:pt idx="328">
                  <c:v>1.0618975</c:v>
                </c:pt>
                <c:pt idx="329">
                  <c:v>1.06192291666667</c:v>
                </c:pt>
                <c:pt idx="330">
                  <c:v>1.0620125</c:v>
                </c:pt>
                <c:pt idx="331">
                  <c:v>1.06201666666667</c:v>
                </c:pt>
                <c:pt idx="332">
                  <c:v>1.06291916666667</c:v>
                </c:pt>
                <c:pt idx="333">
                  <c:v>1.06348333333333</c:v>
                </c:pt>
                <c:pt idx="334">
                  <c:v>1.06412</c:v>
                </c:pt>
                <c:pt idx="335">
                  <c:v>1.06420916666667</c:v>
                </c:pt>
                <c:pt idx="336">
                  <c:v>1.06579583333333</c:v>
                </c:pt>
                <c:pt idx="337">
                  <c:v>1.0659</c:v>
                </c:pt>
                <c:pt idx="338">
                  <c:v>1.06604333333333</c:v>
                </c:pt>
                <c:pt idx="339">
                  <c:v>1.06711666666667</c:v>
                </c:pt>
                <c:pt idx="340">
                  <c:v>1.06765125</c:v>
                </c:pt>
                <c:pt idx="341">
                  <c:v>1.0687125</c:v>
                </c:pt>
                <c:pt idx="342">
                  <c:v>1.06919333333333</c:v>
                </c:pt>
                <c:pt idx="343">
                  <c:v>1.07002083333333</c:v>
                </c:pt>
                <c:pt idx="344">
                  <c:v>1.070415</c:v>
                </c:pt>
                <c:pt idx="345">
                  <c:v>1.07383916666667</c:v>
                </c:pt>
                <c:pt idx="346">
                  <c:v>1.0746125</c:v>
                </c:pt>
                <c:pt idx="347">
                  <c:v>1.07466666666667</c:v>
                </c:pt>
                <c:pt idx="348">
                  <c:v>1.07616708333333</c:v>
                </c:pt>
                <c:pt idx="349">
                  <c:v>1.0771275</c:v>
                </c:pt>
                <c:pt idx="350">
                  <c:v>1.07903291666667</c:v>
                </c:pt>
                <c:pt idx="351">
                  <c:v>1.07980791666667</c:v>
                </c:pt>
                <c:pt idx="352">
                  <c:v>1.08042583333333</c:v>
                </c:pt>
                <c:pt idx="353">
                  <c:v>1.08376666666667</c:v>
                </c:pt>
                <c:pt idx="354">
                  <c:v>1.08780083333333</c:v>
                </c:pt>
                <c:pt idx="355">
                  <c:v>1.13195833333333</c:v>
                </c:pt>
              </c:strCache>
            </c:strRef>
          </c:cat>
          <c:val>
            <c:numRef>
              <c:f>'Ecomonic Values'!$Y$2:$Y$358</c:f>
              <c:numCache>
                <c:formatCode>General</c:formatCode>
                <c:ptCount val="356"/>
                <c:pt idx="0">
                  <c:v>0.36499999999999999</c:v>
                </c:pt>
                <c:pt idx="1">
                  <c:v>0.4</c:v>
                </c:pt>
                <c:pt idx="2">
                  <c:v>0.42</c:v>
                </c:pt>
                <c:pt idx="3">
                  <c:v>0.38500000000000001</c:v>
                </c:pt>
                <c:pt idx="4">
                  <c:v>0.42</c:v>
                </c:pt>
                <c:pt idx="5">
                  <c:v>0.41499999999999998</c:v>
                </c:pt>
                <c:pt idx="6">
                  <c:v>0.39</c:v>
                </c:pt>
                <c:pt idx="7">
                  <c:v>0.40500000000000003</c:v>
                </c:pt>
                <c:pt idx="8">
                  <c:v>0.46</c:v>
                </c:pt>
                <c:pt idx="9">
                  <c:v>0.42</c:v>
                </c:pt>
                <c:pt idx="10">
                  <c:v>0.42</c:v>
                </c:pt>
                <c:pt idx="11">
                  <c:v>0.44</c:v>
                </c:pt>
                <c:pt idx="12">
                  <c:v>0.46</c:v>
                </c:pt>
                <c:pt idx="13">
                  <c:v>0.435</c:v>
                </c:pt>
                <c:pt idx="14">
                  <c:v>0.42499999999999999</c:v>
                </c:pt>
                <c:pt idx="15">
                  <c:v>0.43</c:v>
                </c:pt>
                <c:pt idx="16">
                  <c:v>0.42499999999999999</c:v>
                </c:pt>
                <c:pt idx="17">
                  <c:v>0.44</c:v>
                </c:pt>
                <c:pt idx="18">
                  <c:v>0.435</c:v>
                </c:pt>
                <c:pt idx="19">
                  <c:v>0.45</c:v>
                </c:pt>
                <c:pt idx="20">
                  <c:v>0.43</c:v>
                </c:pt>
                <c:pt idx="21">
                  <c:v>0.43</c:v>
                </c:pt>
                <c:pt idx="22">
                  <c:v>0.42</c:v>
                </c:pt>
                <c:pt idx="23">
                  <c:v>0.43</c:v>
                </c:pt>
                <c:pt idx="24">
                  <c:v>0.44</c:v>
                </c:pt>
                <c:pt idx="25">
                  <c:v>0.42</c:v>
                </c:pt>
                <c:pt idx="26">
                  <c:v>0.44</c:v>
                </c:pt>
                <c:pt idx="27">
                  <c:v>0.44</c:v>
                </c:pt>
                <c:pt idx="28">
                  <c:v>0.43</c:v>
                </c:pt>
                <c:pt idx="29">
                  <c:v>0.45500000000000002</c:v>
                </c:pt>
                <c:pt idx="30">
                  <c:v>0.45</c:v>
                </c:pt>
                <c:pt idx="31">
                  <c:v>0.44</c:v>
                </c:pt>
                <c:pt idx="32">
                  <c:v>0.44</c:v>
                </c:pt>
                <c:pt idx="33">
                  <c:v>0.46500000000000002</c:v>
                </c:pt>
                <c:pt idx="34">
                  <c:v>0.45</c:v>
                </c:pt>
                <c:pt idx="35">
                  <c:v>0.44</c:v>
                </c:pt>
                <c:pt idx="36">
                  <c:v>0.45500000000000002</c:v>
                </c:pt>
                <c:pt idx="37">
                  <c:v>0.45</c:v>
                </c:pt>
                <c:pt idx="38">
                  <c:v>0.44</c:v>
                </c:pt>
                <c:pt idx="39">
                  <c:v>0.44500000000000001</c:v>
                </c:pt>
                <c:pt idx="40">
                  <c:v>0.46</c:v>
                </c:pt>
                <c:pt idx="41">
                  <c:v>0.44</c:v>
                </c:pt>
                <c:pt idx="42">
                  <c:v>0.46</c:v>
                </c:pt>
                <c:pt idx="43">
                  <c:v>0.44500000000000001</c:v>
                </c:pt>
                <c:pt idx="44">
                  <c:v>0.435</c:v>
                </c:pt>
                <c:pt idx="45">
                  <c:v>0.46</c:v>
                </c:pt>
                <c:pt idx="46">
                  <c:v>0.45</c:v>
                </c:pt>
                <c:pt idx="47">
                  <c:v>0.45</c:v>
                </c:pt>
                <c:pt idx="48">
                  <c:v>0.45500000000000002</c:v>
                </c:pt>
                <c:pt idx="49">
                  <c:v>0.45</c:v>
                </c:pt>
                <c:pt idx="50">
                  <c:v>0.45</c:v>
                </c:pt>
                <c:pt idx="51">
                  <c:v>0.45</c:v>
                </c:pt>
                <c:pt idx="52">
                  <c:v>0.44500000000000001</c:v>
                </c:pt>
                <c:pt idx="53">
                  <c:v>0.44500000000000001</c:v>
                </c:pt>
                <c:pt idx="54">
                  <c:v>0.45</c:v>
                </c:pt>
                <c:pt idx="55">
                  <c:v>0.46500000000000002</c:v>
                </c:pt>
                <c:pt idx="56">
                  <c:v>0.46500000000000002</c:v>
                </c:pt>
                <c:pt idx="57">
                  <c:v>0.47499999999999998</c:v>
                </c:pt>
                <c:pt idx="58">
                  <c:v>0.49</c:v>
                </c:pt>
                <c:pt idx="59">
                  <c:v>0.46</c:v>
                </c:pt>
                <c:pt idx="60">
                  <c:v>0.435</c:v>
                </c:pt>
                <c:pt idx="61">
                  <c:v>0.9</c:v>
                </c:pt>
                <c:pt idx="62">
                  <c:v>0.46</c:v>
                </c:pt>
                <c:pt idx="63">
                  <c:v>0.45</c:v>
                </c:pt>
                <c:pt idx="64">
                  <c:v>0.48499999999999999</c:v>
                </c:pt>
                <c:pt idx="65">
                  <c:v>0.46500000000000002</c:v>
                </c:pt>
                <c:pt idx="66">
                  <c:v>0.44500000000000001</c:v>
                </c:pt>
                <c:pt idx="67">
                  <c:v>0.46</c:v>
                </c:pt>
                <c:pt idx="68">
                  <c:v>0.46500000000000002</c:v>
                </c:pt>
                <c:pt idx="69">
                  <c:v>0.47</c:v>
                </c:pt>
                <c:pt idx="70">
                  <c:v>0.45500000000000002</c:v>
                </c:pt>
                <c:pt idx="71">
                  <c:v>0.45500000000000002</c:v>
                </c:pt>
                <c:pt idx="72">
                  <c:v>0.48</c:v>
                </c:pt>
                <c:pt idx="73">
                  <c:v>0.46</c:v>
                </c:pt>
                <c:pt idx="74">
                  <c:v>0.46500000000000002</c:v>
                </c:pt>
                <c:pt idx="75">
                  <c:v>0.47499999999999998</c:v>
                </c:pt>
                <c:pt idx="76">
                  <c:v>0.495</c:v>
                </c:pt>
                <c:pt idx="77">
                  <c:v>0.46500000000000002</c:v>
                </c:pt>
                <c:pt idx="78">
                  <c:v>0.47499999999999998</c:v>
                </c:pt>
                <c:pt idx="79">
                  <c:v>0.47499999999999998</c:v>
                </c:pt>
                <c:pt idx="80">
                  <c:v>0.47</c:v>
                </c:pt>
                <c:pt idx="81">
                  <c:v>0.47499999999999998</c:v>
                </c:pt>
                <c:pt idx="82">
                  <c:v>0.46</c:v>
                </c:pt>
                <c:pt idx="83">
                  <c:v>0.47499999999999998</c:v>
                </c:pt>
                <c:pt idx="84">
                  <c:v>0.46500000000000002</c:v>
                </c:pt>
                <c:pt idx="85">
                  <c:v>0.46500000000000002</c:v>
                </c:pt>
                <c:pt idx="86">
                  <c:v>0.47499999999999998</c:v>
                </c:pt>
                <c:pt idx="87">
                  <c:v>0.47</c:v>
                </c:pt>
                <c:pt idx="88">
                  <c:v>0.47499999999999998</c:v>
                </c:pt>
                <c:pt idx="89">
                  <c:v>0.47</c:v>
                </c:pt>
                <c:pt idx="90">
                  <c:v>0.46500000000000002</c:v>
                </c:pt>
                <c:pt idx="91">
                  <c:v>0.47</c:v>
                </c:pt>
                <c:pt idx="92">
                  <c:v>0.48</c:v>
                </c:pt>
                <c:pt idx="93">
                  <c:v>0.47</c:v>
                </c:pt>
                <c:pt idx="94">
                  <c:v>0.45</c:v>
                </c:pt>
                <c:pt idx="95">
                  <c:v>0.46</c:v>
                </c:pt>
                <c:pt idx="96">
                  <c:v>0.47499999999999998</c:v>
                </c:pt>
                <c:pt idx="97">
                  <c:v>0.46500000000000002</c:v>
                </c:pt>
                <c:pt idx="98">
                  <c:v>0.47499999999999998</c:v>
                </c:pt>
                <c:pt idx="99">
                  <c:v>0.47</c:v>
                </c:pt>
                <c:pt idx="100">
                  <c:v>0.47</c:v>
                </c:pt>
                <c:pt idx="101">
                  <c:v>0.47</c:v>
                </c:pt>
                <c:pt idx="102">
                  <c:v>0.47</c:v>
                </c:pt>
                <c:pt idx="103">
                  <c:v>0.46500000000000002</c:v>
                </c:pt>
                <c:pt idx="104">
                  <c:v>0.49</c:v>
                </c:pt>
                <c:pt idx="105">
                  <c:v>0.46</c:v>
                </c:pt>
                <c:pt idx="106">
                  <c:v>0.48</c:v>
                </c:pt>
                <c:pt idx="107">
                  <c:v>0.5</c:v>
                </c:pt>
                <c:pt idx="108">
                  <c:v>0.51</c:v>
                </c:pt>
                <c:pt idx="109">
                  <c:v>0.505</c:v>
                </c:pt>
                <c:pt idx="110">
                  <c:v>0.47499999999999998</c:v>
                </c:pt>
                <c:pt idx="111">
                  <c:v>0.49</c:v>
                </c:pt>
                <c:pt idx="112">
                  <c:v>0.46</c:v>
                </c:pt>
                <c:pt idx="113">
                  <c:v>0.48499999999999999</c:v>
                </c:pt>
                <c:pt idx="114">
                  <c:v>0.48</c:v>
                </c:pt>
                <c:pt idx="115">
                  <c:v>0.47499999999999998</c:v>
                </c:pt>
                <c:pt idx="116">
                  <c:v>0.495</c:v>
                </c:pt>
                <c:pt idx="117">
                  <c:v>0.47499999999999998</c:v>
                </c:pt>
                <c:pt idx="118">
                  <c:v>0.47499999999999998</c:v>
                </c:pt>
                <c:pt idx="119">
                  <c:v>0.46</c:v>
                </c:pt>
                <c:pt idx="120">
                  <c:v>0.47</c:v>
                </c:pt>
                <c:pt idx="121">
                  <c:v>0.46500000000000002</c:v>
                </c:pt>
                <c:pt idx="122">
                  <c:v>0.47</c:v>
                </c:pt>
                <c:pt idx="123">
                  <c:v>0.47499999999999998</c:v>
                </c:pt>
                <c:pt idx="124">
                  <c:v>0.48499999999999999</c:v>
                </c:pt>
                <c:pt idx="125">
                  <c:v>0.48499999999999999</c:v>
                </c:pt>
                <c:pt idx="126">
                  <c:v>0.48</c:v>
                </c:pt>
                <c:pt idx="127">
                  <c:v>0.47</c:v>
                </c:pt>
                <c:pt idx="128">
                  <c:v>0.47</c:v>
                </c:pt>
                <c:pt idx="129">
                  <c:v>0.48</c:v>
                </c:pt>
                <c:pt idx="130">
                  <c:v>0.48</c:v>
                </c:pt>
                <c:pt idx="131">
                  <c:v>0.47</c:v>
                </c:pt>
                <c:pt idx="132">
                  <c:v>0.5</c:v>
                </c:pt>
                <c:pt idx="133">
                  <c:v>0.47499999999999998</c:v>
                </c:pt>
                <c:pt idx="134">
                  <c:v>0.47499999999999998</c:v>
                </c:pt>
                <c:pt idx="135">
                  <c:v>0.5</c:v>
                </c:pt>
                <c:pt idx="136">
                  <c:v>0.47499999999999998</c:v>
                </c:pt>
                <c:pt idx="137">
                  <c:v>0.47499999999999998</c:v>
                </c:pt>
                <c:pt idx="138">
                  <c:v>0.49</c:v>
                </c:pt>
                <c:pt idx="139">
                  <c:v>0.505</c:v>
                </c:pt>
                <c:pt idx="140">
                  <c:v>0.48</c:v>
                </c:pt>
                <c:pt idx="141">
                  <c:v>0.49</c:v>
                </c:pt>
                <c:pt idx="142">
                  <c:v>0.48</c:v>
                </c:pt>
                <c:pt idx="143">
                  <c:v>0.5</c:v>
                </c:pt>
                <c:pt idx="144">
                  <c:v>0.48499999999999999</c:v>
                </c:pt>
                <c:pt idx="145">
                  <c:v>0.47499999999999998</c:v>
                </c:pt>
                <c:pt idx="146">
                  <c:v>0.5</c:v>
                </c:pt>
                <c:pt idx="147">
                  <c:v>0.48</c:v>
                </c:pt>
                <c:pt idx="148">
                  <c:v>0.49</c:v>
                </c:pt>
                <c:pt idx="149">
                  <c:v>0.5</c:v>
                </c:pt>
                <c:pt idx="150">
                  <c:v>0.47499999999999998</c:v>
                </c:pt>
                <c:pt idx="151">
                  <c:v>0.52</c:v>
                </c:pt>
                <c:pt idx="152">
                  <c:v>0.48</c:v>
                </c:pt>
                <c:pt idx="153">
                  <c:v>0.48499999999999999</c:v>
                </c:pt>
                <c:pt idx="154">
                  <c:v>0.49</c:v>
                </c:pt>
                <c:pt idx="155">
                  <c:v>0.495</c:v>
                </c:pt>
                <c:pt idx="156">
                  <c:v>0.49</c:v>
                </c:pt>
                <c:pt idx="157">
                  <c:v>0.47499999999999998</c:v>
                </c:pt>
                <c:pt idx="158">
                  <c:v>0.49</c:v>
                </c:pt>
                <c:pt idx="159">
                  <c:v>0.49</c:v>
                </c:pt>
                <c:pt idx="160">
                  <c:v>0.48499999999999999</c:v>
                </c:pt>
                <c:pt idx="161">
                  <c:v>0.495</c:v>
                </c:pt>
                <c:pt idx="162">
                  <c:v>0.48499999999999999</c:v>
                </c:pt>
                <c:pt idx="163">
                  <c:v>0.48499999999999999</c:v>
                </c:pt>
                <c:pt idx="164">
                  <c:v>0.48</c:v>
                </c:pt>
                <c:pt idx="165">
                  <c:v>0.48</c:v>
                </c:pt>
                <c:pt idx="166">
                  <c:v>0.5</c:v>
                </c:pt>
                <c:pt idx="167">
                  <c:v>0.48499999999999999</c:v>
                </c:pt>
                <c:pt idx="168">
                  <c:v>0.48499999999999999</c:v>
                </c:pt>
                <c:pt idx="169">
                  <c:v>0.5</c:v>
                </c:pt>
                <c:pt idx="170">
                  <c:v>0.49</c:v>
                </c:pt>
                <c:pt idx="171">
                  <c:v>0.48</c:v>
                </c:pt>
                <c:pt idx="172">
                  <c:v>0.505</c:v>
                </c:pt>
                <c:pt idx="173">
                  <c:v>0.495</c:v>
                </c:pt>
                <c:pt idx="174">
                  <c:v>0.47499999999999998</c:v>
                </c:pt>
                <c:pt idx="175">
                  <c:v>0.495</c:v>
                </c:pt>
                <c:pt idx="176">
                  <c:v>0.48499999999999999</c:v>
                </c:pt>
                <c:pt idx="177">
                  <c:v>0.48</c:v>
                </c:pt>
                <c:pt idx="178">
                  <c:v>0.52500000000000002</c:v>
                </c:pt>
                <c:pt idx="179">
                  <c:v>0.48499999999999999</c:v>
                </c:pt>
                <c:pt idx="180">
                  <c:v>0.47499999999999998</c:v>
                </c:pt>
                <c:pt idx="181">
                  <c:v>0.5</c:v>
                </c:pt>
                <c:pt idx="182">
                  <c:v>0.5</c:v>
                </c:pt>
                <c:pt idx="183">
                  <c:v>0.505</c:v>
                </c:pt>
                <c:pt idx="184">
                  <c:v>0.49</c:v>
                </c:pt>
                <c:pt idx="185">
                  <c:v>0.495</c:v>
                </c:pt>
                <c:pt idx="186">
                  <c:v>0.48499999999999999</c:v>
                </c:pt>
                <c:pt idx="187">
                  <c:v>0.47499999999999998</c:v>
                </c:pt>
                <c:pt idx="188">
                  <c:v>0.51500000000000001</c:v>
                </c:pt>
                <c:pt idx="189">
                  <c:v>0.5</c:v>
                </c:pt>
                <c:pt idx="190">
                  <c:v>0.49</c:v>
                </c:pt>
                <c:pt idx="191">
                  <c:v>0.51</c:v>
                </c:pt>
                <c:pt idx="192">
                  <c:v>0.495</c:v>
                </c:pt>
                <c:pt idx="193">
                  <c:v>0.51500000000000001</c:v>
                </c:pt>
                <c:pt idx="194">
                  <c:v>0.5</c:v>
                </c:pt>
                <c:pt idx="195">
                  <c:v>0.495</c:v>
                </c:pt>
                <c:pt idx="196">
                  <c:v>0.51500000000000001</c:v>
                </c:pt>
                <c:pt idx="197">
                  <c:v>0.5</c:v>
                </c:pt>
                <c:pt idx="198">
                  <c:v>0.48499999999999999</c:v>
                </c:pt>
                <c:pt idx="199">
                  <c:v>0.51</c:v>
                </c:pt>
                <c:pt idx="200">
                  <c:v>0.52500000000000002</c:v>
                </c:pt>
                <c:pt idx="201">
                  <c:v>0.52</c:v>
                </c:pt>
                <c:pt idx="202">
                  <c:v>0.5</c:v>
                </c:pt>
                <c:pt idx="203">
                  <c:v>0.51500000000000001</c:v>
                </c:pt>
                <c:pt idx="204">
                  <c:v>0.495</c:v>
                </c:pt>
                <c:pt idx="205">
                  <c:v>0.52500000000000002</c:v>
                </c:pt>
                <c:pt idx="206">
                  <c:v>0.49</c:v>
                </c:pt>
                <c:pt idx="207">
                  <c:v>0.505</c:v>
                </c:pt>
                <c:pt idx="208">
                  <c:v>0.51</c:v>
                </c:pt>
                <c:pt idx="209">
                  <c:v>0.505</c:v>
                </c:pt>
                <c:pt idx="210">
                  <c:v>0.51</c:v>
                </c:pt>
                <c:pt idx="211">
                  <c:v>0.5</c:v>
                </c:pt>
                <c:pt idx="212">
                  <c:v>0.49</c:v>
                </c:pt>
                <c:pt idx="213">
                  <c:v>0.5</c:v>
                </c:pt>
                <c:pt idx="214">
                  <c:v>0.51500000000000001</c:v>
                </c:pt>
                <c:pt idx="215">
                  <c:v>0.49</c:v>
                </c:pt>
                <c:pt idx="216">
                  <c:v>0.505</c:v>
                </c:pt>
                <c:pt idx="217">
                  <c:v>0.5</c:v>
                </c:pt>
                <c:pt idx="218">
                  <c:v>0.505</c:v>
                </c:pt>
                <c:pt idx="219">
                  <c:v>0.505</c:v>
                </c:pt>
                <c:pt idx="220">
                  <c:v>0.5</c:v>
                </c:pt>
                <c:pt idx="221">
                  <c:v>0.51</c:v>
                </c:pt>
                <c:pt idx="222">
                  <c:v>0.49</c:v>
                </c:pt>
                <c:pt idx="223">
                  <c:v>0.51500000000000001</c:v>
                </c:pt>
                <c:pt idx="224">
                  <c:v>0.5</c:v>
                </c:pt>
                <c:pt idx="225">
                  <c:v>0.5</c:v>
                </c:pt>
                <c:pt idx="226">
                  <c:v>0.49</c:v>
                </c:pt>
                <c:pt idx="227">
                  <c:v>0.5</c:v>
                </c:pt>
                <c:pt idx="228">
                  <c:v>0.52</c:v>
                </c:pt>
                <c:pt idx="229">
                  <c:v>0.52500000000000002</c:v>
                </c:pt>
                <c:pt idx="230">
                  <c:v>0.495</c:v>
                </c:pt>
                <c:pt idx="231">
                  <c:v>0.51500000000000001</c:v>
                </c:pt>
                <c:pt idx="232">
                  <c:v>0.48499999999999999</c:v>
                </c:pt>
                <c:pt idx="233">
                  <c:v>0.51500000000000001</c:v>
                </c:pt>
                <c:pt idx="234">
                  <c:v>0.5</c:v>
                </c:pt>
                <c:pt idx="235">
                  <c:v>0.51500000000000001</c:v>
                </c:pt>
                <c:pt idx="236">
                  <c:v>0.495</c:v>
                </c:pt>
                <c:pt idx="237">
                  <c:v>0.51500000000000001</c:v>
                </c:pt>
                <c:pt idx="238">
                  <c:v>0.51</c:v>
                </c:pt>
                <c:pt idx="239">
                  <c:v>0.5</c:v>
                </c:pt>
                <c:pt idx="240">
                  <c:v>0.52</c:v>
                </c:pt>
                <c:pt idx="241">
                  <c:v>0.51500000000000001</c:v>
                </c:pt>
                <c:pt idx="242">
                  <c:v>0.51500000000000001</c:v>
                </c:pt>
                <c:pt idx="243">
                  <c:v>0.51</c:v>
                </c:pt>
                <c:pt idx="244">
                  <c:v>0.54500000000000004</c:v>
                </c:pt>
                <c:pt idx="245">
                  <c:v>0.52500000000000002</c:v>
                </c:pt>
                <c:pt idx="246">
                  <c:v>0.53</c:v>
                </c:pt>
                <c:pt idx="247">
                  <c:v>0.52500000000000002</c:v>
                </c:pt>
                <c:pt idx="248">
                  <c:v>0.51500000000000001</c:v>
                </c:pt>
                <c:pt idx="249">
                  <c:v>0.51</c:v>
                </c:pt>
                <c:pt idx="250">
                  <c:v>0.51</c:v>
                </c:pt>
                <c:pt idx="251">
                  <c:v>0.51</c:v>
                </c:pt>
                <c:pt idx="252">
                  <c:v>0.51500000000000001</c:v>
                </c:pt>
                <c:pt idx="253">
                  <c:v>0.52</c:v>
                </c:pt>
                <c:pt idx="254">
                  <c:v>0.51</c:v>
                </c:pt>
                <c:pt idx="255">
                  <c:v>0.505</c:v>
                </c:pt>
                <c:pt idx="256">
                  <c:v>0.53</c:v>
                </c:pt>
                <c:pt idx="257">
                  <c:v>0.52500000000000002</c:v>
                </c:pt>
                <c:pt idx="258">
                  <c:v>0.51500000000000001</c:v>
                </c:pt>
                <c:pt idx="259">
                  <c:v>0.52</c:v>
                </c:pt>
                <c:pt idx="260">
                  <c:v>0.51</c:v>
                </c:pt>
                <c:pt idx="261">
                  <c:v>0.52</c:v>
                </c:pt>
                <c:pt idx="262">
                  <c:v>0.52500000000000002</c:v>
                </c:pt>
                <c:pt idx="263">
                  <c:v>0.52500000000000002</c:v>
                </c:pt>
                <c:pt idx="264">
                  <c:v>0.52</c:v>
                </c:pt>
                <c:pt idx="265">
                  <c:v>0.51</c:v>
                </c:pt>
                <c:pt idx="266">
                  <c:v>0.52500000000000002</c:v>
                </c:pt>
                <c:pt idx="267">
                  <c:v>0.51</c:v>
                </c:pt>
                <c:pt idx="268">
                  <c:v>0.52500000000000002</c:v>
                </c:pt>
                <c:pt idx="269">
                  <c:v>0.51</c:v>
                </c:pt>
                <c:pt idx="270">
                  <c:v>0.53</c:v>
                </c:pt>
                <c:pt idx="271">
                  <c:v>0.53500000000000003</c:v>
                </c:pt>
                <c:pt idx="272">
                  <c:v>0.52</c:v>
                </c:pt>
                <c:pt idx="273">
                  <c:v>0.54</c:v>
                </c:pt>
                <c:pt idx="274">
                  <c:v>0.54500000000000004</c:v>
                </c:pt>
                <c:pt idx="275">
                  <c:v>0.54500000000000004</c:v>
                </c:pt>
                <c:pt idx="276">
                  <c:v>0.54</c:v>
                </c:pt>
                <c:pt idx="277">
                  <c:v>0.53</c:v>
                </c:pt>
                <c:pt idx="278">
                  <c:v>0.51</c:v>
                </c:pt>
                <c:pt idx="279">
                  <c:v>0.57499999999999996</c:v>
                </c:pt>
                <c:pt idx="280">
                  <c:v>0.55000000000000004</c:v>
                </c:pt>
                <c:pt idx="281">
                  <c:v>0.54</c:v>
                </c:pt>
                <c:pt idx="282">
                  <c:v>0.53</c:v>
                </c:pt>
                <c:pt idx="283">
                  <c:v>0.54500000000000004</c:v>
                </c:pt>
                <c:pt idx="284">
                  <c:v>0.53</c:v>
                </c:pt>
                <c:pt idx="285">
                  <c:v>0.53500000000000003</c:v>
                </c:pt>
                <c:pt idx="286">
                  <c:v>0.53</c:v>
                </c:pt>
                <c:pt idx="287">
                  <c:v>0.53500000000000003</c:v>
                </c:pt>
                <c:pt idx="288">
                  <c:v>0.53</c:v>
                </c:pt>
                <c:pt idx="289">
                  <c:v>0.5</c:v>
                </c:pt>
                <c:pt idx="290">
                  <c:v>0.56499999999999995</c:v>
                </c:pt>
                <c:pt idx="291">
                  <c:v>0.52500000000000002</c:v>
                </c:pt>
                <c:pt idx="292">
                  <c:v>0.51500000000000001</c:v>
                </c:pt>
                <c:pt idx="293">
                  <c:v>0.53</c:v>
                </c:pt>
                <c:pt idx="294">
                  <c:v>0.56499999999999995</c:v>
                </c:pt>
                <c:pt idx="295">
                  <c:v>0.55000000000000004</c:v>
                </c:pt>
                <c:pt idx="296">
                  <c:v>0.53500000000000003</c:v>
                </c:pt>
                <c:pt idx="297">
                  <c:v>0.57499999999999996</c:v>
                </c:pt>
                <c:pt idx="298">
                  <c:v>0.52500000000000002</c:v>
                </c:pt>
                <c:pt idx="299">
                  <c:v>0.52500000000000002</c:v>
                </c:pt>
                <c:pt idx="300">
                  <c:v>0.53500000000000003</c:v>
                </c:pt>
                <c:pt idx="301">
                  <c:v>0.52500000000000002</c:v>
                </c:pt>
                <c:pt idx="302">
                  <c:v>0.53</c:v>
                </c:pt>
                <c:pt idx="303">
                  <c:v>0.54500000000000004</c:v>
                </c:pt>
                <c:pt idx="304">
                  <c:v>0.55000000000000004</c:v>
                </c:pt>
                <c:pt idx="305">
                  <c:v>0.52500000000000002</c:v>
                </c:pt>
                <c:pt idx="306">
                  <c:v>0.52500000000000002</c:v>
                </c:pt>
                <c:pt idx="307">
                  <c:v>0.55000000000000004</c:v>
                </c:pt>
                <c:pt idx="308">
                  <c:v>0.53</c:v>
                </c:pt>
                <c:pt idx="309">
                  <c:v>0.55000000000000004</c:v>
                </c:pt>
                <c:pt idx="310">
                  <c:v>0.55000000000000004</c:v>
                </c:pt>
                <c:pt idx="311">
                  <c:v>0.55500000000000005</c:v>
                </c:pt>
                <c:pt idx="312">
                  <c:v>0.56000000000000005</c:v>
                </c:pt>
                <c:pt idx="313">
                  <c:v>0.56000000000000005</c:v>
                </c:pt>
                <c:pt idx="314">
                  <c:v>0.55000000000000004</c:v>
                </c:pt>
                <c:pt idx="315">
                  <c:v>0.53500000000000003</c:v>
                </c:pt>
                <c:pt idx="316">
                  <c:v>0.54500000000000004</c:v>
                </c:pt>
                <c:pt idx="317">
                  <c:v>0.53500000000000003</c:v>
                </c:pt>
                <c:pt idx="318">
                  <c:v>0.55500000000000005</c:v>
                </c:pt>
                <c:pt idx="319">
                  <c:v>0.55000000000000004</c:v>
                </c:pt>
                <c:pt idx="320">
                  <c:v>0.53500000000000003</c:v>
                </c:pt>
                <c:pt idx="321">
                  <c:v>0.55000000000000004</c:v>
                </c:pt>
                <c:pt idx="322">
                  <c:v>0.55000000000000004</c:v>
                </c:pt>
                <c:pt idx="323">
                  <c:v>0.56499999999999995</c:v>
                </c:pt>
                <c:pt idx="324">
                  <c:v>0.56499999999999995</c:v>
                </c:pt>
                <c:pt idx="325">
                  <c:v>0.56999999999999995</c:v>
                </c:pt>
                <c:pt idx="326">
                  <c:v>0.54500000000000004</c:v>
                </c:pt>
                <c:pt idx="327">
                  <c:v>0.55000000000000004</c:v>
                </c:pt>
                <c:pt idx="328">
                  <c:v>0.56999999999999995</c:v>
                </c:pt>
                <c:pt idx="329">
                  <c:v>0.56000000000000005</c:v>
                </c:pt>
                <c:pt idx="330">
                  <c:v>0.56000000000000005</c:v>
                </c:pt>
                <c:pt idx="331">
                  <c:v>0.52500000000000002</c:v>
                </c:pt>
                <c:pt idx="332">
                  <c:v>0.56499999999999995</c:v>
                </c:pt>
                <c:pt idx="333">
                  <c:v>0.59</c:v>
                </c:pt>
                <c:pt idx="334">
                  <c:v>0.56000000000000005</c:v>
                </c:pt>
                <c:pt idx="335">
                  <c:v>0.56999999999999995</c:v>
                </c:pt>
                <c:pt idx="336">
                  <c:v>0.56000000000000005</c:v>
                </c:pt>
                <c:pt idx="337">
                  <c:v>0.55000000000000004</c:v>
                </c:pt>
                <c:pt idx="338">
                  <c:v>0.56000000000000005</c:v>
                </c:pt>
                <c:pt idx="339">
                  <c:v>0.57499999999999996</c:v>
                </c:pt>
                <c:pt idx="340">
                  <c:v>0.57499999999999996</c:v>
                </c:pt>
                <c:pt idx="341">
                  <c:v>0.56999999999999995</c:v>
                </c:pt>
                <c:pt idx="342">
                  <c:v>0.56999999999999995</c:v>
                </c:pt>
                <c:pt idx="343">
                  <c:v>0.57499999999999996</c:v>
                </c:pt>
                <c:pt idx="344">
                  <c:v>0.57499999999999996</c:v>
                </c:pt>
                <c:pt idx="345">
                  <c:v>0.59</c:v>
                </c:pt>
                <c:pt idx="346">
                  <c:v>0.58499999999999996</c:v>
                </c:pt>
                <c:pt idx="347">
                  <c:v>0.55000000000000004</c:v>
                </c:pt>
                <c:pt idx="348">
                  <c:v>0.59499999999999997</c:v>
                </c:pt>
                <c:pt idx="349">
                  <c:v>0.56499999999999995</c:v>
                </c:pt>
                <c:pt idx="350">
                  <c:v>0.56999999999999995</c:v>
                </c:pt>
                <c:pt idx="351">
                  <c:v>0.59</c:v>
                </c:pt>
                <c:pt idx="352">
                  <c:v>0.57999999999999996</c:v>
                </c:pt>
                <c:pt idx="353">
                  <c:v>0.6</c:v>
                </c:pt>
                <c:pt idx="354">
                  <c:v>0.59</c:v>
                </c:pt>
                <c:pt idx="355">
                  <c:v>0.65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16-4F2F-895D-22549FC17AFD}"/>
            </c:ext>
          </c:extLst>
        </c:ser>
        <c:ser>
          <c:idx val="3"/>
          <c:order val="3"/>
          <c:tx>
            <c:strRef>
              <c:f>'Ecomonic Values'!$Z$1</c:f>
              <c:strCache>
                <c:ptCount val="1"/>
                <c:pt idx="0">
                  <c:v>Sum of Height</c:v>
                </c:pt>
              </c:strCache>
            </c:strRef>
          </c:tx>
          <c:spPr>
            <a:noFill/>
            <a:ln w="9525" cap="flat" cmpd="sng" algn="ctr">
              <a:solidFill>
                <a:schemeClr val="accent4"/>
              </a:solidFill>
              <a:miter lim="800000"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'Ecomonic Values'!$V$2:$V$358</c:f>
              <c:strCache>
                <c:ptCount val="356"/>
                <c:pt idx="0">
                  <c:v>0.941315833333333</c:v>
                </c:pt>
                <c:pt idx="1">
                  <c:v>0.963793333333333</c:v>
                </c:pt>
                <c:pt idx="2">
                  <c:v>0.965635</c:v>
                </c:pt>
                <c:pt idx="3">
                  <c:v>0.966938333333333</c:v>
                </c:pt>
                <c:pt idx="4">
                  <c:v>0.969713333333333</c:v>
                </c:pt>
                <c:pt idx="5">
                  <c:v>0.974733333333333</c:v>
                </c:pt>
                <c:pt idx="6">
                  <c:v>0.977062083333333</c:v>
                </c:pt>
                <c:pt idx="7">
                  <c:v>0.977645833333333</c:v>
                </c:pt>
                <c:pt idx="8">
                  <c:v>0.984208333333333</c:v>
                </c:pt>
                <c:pt idx="9">
                  <c:v>0.984926666666667</c:v>
                </c:pt>
                <c:pt idx="10">
                  <c:v>0.984963333333333</c:v>
                </c:pt>
                <c:pt idx="11">
                  <c:v>0.986166666666667</c:v>
                </c:pt>
                <c:pt idx="12">
                  <c:v>0.987887083333333</c:v>
                </c:pt>
                <c:pt idx="13">
                  <c:v>0.98883875</c:v>
                </c:pt>
                <c:pt idx="14">
                  <c:v>0.989372916666667</c:v>
                </c:pt>
                <c:pt idx="15">
                  <c:v>0.990229166666667</c:v>
                </c:pt>
                <c:pt idx="16">
                  <c:v>0.990291666666667</c:v>
                </c:pt>
                <c:pt idx="17">
                  <c:v>0.9906</c:v>
                </c:pt>
                <c:pt idx="18">
                  <c:v>0.99087875</c:v>
                </c:pt>
                <c:pt idx="19">
                  <c:v>0.991964583333333</c:v>
                </c:pt>
                <c:pt idx="20">
                  <c:v>0.992190416666667</c:v>
                </c:pt>
                <c:pt idx="21">
                  <c:v>0.99247</c:v>
                </c:pt>
                <c:pt idx="22">
                  <c:v>0.992778333333333</c:v>
                </c:pt>
                <c:pt idx="23">
                  <c:v>0.9935625</c:v>
                </c:pt>
                <c:pt idx="24">
                  <c:v>0.993704583333333</c:v>
                </c:pt>
                <c:pt idx="25">
                  <c:v>0.993815833333333</c:v>
                </c:pt>
                <c:pt idx="26">
                  <c:v>0.99404375</c:v>
                </c:pt>
                <c:pt idx="27">
                  <c:v>0.994202916666667</c:v>
                </c:pt>
                <c:pt idx="28">
                  <c:v>0.994577083333333</c:v>
                </c:pt>
                <c:pt idx="29">
                  <c:v>0.995541666666667</c:v>
                </c:pt>
                <c:pt idx="30">
                  <c:v>0.9961125</c:v>
                </c:pt>
                <c:pt idx="31">
                  <c:v>0.996637083333333</c:v>
                </c:pt>
                <c:pt idx="32">
                  <c:v>0.997375</c:v>
                </c:pt>
                <c:pt idx="33">
                  <c:v>0.997516666666667</c:v>
                </c:pt>
                <c:pt idx="34">
                  <c:v>0.997666666666667</c:v>
                </c:pt>
                <c:pt idx="35">
                  <c:v>0.999873333333333</c:v>
                </c:pt>
                <c:pt idx="36">
                  <c:v>1.0004025</c:v>
                </c:pt>
                <c:pt idx="37">
                  <c:v>1.00047708333333</c:v>
                </c:pt>
                <c:pt idx="38">
                  <c:v>1.00103666666667</c:v>
                </c:pt>
                <c:pt idx="39">
                  <c:v>1.00103958333333</c:v>
                </c:pt>
                <c:pt idx="40">
                  <c:v>1.00116666666667</c:v>
                </c:pt>
                <c:pt idx="41">
                  <c:v>1.00160416666667</c:v>
                </c:pt>
                <c:pt idx="42">
                  <c:v>1.002015</c:v>
                </c:pt>
                <c:pt idx="43">
                  <c:v>1.00230666666667</c:v>
                </c:pt>
                <c:pt idx="44">
                  <c:v>1.00246125</c:v>
                </c:pt>
                <c:pt idx="45">
                  <c:v>1.00247958333333</c:v>
                </c:pt>
                <c:pt idx="46">
                  <c:v>1.00253333333333</c:v>
                </c:pt>
                <c:pt idx="47">
                  <c:v>1.00271875</c:v>
                </c:pt>
                <c:pt idx="48">
                  <c:v>1.00283333333333</c:v>
                </c:pt>
                <c:pt idx="49">
                  <c:v>1.00295666666667</c:v>
                </c:pt>
                <c:pt idx="50">
                  <c:v>1.00328333333333</c:v>
                </c:pt>
                <c:pt idx="51">
                  <c:v>1.00345833333333</c:v>
                </c:pt>
                <c:pt idx="52">
                  <c:v>1.00377</c:v>
                </c:pt>
                <c:pt idx="53">
                  <c:v>1.0040025</c:v>
                </c:pt>
                <c:pt idx="54">
                  <c:v>1.00432</c:v>
                </c:pt>
                <c:pt idx="55">
                  <c:v>1.00510333333333</c:v>
                </c:pt>
                <c:pt idx="56">
                  <c:v>1.00515333333333</c:v>
                </c:pt>
                <c:pt idx="57">
                  <c:v>1.00544</c:v>
                </c:pt>
                <c:pt idx="58">
                  <c:v>1.00565916666667</c:v>
                </c:pt>
                <c:pt idx="59">
                  <c:v>1.00576833333333</c:v>
                </c:pt>
                <c:pt idx="60">
                  <c:v>1.00583333333333</c:v>
                </c:pt>
                <c:pt idx="61">
                  <c:v>1.00591666666667</c:v>
                </c:pt>
                <c:pt idx="62">
                  <c:v>1.00651833333333</c:v>
                </c:pt>
                <c:pt idx="63">
                  <c:v>1.00670666666667</c:v>
                </c:pt>
                <c:pt idx="64">
                  <c:v>1.00681125</c:v>
                </c:pt>
                <c:pt idx="65">
                  <c:v>1.00764666666667</c:v>
                </c:pt>
                <c:pt idx="66">
                  <c:v>1.00767791666667</c:v>
                </c:pt>
                <c:pt idx="67">
                  <c:v>1.00790375</c:v>
                </c:pt>
                <c:pt idx="68">
                  <c:v>1.00796375</c:v>
                </c:pt>
                <c:pt idx="69">
                  <c:v>1.00890666666667</c:v>
                </c:pt>
                <c:pt idx="70">
                  <c:v>1.00891666666667</c:v>
                </c:pt>
                <c:pt idx="71">
                  <c:v>1.00935</c:v>
                </c:pt>
                <c:pt idx="72">
                  <c:v>1.009445</c:v>
                </c:pt>
                <c:pt idx="73">
                  <c:v>1.00954</c:v>
                </c:pt>
                <c:pt idx="74">
                  <c:v>1.00968</c:v>
                </c:pt>
                <c:pt idx="75">
                  <c:v>1.01094</c:v>
                </c:pt>
                <c:pt idx="76">
                  <c:v>1.01134</c:v>
                </c:pt>
                <c:pt idx="77">
                  <c:v>1.01152083333333</c:v>
                </c:pt>
                <c:pt idx="78">
                  <c:v>1.011575</c:v>
                </c:pt>
                <c:pt idx="79">
                  <c:v>1.01184458333333</c:v>
                </c:pt>
                <c:pt idx="80">
                  <c:v>1.01185416666667</c:v>
                </c:pt>
                <c:pt idx="81">
                  <c:v>1.011895</c:v>
                </c:pt>
                <c:pt idx="82">
                  <c:v>1.01190666666667</c:v>
                </c:pt>
                <c:pt idx="83">
                  <c:v>1.01209083333333</c:v>
                </c:pt>
                <c:pt idx="84">
                  <c:v>1.0125</c:v>
                </c:pt>
                <c:pt idx="85">
                  <c:v>1.01253333333333</c:v>
                </c:pt>
                <c:pt idx="86">
                  <c:v>1.01266333333333</c:v>
                </c:pt>
                <c:pt idx="87">
                  <c:v>1.01266666666667</c:v>
                </c:pt>
                <c:pt idx="88">
                  <c:v>1.0128175</c:v>
                </c:pt>
                <c:pt idx="89">
                  <c:v>1.01297291666667</c:v>
                </c:pt>
                <c:pt idx="90">
                  <c:v>1.01335958333333</c:v>
                </c:pt>
                <c:pt idx="91">
                  <c:v>1.01363791666667</c:v>
                </c:pt>
                <c:pt idx="92">
                  <c:v>1.01391666666667</c:v>
                </c:pt>
                <c:pt idx="93">
                  <c:v>1.01408458333333</c:v>
                </c:pt>
                <c:pt idx="94">
                  <c:v>1.01415166666667</c:v>
                </c:pt>
                <c:pt idx="95">
                  <c:v>1.01482666666667</c:v>
                </c:pt>
                <c:pt idx="96">
                  <c:v>1.0149625</c:v>
                </c:pt>
                <c:pt idx="97">
                  <c:v>1.01504166666667</c:v>
                </c:pt>
                <c:pt idx="98">
                  <c:v>1.01509083333333</c:v>
                </c:pt>
                <c:pt idx="99">
                  <c:v>1.01509166666667</c:v>
                </c:pt>
                <c:pt idx="100">
                  <c:v>1.01518916666667</c:v>
                </c:pt>
                <c:pt idx="101">
                  <c:v>1.01522625</c:v>
                </c:pt>
                <c:pt idx="102">
                  <c:v>1.0152475</c:v>
                </c:pt>
                <c:pt idx="103">
                  <c:v>1.0153375</c:v>
                </c:pt>
                <c:pt idx="104">
                  <c:v>1.01548</c:v>
                </c:pt>
                <c:pt idx="105">
                  <c:v>1.0155625</c:v>
                </c:pt>
                <c:pt idx="106">
                  <c:v>1.01556541666667</c:v>
                </c:pt>
                <c:pt idx="107">
                  <c:v>1.01575</c:v>
                </c:pt>
                <c:pt idx="108">
                  <c:v>1.016</c:v>
                </c:pt>
                <c:pt idx="109">
                  <c:v>1.01624416666667</c:v>
                </c:pt>
                <c:pt idx="110">
                  <c:v>1.01671375</c:v>
                </c:pt>
                <c:pt idx="111">
                  <c:v>1.01676</c:v>
                </c:pt>
                <c:pt idx="112">
                  <c:v>1.01679833333333</c:v>
                </c:pt>
                <c:pt idx="113">
                  <c:v>1.01699708333333</c:v>
                </c:pt>
                <c:pt idx="114">
                  <c:v>1.01704166666667</c:v>
                </c:pt>
                <c:pt idx="115">
                  <c:v>1.01727333333333</c:v>
                </c:pt>
                <c:pt idx="116">
                  <c:v>1.0172875</c:v>
                </c:pt>
                <c:pt idx="117">
                  <c:v>1.01743333333333</c:v>
                </c:pt>
                <c:pt idx="118">
                  <c:v>1.01752083333333</c:v>
                </c:pt>
                <c:pt idx="119">
                  <c:v>1.01758916666667</c:v>
                </c:pt>
                <c:pt idx="120">
                  <c:v>1.01783958333333</c:v>
                </c:pt>
                <c:pt idx="121">
                  <c:v>1.01785666666667</c:v>
                </c:pt>
                <c:pt idx="122">
                  <c:v>1.018</c:v>
                </c:pt>
                <c:pt idx="123">
                  <c:v>1.01800416666667</c:v>
                </c:pt>
                <c:pt idx="124">
                  <c:v>1.01833125</c:v>
                </c:pt>
                <c:pt idx="125">
                  <c:v>1.01845625</c:v>
                </c:pt>
                <c:pt idx="126">
                  <c:v>1.01867333333333</c:v>
                </c:pt>
                <c:pt idx="127">
                  <c:v>1.01912</c:v>
                </c:pt>
                <c:pt idx="128">
                  <c:v>1.01932</c:v>
                </c:pt>
                <c:pt idx="129">
                  <c:v>1.01950791666667</c:v>
                </c:pt>
                <c:pt idx="130">
                  <c:v>1.01952</c:v>
                </c:pt>
                <c:pt idx="131">
                  <c:v>1.01989541666667</c:v>
                </c:pt>
                <c:pt idx="132">
                  <c:v>1.02002916666667</c:v>
                </c:pt>
                <c:pt idx="133">
                  <c:v>1.020055</c:v>
                </c:pt>
                <c:pt idx="134">
                  <c:v>1.02010416666667</c:v>
                </c:pt>
                <c:pt idx="135">
                  <c:v>1.02019958333333</c:v>
                </c:pt>
                <c:pt idx="136">
                  <c:v>1.02064583333333</c:v>
                </c:pt>
                <c:pt idx="137">
                  <c:v>1.02065625</c:v>
                </c:pt>
                <c:pt idx="138">
                  <c:v>1.02082666666667</c:v>
                </c:pt>
                <c:pt idx="139">
                  <c:v>1.02085</c:v>
                </c:pt>
                <c:pt idx="140">
                  <c:v>1.02085375</c:v>
                </c:pt>
                <c:pt idx="141">
                  <c:v>1.02095708333333</c:v>
                </c:pt>
                <c:pt idx="142">
                  <c:v>1.02096833333333</c:v>
                </c:pt>
                <c:pt idx="143">
                  <c:v>1.021</c:v>
                </c:pt>
                <c:pt idx="144">
                  <c:v>1.0210475</c:v>
                </c:pt>
                <c:pt idx="145">
                  <c:v>1.0215275</c:v>
                </c:pt>
                <c:pt idx="146">
                  <c:v>1.02182916666667</c:v>
                </c:pt>
                <c:pt idx="147">
                  <c:v>1.02216666666667</c:v>
                </c:pt>
                <c:pt idx="148">
                  <c:v>1.02218958333333</c:v>
                </c:pt>
                <c:pt idx="149">
                  <c:v>1.02231166666667</c:v>
                </c:pt>
                <c:pt idx="150">
                  <c:v>1.0223175</c:v>
                </c:pt>
                <c:pt idx="151">
                  <c:v>1.02235416666667</c:v>
                </c:pt>
                <c:pt idx="152">
                  <c:v>1.022485</c:v>
                </c:pt>
                <c:pt idx="153">
                  <c:v>1.02263208333333</c:v>
                </c:pt>
                <c:pt idx="154">
                  <c:v>1.0230525</c:v>
                </c:pt>
                <c:pt idx="155">
                  <c:v>1.02307833333333</c:v>
                </c:pt>
                <c:pt idx="156">
                  <c:v>1.02308166666667</c:v>
                </c:pt>
                <c:pt idx="157">
                  <c:v>1.02326583333333</c:v>
                </c:pt>
                <c:pt idx="158">
                  <c:v>1.02352083333333</c:v>
                </c:pt>
                <c:pt idx="159">
                  <c:v>1.0235975</c:v>
                </c:pt>
                <c:pt idx="160">
                  <c:v>1.02361125</c:v>
                </c:pt>
                <c:pt idx="161">
                  <c:v>1.02375791666667</c:v>
                </c:pt>
                <c:pt idx="162">
                  <c:v>1.02397708333333</c:v>
                </c:pt>
                <c:pt idx="163">
                  <c:v>1.024</c:v>
                </c:pt>
                <c:pt idx="164">
                  <c:v>1.02410375</c:v>
                </c:pt>
                <c:pt idx="165">
                  <c:v>1.02415125</c:v>
                </c:pt>
                <c:pt idx="166">
                  <c:v>1.02424416666667</c:v>
                </c:pt>
                <c:pt idx="167">
                  <c:v>1.02439583333333</c:v>
                </c:pt>
                <c:pt idx="168">
                  <c:v>1.02442</c:v>
                </c:pt>
                <c:pt idx="169">
                  <c:v>1.02474833333333</c:v>
                </c:pt>
                <c:pt idx="170">
                  <c:v>1.02492666666667</c:v>
                </c:pt>
                <c:pt idx="171">
                  <c:v>1.02510041666667</c:v>
                </c:pt>
                <c:pt idx="172">
                  <c:v>1.02521916666667</c:v>
                </c:pt>
                <c:pt idx="173">
                  <c:v>1.0252725</c:v>
                </c:pt>
                <c:pt idx="174">
                  <c:v>1.02555166666667</c:v>
                </c:pt>
                <c:pt idx="175">
                  <c:v>1.02587833333333</c:v>
                </c:pt>
                <c:pt idx="176">
                  <c:v>1.02607166666667</c:v>
                </c:pt>
                <c:pt idx="177">
                  <c:v>1.02664166666667</c:v>
                </c:pt>
                <c:pt idx="178">
                  <c:v>1.0267025</c:v>
                </c:pt>
                <c:pt idx="179">
                  <c:v>1.02682625</c:v>
                </c:pt>
                <c:pt idx="180">
                  <c:v>1.02688125</c:v>
                </c:pt>
                <c:pt idx="181">
                  <c:v>1.02710916666667</c:v>
                </c:pt>
                <c:pt idx="182">
                  <c:v>1.0272625</c:v>
                </c:pt>
                <c:pt idx="183">
                  <c:v>1.02734541666667</c:v>
                </c:pt>
                <c:pt idx="184">
                  <c:v>1.02737</c:v>
                </c:pt>
                <c:pt idx="185">
                  <c:v>1.02739375</c:v>
                </c:pt>
                <c:pt idx="186">
                  <c:v>1.02741666666667</c:v>
                </c:pt>
                <c:pt idx="187">
                  <c:v>1.02811833333333</c:v>
                </c:pt>
                <c:pt idx="188">
                  <c:v>1.02822666666667</c:v>
                </c:pt>
                <c:pt idx="189">
                  <c:v>1.02825375</c:v>
                </c:pt>
                <c:pt idx="190">
                  <c:v>1.02831083333333</c:v>
                </c:pt>
                <c:pt idx="191">
                  <c:v>1.02861041666667</c:v>
                </c:pt>
                <c:pt idx="192">
                  <c:v>1.02887333333333</c:v>
                </c:pt>
                <c:pt idx="193">
                  <c:v>1.02897833333333</c:v>
                </c:pt>
                <c:pt idx="194">
                  <c:v>1.02932666666667</c:v>
                </c:pt>
                <c:pt idx="195">
                  <c:v>1.02936666666667</c:v>
                </c:pt>
                <c:pt idx="196">
                  <c:v>1.02942666666667</c:v>
                </c:pt>
                <c:pt idx="197">
                  <c:v>1.02949416666667</c:v>
                </c:pt>
                <c:pt idx="198">
                  <c:v>1.02951916666667</c:v>
                </c:pt>
                <c:pt idx="199">
                  <c:v>1.02969375</c:v>
                </c:pt>
                <c:pt idx="200">
                  <c:v>1.0297</c:v>
                </c:pt>
                <c:pt idx="201">
                  <c:v>1.02979583333333</c:v>
                </c:pt>
                <c:pt idx="202">
                  <c:v>1.0299375</c:v>
                </c:pt>
                <c:pt idx="203">
                  <c:v>1.0302575</c:v>
                </c:pt>
                <c:pt idx="204">
                  <c:v>1.03033541666667</c:v>
                </c:pt>
                <c:pt idx="205">
                  <c:v>1.03063583333333</c:v>
                </c:pt>
                <c:pt idx="206">
                  <c:v>1.03072291666667</c:v>
                </c:pt>
                <c:pt idx="207">
                  <c:v>1.0310025</c:v>
                </c:pt>
                <c:pt idx="208">
                  <c:v>1.03106333333333</c:v>
                </c:pt>
                <c:pt idx="209">
                  <c:v>1.03169333333333</c:v>
                </c:pt>
                <c:pt idx="210">
                  <c:v>1.0318</c:v>
                </c:pt>
                <c:pt idx="211">
                  <c:v>1.03180666666667</c:v>
                </c:pt>
                <c:pt idx="212">
                  <c:v>1.0319</c:v>
                </c:pt>
                <c:pt idx="213">
                  <c:v>1.03226166666667</c:v>
                </c:pt>
                <c:pt idx="214">
                  <c:v>1.03254583333333</c:v>
                </c:pt>
                <c:pt idx="215">
                  <c:v>1.03256666666667</c:v>
                </c:pt>
                <c:pt idx="216">
                  <c:v>1.03285041666667</c:v>
                </c:pt>
                <c:pt idx="217">
                  <c:v>1.03289083333333</c:v>
                </c:pt>
                <c:pt idx="218">
                  <c:v>1.03312583333333</c:v>
                </c:pt>
                <c:pt idx="219">
                  <c:v>1.03329125</c:v>
                </c:pt>
                <c:pt idx="220">
                  <c:v>1.033375</c:v>
                </c:pt>
                <c:pt idx="221">
                  <c:v>1.0333925</c:v>
                </c:pt>
                <c:pt idx="222">
                  <c:v>1.03350666666667</c:v>
                </c:pt>
                <c:pt idx="223">
                  <c:v>1.03363291666667</c:v>
                </c:pt>
                <c:pt idx="224">
                  <c:v>1.03379916666667</c:v>
                </c:pt>
                <c:pt idx="225">
                  <c:v>1.03405</c:v>
                </c:pt>
                <c:pt idx="226">
                  <c:v>1.034185</c:v>
                </c:pt>
                <c:pt idx="227">
                  <c:v>1.03425166666667</c:v>
                </c:pt>
                <c:pt idx="228">
                  <c:v>1.03439375</c:v>
                </c:pt>
                <c:pt idx="229">
                  <c:v>1.03441166666667</c:v>
                </c:pt>
                <c:pt idx="230">
                  <c:v>1.03467166666667</c:v>
                </c:pt>
                <c:pt idx="231">
                  <c:v>1.03469</c:v>
                </c:pt>
                <c:pt idx="232">
                  <c:v>1.03476</c:v>
                </c:pt>
                <c:pt idx="233">
                  <c:v>1.03501208333333</c:v>
                </c:pt>
                <c:pt idx="234">
                  <c:v>1.03502291666667</c:v>
                </c:pt>
                <c:pt idx="235">
                  <c:v>1.03533083333333</c:v>
                </c:pt>
                <c:pt idx="236">
                  <c:v>1.03565416666667</c:v>
                </c:pt>
                <c:pt idx="237">
                  <c:v>1.03582333333333</c:v>
                </c:pt>
                <c:pt idx="238">
                  <c:v>1.03619791666667</c:v>
                </c:pt>
                <c:pt idx="239">
                  <c:v>1.03626083333333</c:v>
                </c:pt>
                <c:pt idx="240">
                  <c:v>1.03646125</c:v>
                </c:pt>
                <c:pt idx="241">
                  <c:v>1.03654916666667</c:v>
                </c:pt>
                <c:pt idx="242">
                  <c:v>1.03678333333333</c:v>
                </c:pt>
                <c:pt idx="243">
                  <c:v>1.03698333333333</c:v>
                </c:pt>
                <c:pt idx="244">
                  <c:v>1.03699833333333</c:v>
                </c:pt>
                <c:pt idx="245">
                  <c:v>1.03714</c:v>
                </c:pt>
                <c:pt idx="246">
                  <c:v>1.03730416666667</c:v>
                </c:pt>
                <c:pt idx="247">
                  <c:v>1.03748333333333</c:v>
                </c:pt>
                <c:pt idx="248">
                  <c:v>1.03763958333333</c:v>
                </c:pt>
                <c:pt idx="249">
                  <c:v>1.03766</c:v>
                </c:pt>
                <c:pt idx="250">
                  <c:v>1.03782083333333</c:v>
                </c:pt>
                <c:pt idx="251">
                  <c:v>1.03811583333333</c:v>
                </c:pt>
                <c:pt idx="252">
                  <c:v>1.03822666666667</c:v>
                </c:pt>
                <c:pt idx="253">
                  <c:v>1.03880333333333</c:v>
                </c:pt>
                <c:pt idx="254">
                  <c:v>1.03889916666667</c:v>
                </c:pt>
                <c:pt idx="255">
                  <c:v>1.03912166666667</c:v>
                </c:pt>
                <c:pt idx="256">
                  <c:v>1.03975166666667</c:v>
                </c:pt>
                <c:pt idx="257">
                  <c:v>1.04012208333333</c:v>
                </c:pt>
                <c:pt idx="258">
                  <c:v>1.0403175</c:v>
                </c:pt>
                <c:pt idx="259">
                  <c:v>1.04034208333333</c:v>
                </c:pt>
                <c:pt idx="260">
                  <c:v>1.04114833333333</c:v>
                </c:pt>
                <c:pt idx="261">
                  <c:v>1.04121666666667</c:v>
                </c:pt>
                <c:pt idx="262">
                  <c:v>1.04123125</c:v>
                </c:pt>
                <c:pt idx="263">
                  <c:v>1.04123541666667</c:v>
                </c:pt>
                <c:pt idx="264">
                  <c:v>1.04133541666667</c:v>
                </c:pt>
                <c:pt idx="265">
                  <c:v>1.041405</c:v>
                </c:pt>
                <c:pt idx="266">
                  <c:v>1.04192666666667</c:v>
                </c:pt>
                <c:pt idx="267">
                  <c:v>1.0422175</c:v>
                </c:pt>
                <c:pt idx="268">
                  <c:v>1.04238958333333</c:v>
                </c:pt>
                <c:pt idx="269">
                  <c:v>1.04311166666667</c:v>
                </c:pt>
                <c:pt idx="270">
                  <c:v>1.04336416666667</c:v>
                </c:pt>
                <c:pt idx="271">
                  <c:v>1.0435275</c:v>
                </c:pt>
                <c:pt idx="272">
                  <c:v>1.04353125</c:v>
                </c:pt>
                <c:pt idx="273">
                  <c:v>1.04402833333333</c:v>
                </c:pt>
                <c:pt idx="274">
                  <c:v>1.04438625</c:v>
                </c:pt>
                <c:pt idx="275">
                  <c:v>1.04440625</c:v>
                </c:pt>
                <c:pt idx="276">
                  <c:v>1.04452458333333</c:v>
                </c:pt>
                <c:pt idx="277">
                  <c:v>1.04472958333333</c:v>
                </c:pt>
                <c:pt idx="278">
                  <c:v>1.04500166666667</c:v>
                </c:pt>
                <c:pt idx="279">
                  <c:v>1.045445</c:v>
                </c:pt>
                <c:pt idx="280">
                  <c:v>1.04569166666667</c:v>
                </c:pt>
                <c:pt idx="281">
                  <c:v>1.04576458333333</c:v>
                </c:pt>
                <c:pt idx="282">
                  <c:v>1.04679166666667</c:v>
                </c:pt>
                <c:pt idx="283">
                  <c:v>1.04682083333333</c:v>
                </c:pt>
                <c:pt idx="284">
                  <c:v>1.04727</c:v>
                </c:pt>
                <c:pt idx="285">
                  <c:v>1.04741583333333</c:v>
                </c:pt>
                <c:pt idx="286">
                  <c:v>1.04742291666667</c:v>
                </c:pt>
                <c:pt idx="287">
                  <c:v>1.04752291666667</c:v>
                </c:pt>
                <c:pt idx="288">
                  <c:v>1.04757666666667</c:v>
                </c:pt>
                <c:pt idx="289">
                  <c:v>1.0477</c:v>
                </c:pt>
                <c:pt idx="290">
                  <c:v>1.04818291666667</c:v>
                </c:pt>
                <c:pt idx="291">
                  <c:v>1.04866</c:v>
                </c:pt>
                <c:pt idx="292">
                  <c:v>1.04903791666667</c:v>
                </c:pt>
                <c:pt idx="293">
                  <c:v>1.04928791666667</c:v>
                </c:pt>
                <c:pt idx="294">
                  <c:v>1.04951666666667</c:v>
                </c:pt>
                <c:pt idx="295">
                  <c:v>1.04990208333333</c:v>
                </c:pt>
                <c:pt idx="296">
                  <c:v>1.05013291666667</c:v>
                </c:pt>
                <c:pt idx="297">
                  <c:v>1.05030625</c:v>
                </c:pt>
                <c:pt idx="298">
                  <c:v>1.05033333333333</c:v>
                </c:pt>
                <c:pt idx="299">
                  <c:v>1.05058875</c:v>
                </c:pt>
                <c:pt idx="300">
                  <c:v>1.05148458333333</c:v>
                </c:pt>
                <c:pt idx="301">
                  <c:v>1.051525</c:v>
                </c:pt>
                <c:pt idx="302">
                  <c:v>1.05171333333333</c:v>
                </c:pt>
                <c:pt idx="303">
                  <c:v>1.05174375</c:v>
                </c:pt>
                <c:pt idx="304">
                  <c:v>1.05211333333333</c:v>
                </c:pt>
                <c:pt idx="305">
                  <c:v>1.05228083333333</c:v>
                </c:pt>
                <c:pt idx="306">
                  <c:v>1.05278</c:v>
                </c:pt>
                <c:pt idx="307">
                  <c:v>1.05404833333333</c:v>
                </c:pt>
                <c:pt idx="308">
                  <c:v>1.05471333333333</c:v>
                </c:pt>
                <c:pt idx="309">
                  <c:v>1.0547575</c:v>
                </c:pt>
                <c:pt idx="310">
                  <c:v>1.05495333333333</c:v>
                </c:pt>
                <c:pt idx="311">
                  <c:v>1.05509291666667</c:v>
                </c:pt>
                <c:pt idx="312">
                  <c:v>1.05598333333333</c:v>
                </c:pt>
                <c:pt idx="313">
                  <c:v>1.0560625</c:v>
                </c:pt>
                <c:pt idx="314">
                  <c:v>1.05651666666667</c:v>
                </c:pt>
                <c:pt idx="315">
                  <c:v>1.05715</c:v>
                </c:pt>
                <c:pt idx="316">
                  <c:v>1.05718291666667</c:v>
                </c:pt>
                <c:pt idx="317">
                  <c:v>1.05735333333333</c:v>
                </c:pt>
                <c:pt idx="318">
                  <c:v>1.05751791666667</c:v>
                </c:pt>
                <c:pt idx="319">
                  <c:v>1.05799916666667</c:v>
                </c:pt>
                <c:pt idx="320">
                  <c:v>1.05802416666667</c:v>
                </c:pt>
                <c:pt idx="321">
                  <c:v>1.05812958333333</c:v>
                </c:pt>
                <c:pt idx="322">
                  <c:v>1.05813</c:v>
                </c:pt>
                <c:pt idx="323">
                  <c:v>1.05815</c:v>
                </c:pt>
                <c:pt idx="324">
                  <c:v>1.05857166666667</c:v>
                </c:pt>
                <c:pt idx="325">
                  <c:v>1.05899958333333</c:v>
                </c:pt>
                <c:pt idx="326">
                  <c:v>1.06008708333333</c:v>
                </c:pt>
                <c:pt idx="327">
                  <c:v>1.06116291666667</c:v>
                </c:pt>
                <c:pt idx="328">
                  <c:v>1.0618975</c:v>
                </c:pt>
                <c:pt idx="329">
                  <c:v>1.06192291666667</c:v>
                </c:pt>
                <c:pt idx="330">
                  <c:v>1.0620125</c:v>
                </c:pt>
                <c:pt idx="331">
                  <c:v>1.06201666666667</c:v>
                </c:pt>
                <c:pt idx="332">
                  <c:v>1.06291916666667</c:v>
                </c:pt>
                <c:pt idx="333">
                  <c:v>1.06348333333333</c:v>
                </c:pt>
                <c:pt idx="334">
                  <c:v>1.06412</c:v>
                </c:pt>
                <c:pt idx="335">
                  <c:v>1.06420916666667</c:v>
                </c:pt>
                <c:pt idx="336">
                  <c:v>1.06579583333333</c:v>
                </c:pt>
                <c:pt idx="337">
                  <c:v>1.0659</c:v>
                </c:pt>
                <c:pt idx="338">
                  <c:v>1.06604333333333</c:v>
                </c:pt>
                <c:pt idx="339">
                  <c:v>1.06711666666667</c:v>
                </c:pt>
                <c:pt idx="340">
                  <c:v>1.06765125</c:v>
                </c:pt>
                <c:pt idx="341">
                  <c:v>1.0687125</c:v>
                </c:pt>
                <c:pt idx="342">
                  <c:v>1.06919333333333</c:v>
                </c:pt>
                <c:pt idx="343">
                  <c:v>1.07002083333333</c:v>
                </c:pt>
                <c:pt idx="344">
                  <c:v>1.070415</c:v>
                </c:pt>
                <c:pt idx="345">
                  <c:v>1.07383916666667</c:v>
                </c:pt>
                <c:pt idx="346">
                  <c:v>1.0746125</c:v>
                </c:pt>
                <c:pt idx="347">
                  <c:v>1.07466666666667</c:v>
                </c:pt>
                <c:pt idx="348">
                  <c:v>1.07616708333333</c:v>
                </c:pt>
                <c:pt idx="349">
                  <c:v>1.0771275</c:v>
                </c:pt>
                <c:pt idx="350">
                  <c:v>1.07903291666667</c:v>
                </c:pt>
                <c:pt idx="351">
                  <c:v>1.07980791666667</c:v>
                </c:pt>
                <c:pt idx="352">
                  <c:v>1.08042583333333</c:v>
                </c:pt>
                <c:pt idx="353">
                  <c:v>1.08376666666667</c:v>
                </c:pt>
                <c:pt idx="354">
                  <c:v>1.08780083333333</c:v>
                </c:pt>
                <c:pt idx="355">
                  <c:v>1.13195833333333</c:v>
                </c:pt>
              </c:strCache>
            </c:strRef>
          </c:cat>
          <c:val>
            <c:numRef>
              <c:f>'Ecomonic Values'!$Z$2:$Z$358</c:f>
              <c:numCache>
                <c:formatCode>General</c:formatCode>
                <c:ptCount val="356"/>
                <c:pt idx="0">
                  <c:v>0.155</c:v>
                </c:pt>
                <c:pt idx="1">
                  <c:v>0.105</c:v>
                </c:pt>
                <c:pt idx="2">
                  <c:v>0.18</c:v>
                </c:pt>
                <c:pt idx="3">
                  <c:v>0.18</c:v>
                </c:pt>
                <c:pt idx="4">
                  <c:v>0.16</c:v>
                </c:pt>
                <c:pt idx="5">
                  <c:v>0.2</c:v>
                </c:pt>
                <c:pt idx="6">
                  <c:v>0.13500000000000001</c:v>
                </c:pt>
                <c:pt idx="7">
                  <c:v>0.15</c:v>
                </c:pt>
                <c:pt idx="8">
                  <c:v>0.15</c:v>
                </c:pt>
                <c:pt idx="9">
                  <c:v>0.17</c:v>
                </c:pt>
                <c:pt idx="10">
                  <c:v>0.12</c:v>
                </c:pt>
                <c:pt idx="11">
                  <c:v>0.15</c:v>
                </c:pt>
                <c:pt idx="12">
                  <c:v>0.155</c:v>
                </c:pt>
                <c:pt idx="13">
                  <c:v>0.14499999999999999</c:v>
                </c:pt>
                <c:pt idx="14">
                  <c:v>0.155</c:v>
                </c:pt>
                <c:pt idx="15">
                  <c:v>0.15</c:v>
                </c:pt>
                <c:pt idx="16">
                  <c:v>0.15</c:v>
                </c:pt>
                <c:pt idx="17">
                  <c:v>0.16</c:v>
                </c:pt>
                <c:pt idx="18">
                  <c:v>0.14499999999999999</c:v>
                </c:pt>
                <c:pt idx="19">
                  <c:v>0.17499999999999999</c:v>
                </c:pt>
                <c:pt idx="20">
                  <c:v>0.155</c:v>
                </c:pt>
                <c:pt idx="21">
                  <c:v>0.13500000000000001</c:v>
                </c:pt>
                <c:pt idx="22">
                  <c:v>0.155</c:v>
                </c:pt>
                <c:pt idx="23">
                  <c:v>0.15</c:v>
                </c:pt>
                <c:pt idx="24">
                  <c:v>0.155</c:v>
                </c:pt>
                <c:pt idx="25">
                  <c:v>0.13500000000000001</c:v>
                </c:pt>
                <c:pt idx="26">
                  <c:v>0.17499999999999999</c:v>
                </c:pt>
                <c:pt idx="27">
                  <c:v>0.14499999999999999</c:v>
                </c:pt>
                <c:pt idx="28">
                  <c:v>0.155</c:v>
                </c:pt>
                <c:pt idx="29">
                  <c:v>0.15</c:v>
                </c:pt>
                <c:pt idx="30">
                  <c:v>0.14499999999999999</c:v>
                </c:pt>
                <c:pt idx="31">
                  <c:v>0.155</c:v>
                </c:pt>
                <c:pt idx="32">
                  <c:v>0.15</c:v>
                </c:pt>
                <c:pt idx="33">
                  <c:v>0.18</c:v>
                </c:pt>
                <c:pt idx="34">
                  <c:v>0.14000000000000001</c:v>
                </c:pt>
                <c:pt idx="35">
                  <c:v>0.16</c:v>
                </c:pt>
                <c:pt idx="36">
                  <c:v>0.155</c:v>
                </c:pt>
                <c:pt idx="37">
                  <c:v>0.17499999999999999</c:v>
                </c:pt>
                <c:pt idx="38">
                  <c:v>0.19</c:v>
                </c:pt>
                <c:pt idx="39">
                  <c:v>0.14499999999999999</c:v>
                </c:pt>
                <c:pt idx="40">
                  <c:v>0.17</c:v>
                </c:pt>
                <c:pt idx="41">
                  <c:v>0.185</c:v>
                </c:pt>
                <c:pt idx="42">
                  <c:v>0.14000000000000001</c:v>
                </c:pt>
                <c:pt idx="43">
                  <c:v>0.16</c:v>
                </c:pt>
                <c:pt idx="44">
                  <c:v>0.155</c:v>
                </c:pt>
                <c:pt idx="45">
                  <c:v>0.155</c:v>
                </c:pt>
                <c:pt idx="46">
                  <c:v>0.16</c:v>
                </c:pt>
                <c:pt idx="47">
                  <c:v>0.17499999999999999</c:v>
                </c:pt>
                <c:pt idx="48">
                  <c:v>0.15</c:v>
                </c:pt>
                <c:pt idx="49">
                  <c:v>0.155</c:v>
                </c:pt>
                <c:pt idx="50">
                  <c:v>0.17499999999999999</c:v>
                </c:pt>
                <c:pt idx="51">
                  <c:v>0.15</c:v>
                </c:pt>
                <c:pt idx="52">
                  <c:v>0.14000000000000001</c:v>
                </c:pt>
                <c:pt idx="53">
                  <c:v>0.14499999999999999</c:v>
                </c:pt>
                <c:pt idx="54">
                  <c:v>0.16</c:v>
                </c:pt>
                <c:pt idx="55">
                  <c:v>0.14000000000000001</c:v>
                </c:pt>
                <c:pt idx="56">
                  <c:v>0.14000000000000001</c:v>
                </c:pt>
                <c:pt idx="57">
                  <c:v>0.16</c:v>
                </c:pt>
                <c:pt idx="58">
                  <c:v>0.13</c:v>
                </c:pt>
                <c:pt idx="59">
                  <c:v>0.13500000000000001</c:v>
                </c:pt>
                <c:pt idx="60">
                  <c:v>0.15</c:v>
                </c:pt>
                <c:pt idx="61">
                  <c:v>0.3</c:v>
                </c:pt>
                <c:pt idx="62">
                  <c:v>0.14000000000000001</c:v>
                </c:pt>
                <c:pt idx="63">
                  <c:v>0.18</c:v>
                </c:pt>
                <c:pt idx="64">
                  <c:v>0.14499999999999999</c:v>
                </c:pt>
                <c:pt idx="65">
                  <c:v>0.16</c:v>
                </c:pt>
                <c:pt idx="66">
                  <c:v>0.13500000000000001</c:v>
                </c:pt>
                <c:pt idx="67">
                  <c:v>0.14499999999999999</c:v>
                </c:pt>
                <c:pt idx="68">
                  <c:v>0.13500000000000001</c:v>
                </c:pt>
                <c:pt idx="69">
                  <c:v>0.16</c:v>
                </c:pt>
                <c:pt idx="70">
                  <c:v>0.15</c:v>
                </c:pt>
                <c:pt idx="71">
                  <c:v>0.17</c:v>
                </c:pt>
                <c:pt idx="72">
                  <c:v>0.16500000000000001</c:v>
                </c:pt>
                <c:pt idx="73">
                  <c:v>0.16</c:v>
                </c:pt>
                <c:pt idx="74">
                  <c:v>0.16</c:v>
                </c:pt>
                <c:pt idx="75">
                  <c:v>0.16</c:v>
                </c:pt>
                <c:pt idx="76">
                  <c:v>0.16</c:v>
                </c:pt>
                <c:pt idx="77">
                  <c:v>0.17499999999999999</c:v>
                </c:pt>
                <c:pt idx="78">
                  <c:v>0.14000000000000001</c:v>
                </c:pt>
                <c:pt idx="79">
                  <c:v>0.155</c:v>
                </c:pt>
                <c:pt idx="80">
                  <c:v>0.15</c:v>
                </c:pt>
                <c:pt idx="81">
                  <c:v>0.155</c:v>
                </c:pt>
                <c:pt idx="82">
                  <c:v>0.16</c:v>
                </c:pt>
                <c:pt idx="83">
                  <c:v>0.16500000000000001</c:v>
                </c:pt>
                <c:pt idx="84">
                  <c:v>0.15</c:v>
                </c:pt>
                <c:pt idx="85">
                  <c:v>0.155</c:v>
                </c:pt>
                <c:pt idx="86">
                  <c:v>0.14000000000000001</c:v>
                </c:pt>
                <c:pt idx="87">
                  <c:v>0.155</c:v>
                </c:pt>
                <c:pt idx="88">
                  <c:v>0.16500000000000001</c:v>
                </c:pt>
                <c:pt idx="89">
                  <c:v>0.17499999999999999</c:v>
                </c:pt>
                <c:pt idx="90">
                  <c:v>0.16500000000000001</c:v>
                </c:pt>
                <c:pt idx="91">
                  <c:v>0.13500000000000001</c:v>
                </c:pt>
                <c:pt idx="92">
                  <c:v>0.15</c:v>
                </c:pt>
                <c:pt idx="93">
                  <c:v>0.14499999999999999</c:v>
                </c:pt>
                <c:pt idx="94">
                  <c:v>0.19500000000000001</c:v>
                </c:pt>
                <c:pt idx="95">
                  <c:v>0.16</c:v>
                </c:pt>
                <c:pt idx="96">
                  <c:v>0.17499999999999999</c:v>
                </c:pt>
                <c:pt idx="97">
                  <c:v>0.15</c:v>
                </c:pt>
                <c:pt idx="98">
                  <c:v>0.155</c:v>
                </c:pt>
                <c:pt idx="99">
                  <c:v>0.17499999999999999</c:v>
                </c:pt>
                <c:pt idx="100">
                  <c:v>0.16500000000000001</c:v>
                </c:pt>
                <c:pt idx="101">
                  <c:v>0.16500000000000001</c:v>
                </c:pt>
                <c:pt idx="102">
                  <c:v>0.17</c:v>
                </c:pt>
                <c:pt idx="103">
                  <c:v>0.16500000000000001</c:v>
                </c:pt>
                <c:pt idx="104">
                  <c:v>0.13500000000000001</c:v>
                </c:pt>
                <c:pt idx="105">
                  <c:v>0.15</c:v>
                </c:pt>
                <c:pt idx="106">
                  <c:v>0.16500000000000001</c:v>
                </c:pt>
                <c:pt idx="107">
                  <c:v>0.15</c:v>
                </c:pt>
                <c:pt idx="108">
                  <c:v>0.15</c:v>
                </c:pt>
                <c:pt idx="109">
                  <c:v>0.21</c:v>
                </c:pt>
                <c:pt idx="110">
                  <c:v>0.14499999999999999</c:v>
                </c:pt>
                <c:pt idx="111">
                  <c:v>0.11</c:v>
                </c:pt>
                <c:pt idx="112">
                  <c:v>0.17</c:v>
                </c:pt>
                <c:pt idx="113">
                  <c:v>0.16500000000000001</c:v>
                </c:pt>
                <c:pt idx="114">
                  <c:v>0.15</c:v>
                </c:pt>
                <c:pt idx="115">
                  <c:v>0.16</c:v>
                </c:pt>
                <c:pt idx="116">
                  <c:v>0.185</c:v>
                </c:pt>
                <c:pt idx="117">
                  <c:v>0.17499999999999999</c:v>
                </c:pt>
                <c:pt idx="118">
                  <c:v>0.185</c:v>
                </c:pt>
                <c:pt idx="119">
                  <c:v>0.155</c:v>
                </c:pt>
                <c:pt idx="120">
                  <c:v>0.155</c:v>
                </c:pt>
                <c:pt idx="121">
                  <c:v>0.14000000000000001</c:v>
                </c:pt>
                <c:pt idx="122">
                  <c:v>0.15</c:v>
                </c:pt>
                <c:pt idx="123">
                  <c:v>0.17</c:v>
                </c:pt>
                <c:pt idx="124">
                  <c:v>0.17499999999999999</c:v>
                </c:pt>
                <c:pt idx="125">
                  <c:v>0.17499999999999999</c:v>
                </c:pt>
                <c:pt idx="126">
                  <c:v>0.16</c:v>
                </c:pt>
                <c:pt idx="127">
                  <c:v>0.16</c:v>
                </c:pt>
                <c:pt idx="128">
                  <c:v>0.16</c:v>
                </c:pt>
                <c:pt idx="129">
                  <c:v>0.16500000000000001</c:v>
                </c:pt>
                <c:pt idx="130">
                  <c:v>0.17</c:v>
                </c:pt>
                <c:pt idx="131">
                  <c:v>0.14499999999999999</c:v>
                </c:pt>
                <c:pt idx="132">
                  <c:v>0.17499999999999999</c:v>
                </c:pt>
                <c:pt idx="133">
                  <c:v>0.17</c:v>
                </c:pt>
                <c:pt idx="134">
                  <c:v>0.15</c:v>
                </c:pt>
                <c:pt idx="135">
                  <c:v>0.16500000000000001</c:v>
                </c:pt>
                <c:pt idx="136">
                  <c:v>0.15</c:v>
                </c:pt>
                <c:pt idx="137">
                  <c:v>0.16500000000000001</c:v>
                </c:pt>
                <c:pt idx="138">
                  <c:v>0.16</c:v>
                </c:pt>
                <c:pt idx="139">
                  <c:v>0.16500000000000001</c:v>
                </c:pt>
                <c:pt idx="140">
                  <c:v>0.155</c:v>
                </c:pt>
                <c:pt idx="141">
                  <c:v>0.16500000000000001</c:v>
                </c:pt>
                <c:pt idx="142">
                  <c:v>0.18</c:v>
                </c:pt>
                <c:pt idx="143">
                  <c:v>0.15</c:v>
                </c:pt>
                <c:pt idx="144">
                  <c:v>0.17</c:v>
                </c:pt>
                <c:pt idx="145">
                  <c:v>0.155</c:v>
                </c:pt>
                <c:pt idx="146">
                  <c:v>0.17</c:v>
                </c:pt>
                <c:pt idx="147">
                  <c:v>0.16</c:v>
                </c:pt>
                <c:pt idx="148">
                  <c:v>0.155</c:v>
                </c:pt>
                <c:pt idx="149">
                  <c:v>0.18</c:v>
                </c:pt>
                <c:pt idx="150">
                  <c:v>0.17</c:v>
                </c:pt>
                <c:pt idx="151">
                  <c:v>0.15</c:v>
                </c:pt>
                <c:pt idx="152">
                  <c:v>0.18</c:v>
                </c:pt>
                <c:pt idx="153">
                  <c:v>0.16500000000000001</c:v>
                </c:pt>
                <c:pt idx="154">
                  <c:v>0.16500000000000001</c:v>
                </c:pt>
                <c:pt idx="155">
                  <c:v>0.16500000000000001</c:v>
                </c:pt>
                <c:pt idx="156">
                  <c:v>0.17</c:v>
                </c:pt>
                <c:pt idx="157">
                  <c:v>0.16500000000000001</c:v>
                </c:pt>
                <c:pt idx="158">
                  <c:v>0.15</c:v>
                </c:pt>
                <c:pt idx="159">
                  <c:v>0.17</c:v>
                </c:pt>
                <c:pt idx="160">
                  <c:v>0.16500000000000001</c:v>
                </c:pt>
                <c:pt idx="161">
                  <c:v>0.185</c:v>
                </c:pt>
                <c:pt idx="162">
                  <c:v>0.16500000000000001</c:v>
                </c:pt>
                <c:pt idx="163">
                  <c:v>0.16</c:v>
                </c:pt>
                <c:pt idx="164">
                  <c:v>0.16500000000000001</c:v>
                </c:pt>
                <c:pt idx="165">
                  <c:v>0.16500000000000001</c:v>
                </c:pt>
                <c:pt idx="166">
                  <c:v>0.17</c:v>
                </c:pt>
                <c:pt idx="167">
                  <c:v>0.15</c:v>
                </c:pt>
                <c:pt idx="168">
                  <c:v>0.16</c:v>
                </c:pt>
                <c:pt idx="169">
                  <c:v>0.18</c:v>
                </c:pt>
                <c:pt idx="170">
                  <c:v>0.14000000000000001</c:v>
                </c:pt>
                <c:pt idx="171">
                  <c:v>0.185</c:v>
                </c:pt>
                <c:pt idx="172">
                  <c:v>0.17</c:v>
                </c:pt>
                <c:pt idx="173">
                  <c:v>0.155</c:v>
                </c:pt>
                <c:pt idx="174">
                  <c:v>0.23</c:v>
                </c:pt>
                <c:pt idx="175">
                  <c:v>0.19</c:v>
                </c:pt>
                <c:pt idx="176">
                  <c:v>0.18</c:v>
                </c:pt>
                <c:pt idx="177">
                  <c:v>0.185</c:v>
                </c:pt>
                <c:pt idx="178">
                  <c:v>0.19</c:v>
                </c:pt>
                <c:pt idx="179">
                  <c:v>0.14499999999999999</c:v>
                </c:pt>
                <c:pt idx="180">
                  <c:v>0.17499999999999999</c:v>
                </c:pt>
                <c:pt idx="181">
                  <c:v>0.185</c:v>
                </c:pt>
                <c:pt idx="182">
                  <c:v>0.17499999999999999</c:v>
                </c:pt>
                <c:pt idx="183">
                  <c:v>0.155</c:v>
                </c:pt>
                <c:pt idx="184">
                  <c:v>0.19</c:v>
                </c:pt>
                <c:pt idx="185">
                  <c:v>0.17499999999999999</c:v>
                </c:pt>
                <c:pt idx="186">
                  <c:v>0.14000000000000001</c:v>
                </c:pt>
                <c:pt idx="187">
                  <c:v>0.18</c:v>
                </c:pt>
                <c:pt idx="188">
                  <c:v>0.16</c:v>
                </c:pt>
                <c:pt idx="189">
                  <c:v>0.185</c:v>
                </c:pt>
                <c:pt idx="190">
                  <c:v>0.17</c:v>
                </c:pt>
                <c:pt idx="191">
                  <c:v>0.17499999999999999</c:v>
                </c:pt>
                <c:pt idx="192">
                  <c:v>0.16</c:v>
                </c:pt>
                <c:pt idx="193">
                  <c:v>0.17</c:v>
                </c:pt>
                <c:pt idx="194">
                  <c:v>0.17</c:v>
                </c:pt>
                <c:pt idx="195">
                  <c:v>0.2</c:v>
                </c:pt>
                <c:pt idx="196">
                  <c:v>0.08</c:v>
                </c:pt>
                <c:pt idx="197">
                  <c:v>0.17</c:v>
                </c:pt>
                <c:pt idx="198">
                  <c:v>0.155</c:v>
                </c:pt>
                <c:pt idx="199">
                  <c:v>0.17499999999999999</c:v>
                </c:pt>
                <c:pt idx="200">
                  <c:v>0.16</c:v>
                </c:pt>
                <c:pt idx="201">
                  <c:v>0.17499999999999999</c:v>
                </c:pt>
                <c:pt idx="202">
                  <c:v>0.15</c:v>
                </c:pt>
                <c:pt idx="203">
                  <c:v>0.155</c:v>
                </c:pt>
                <c:pt idx="204">
                  <c:v>0.17499999999999999</c:v>
                </c:pt>
                <c:pt idx="205">
                  <c:v>0.17</c:v>
                </c:pt>
                <c:pt idx="206">
                  <c:v>0.17499999999999999</c:v>
                </c:pt>
                <c:pt idx="207">
                  <c:v>0.16500000000000001</c:v>
                </c:pt>
                <c:pt idx="208">
                  <c:v>0.21</c:v>
                </c:pt>
                <c:pt idx="209">
                  <c:v>0.18</c:v>
                </c:pt>
                <c:pt idx="210">
                  <c:v>0.16</c:v>
                </c:pt>
                <c:pt idx="211">
                  <c:v>0.16</c:v>
                </c:pt>
                <c:pt idx="212">
                  <c:v>0.18</c:v>
                </c:pt>
                <c:pt idx="213">
                  <c:v>0.18</c:v>
                </c:pt>
                <c:pt idx="214">
                  <c:v>0.17499999999999999</c:v>
                </c:pt>
                <c:pt idx="215">
                  <c:v>0.14499999999999999</c:v>
                </c:pt>
                <c:pt idx="216">
                  <c:v>0.155</c:v>
                </c:pt>
                <c:pt idx="217">
                  <c:v>0.17</c:v>
                </c:pt>
                <c:pt idx="218">
                  <c:v>0.16500000000000001</c:v>
                </c:pt>
                <c:pt idx="219">
                  <c:v>0.185</c:v>
                </c:pt>
                <c:pt idx="220">
                  <c:v>0.15</c:v>
                </c:pt>
                <c:pt idx="221">
                  <c:v>0.19</c:v>
                </c:pt>
                <c:pt idx="222">
                  <c:v>0.16</c:v>
                </c:pt>
                <c:pt idx="223">
                  <c:v>0.16500000000000001</c:v>
                </c:pt>
                <c:pt idx="224">
                  <c:v>0.19500000000000001</c:v>
                </c:pt>
                <c:pt idx="225">
                  <c:v>0.2</c:v>
                </c:pt>
                <c:pt idx="226">
                  <c:v>0.155</c:v>
                </c:pt>
                <c:pt idx="227">
                  <c:v>0.155</c:v>
                </c:pt>
                <c:pt idx="228">
                  <c:v>0.19500000000000001</c:v>
                </c:pt>
                <c:pt idx="229">
                  <c:v>0.17</c:v>
                </c:pt>
                <c:pt idx="230">
                  <c:v>0.17</c:v>
                </c:pt>
                <c:pt idx="231">
                  <c:v>0.18</c:v>
                </c:pt>
                <c:pt idx="232">
                  <c:v>0.16</c:v>
                </c:pt>
                <c:pt idx="233">
                  <c:v>0.16500000000000001</c:v>
                </c:pt>
                <c:pt idx="234">
                  <c:v>0.17499999999999999</c:v>
                </c:pt>
                <c:pt idx="235">
                  <c:v>0.19</c:v>
                </c:pt>
                <c:pt idx="236">
                  <c:v>0.17499999999999999</c:v>
                </c:pt>
                <c:pt idx="237">
                  <c:v>0.18</c:v>
                </c:pt>
                <c:pt idx="238">
                  <c:v>0.17499999999999999</c:v>
                </c:pt>
                <c:pt idx="239">
                  <c:v>0.17</c:v>
                </c:pt>
                <c:pt idx="240">
                  <c:v>0.16500000000000001</c:v>
                </c:pt>
                <c:pt idx="241">
                  <c:v>0.155</c:v>
                </c:pt>
                <c:pt idx="242">
                  <c:v>0.2</c:v>
                </c:pt>
                <c:pt idx="243">
                  <c:v>0.2</c:v>
                </c:pt>
                <c:pt idx="244">
                  <c:v>0.16500000000000001</c:v>
                </c:pt>
                <c:pt idx="245">
                  <c:v>0.19500000000000001</c:v>
                </c:pt>
                <c:pt idx="246">
                  <c:v>0.17499999999999999</c:v>
                </c:pt>
                <c:pt idx="247">
                  <c:v>0.17</c:v>
                </c:pt>
                <c:pt idx="248">
                  <c:v>0.17499999999999999</c:v>
                </c:pt>
                <c:pt idx="249">
                  <c:v>0.16</c:v>
                </c:pt>
                <c:pt idx="250">
                  <c:v>0.16500000000000001</c:v>
                </c:pt>
                <c:pt idx="251">
                  <c:v>0.155</c:v>
                </c:pt>
                <c:pt idx="252">
                  <c:v>0.18</c:v>
                </c:pt>
                <c:pt idx="253">
                  <c:v>0.19</c:v>
                </c:pt>
                <c:pt idx="254">
                  <c:v>0.155</c:v>
                </c:pt>
                <c:pt idx="255">
                  <c:v>0.185</c:v>
                </c:pt>
                <c:pt idx="256">
                  <c:v>0.18</c:v>
                </c:pt>
                <c:pt idx="257">
                  <c:v>0.19500000000000001</c:v>
                </c:pt>
                <c:pt idx="258">
                  <c:v>0.17</c:v>
                </c:pt>
                <c:pt idx="259">
                  <c:v>0.14499999999999999</c:v>
                </c:pt>
                <c:pt idx="260">
                  <c:v>0.155</c:v>
                </c:pt>
                <c:pt idx="261">
                  <c:v>0.18</c:v>
                </c:pt>
                <c:pt idx="262">
                  <c:v>0.17499999999999999</c:v>
                </c:pt>
                <c:pt idx="263">
                  <c:v>0.155</c:v>
                </c:pt>
                <c:pt idx="264">
                  <c:v>0.17499999999999999</c:v>
                </c:pt>
                <c:pt idx="265">
                  <c:v>0.155</c:v>
                </c:pt>
                <c:pt idx="266">
                  <c:v>0.18</c:v>
                </c:pt>
                <c:pt idx="267">
                  <c:v>0.185</c:v>
                </c:pt>
                <c:pt idx="268">
                  <c:v>0.17499999999999999</c:v>
                </c:pt>
                <c:pt idx="269">
                  <c:v>0.19500000000000001</c:v>
                </c:pt>
                <c:pt idx="270">
                  <c:v>0.17</c:v>
                </c:pt>
                <c:pt idx="271">
                  <c:v>0.155</c:v>
                </c:pt>
                <c:pt idx="272">
                  <c:v>0.17499999999999999</c:v>
                </c:pt>
                <c:pt idx="273">
                  <c:v>0.155</c:v>
                </c:pt>
                <c:pt idx="274">
                  <c:v>0.185</c:v>
                </c:pt>
                <c:pt idx="275">
                  <c:v>0.185</c:v>
                </c:pt>
                <c:pt idx="276">
                  <c:v>0.16500000000000001</c:v>
                </c:pt>
                <c:pt idx="277">
                  <c:v>0.16500000000000001</c:v>
                </c:pt>
                <c:pt idx="278">
                  <c:v>0.18</c:v>
                </c:pt>
                <c:pt idx="279">
                  <c:v>0.19</c:v>
                </c:pt>
                <c:pt idx="280">
                  <c:v>0.19</c:v>
                </c:pt>
                <c:pt idx="281">
                  <c:v>0.19500000000000001</c:v>
                </c:pt>
                <c:pt idx="282">
                  <c:v>0.15</c:v>
                </c:pt>
                <c:pt idx="283">
                  <c:v>0.17499999999999999</c:v>
                </c:pt>
                <c:pt idx="284">
                  <c:v>0.18</c:v>
                </c:pt>
                <c:pt idx="285">
                  <c:v>0.185</c:v>
                </c:pt>
                <c:pt idx="286">
                  <c:v>0.17499999999999999</c:v>
                </c:pt>
                <c:pt idx="287">
                  <c:v>0.185</c:v>
                </c:pt>
                <c:pt idx="288">
                  <c:v>0.19500000000000001</c:v>
                </c:pt>
                <c:pt idx="289">
                  <c:v>0.2</c:v>
                </c:pt>
                <c:pt idx="290">
                  <c:v>0.19500000000000001</c:v>
                </c:pt>
                <c:pt idx="291">
                  <c:v>0.16</c:v>
                </c:pt>
                <c:pt idx="292">
                  <c:v>0.16500000000000001</c:v>
                </c:pt>
                <c:pt idx="293">
                  <c:v>0.19500000000000001</c:v>
                </c:pt>
                <c:pt idx="294">
                  <c:v>0.2</c:v>
                </c:pt>
                <c:pt idx="295">
                  <c:v>0.17499999999999999</c:v>
                </c:pt>
                <c:pt idx="296">
                  <c:v>0.155</c:v>
                </c:pt>
                <c:pt idx="297">
                  <c:v>0.17499999999999999</c:v>
                </c:pt>
                <c:pt idx="298">
                  <c:v>0.2</c:v>
                </c:pt>
                <c:pt idx="299">
                  <c:v>0.20499999999999999</c:v>
                </c:pt>
                <c:pt idx="300">
                  <c:v>0.20499999999999999</c:v>
                </c:pt>
                <c:pt idx="301">
                  <c:v>0.19500000000000001</c:v>
                </c:pt>
                <c:pt idx="302">
                  <c:v>0.17</c:v>
                </c:pt>
                <c:pt idx="303">
                  <c:v>0.20499999999999999</c:v>
                </c:pt>
                <c:pt idx="304">
                  <c:v>0.17</c:v>
                </c:pt>
                <c:pt idx="305">
                  <c:v>0.19</c:v>
                </c:pt>
                <c:pt idx="306">
                  <c:v>0.19</c:v>
                </c:pt>
                <c:pt idx="307">
                  <c:v>0.19</c:v>
                </c:pt>
                <c:pt idx="308">
                  <c:v>0.20499999999999999</c:v>
                </c:pt>
                <c:pt idx="309">
                  <c:v>0.21</c:v>
                </c:pt>
                <c:pt idx="310">
                  <c:v>0.18</c:v>
                </c:pt>
                <c:pt idx="311">
                  <c:v>0.19500000000000001</c:v>
                </c:pt>
                <c:pt idx="312">
                  <c:v>0.185</c:v>
                </c:pt>
                <c:pt idx="313">
                  <c:v>0.16500000000000001</c:v>
                </c:pt>
                <c:pt idx="314">
                  <c:v>0.2</c:v>
                </c:pt>
                <c:pt idx="315">
                  <c:v>0.2</c:v>
                </c:pt>
                <c:pt idx="316">
                  <c:v>0.185</c:v>
                </c:pt>
                <c:pt idx="317">
                  <c:v>0.22</c:v>
                </c:pt>
                <c:pt idx="318">
                  <c:v>0.19500000000000001</c:v>
                </c:pt>
                <c:pt idx="319">
                  <c:v>0.19</c:v>
                </c:pt>
                <c:pt idx="320">
                  <c:v>0.19</c:v>
                </c:pt>
                <c:pt idx="321">
                  <c:v>0.19500000000000001</c:v>
                </c:pt>
                <c:pt idx="322">
                  <c:v>0.17</c:v>
                </c:pt>
                <c:pt idx="323">
                  <c:v>0.2</c:v>
                </c:pt>
                <c:pt idx="324">
                  <c:v>0.23</c:v>
                </c:pt>
                <c:pt idx="325">
                  <c:v>0.19500000000000001</c:v>
                </c:pt>
                <c:pt idx="326">
                  <c:v>0.185</c:v>
                </c:pt>
                <c:pt idx="327">
                  <c:v>0.19500000000000001</c:v>
                </c:pt>
                <c:pt idx="328">
                  <c:v>0.185</c:v>
                </c:pt>
                <c:pt idx="329">
                  <c:v>0.17499999999999999</c:v>
                </c:pt>
                <c:pt idx="330">
                  <c:v>0.19</c:v>
                </c:pt>
                <c:pt idx="331">
                  <c:v>0.18</c:v>
                </c:pt>
                <c:pt idx="332">
                  <c:v>0.19500000000000001</c:v>
                </c:pt>
                <c:pt idx="333">
                  <c:v>0.2</c:v>
                </c:pt>
                <c:pt idx="334">
                  <c:v>0.185</c:v>
                </c:pt>
                <c:pt idx="335">
                  <c:v>0.21</c:v>
                </c:pt>
                <c:pt idx="336">
                  <c:v>0.17</c:v>
                </c:pt>
                <c:pt idx="337">
                  <c:v>0.2</c:v>
                </c:pt>
                <c:pt idx="338">
                  <c:v>0.19</c:v>
                </c:pt>
                <c:pt idx="339">
                  <c:v>0.2</c:v>
                </c:pt>
                <c:pt idx="340">
                  <c:v>0.185</c:v>
                </c:pt>
                <c:pt idx="341">
                  <c:v>0.22500000000000001</c:v>
                </c:pt>
                <c:pt idx="342">
                  <c:v>0.21</c:v>
                </c:pt>
                <c:pt idx="343">
                  <c:v>0.17499999999999999</c:v>
                </c:pt>
                <c:pt idx="344">
                  <c:v>0.18</c:v>
                </c:pt>
                <c:pt idx="345">
                  <c:v>0.20499999999999999</c:v>
                </c:pt>
                <c:pt idx="346">
                  <c:v>0.23</c:v>
                </c:pt>
                <c:pt idx="347">
                  <c:v>0.2</c:v>
                </c:pt>
                <c:pt idx="348">
                  <c:v>0.20499999999999999</c:v>
                </c:pt>
                <c:pt idx="349">
                  <c:v>0.215</c:v>
                </c:pt>
                <c:pt idx="350">
                  <c:v>0.20499999999999999</c:v>
                </c:pt>
                <c:pt idx="351">
                  <c:v>0.20499999999999999</c:v>
                </c:pt>
                <c:pt idx="352">
                  <c:v>0.185</c:v>
                </c:pt>
                <c:pt idx="353">
                  <c:v>0.2</c:v>
                </c:pt>
                <c:pt idx="354">
                  <c:v>0.215</c:v>
                </c:pt>
                <c:pt idx="355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616-4F2F-895D-22549FC17AFD}"/>
            </c:ext>
          </c:extLst>
        </c:ser>
        <c:ser>
          <c:idx val="4"/>
          <c:order val="4"/>
          <c:tx>
            <c:strRef>
              <c:f>'Ecomonic Values'!$AA$1</c:f>
              <c:strCache>
                <c:ptCount val="1"/>
                <c:pt idx="0">
                  <c:v>Sum of Whole_weight</c:v>
                </c:pt>
              </c:strCache>
            </c:strRef>
          </c:tx>
          <c:spPr>
            <a:noFill/>
            <a:ln w="9525" cap="flat" cmpd="sng" algn="ctr">
              <a:solidFill>
                <a:schemeClr val="accent5"/>
              </a:solidFill>
              <a:miter lim="800000"/>
            </a:ln>
            <a:effectLst>
              <a:glow rad="63500">
                <a:schemeClr val="accent5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'Ecomonic Values'!$V$2:$V$358</c:f>
              <c:strCache>
                <c:ptCount val="356"/>
                <c:pt idx="0">
                  <c:v>0.941315833333333</c:v>
                </c:pt>
                <c:pt idx="1">
                  <c:v>0.963793333333333</c:v>
                </c:pt>
                <c:pt idx="2">
                  <c:v>0.965635</c:v>
                </c:pt>
                <c:pt idx="3">
                  <c:v>0.966938333333333</c:v>
                </c:pt>
                <c:pt idx="4">
                  <c:v>0.969713333333333</c:v>
                </c:pt>
                <c:pt idx="5">
                  <c:v>0.974733333333333</c:v>
                </c:pt>
                <c:pt idx="6">
                  <c:v>0.977062083333333</c:v>
                </c:pt>
                <c:pt idx="7">
                  <c:v>0.977645833333333</c:v>
                </c:pt>
                <c:pt idx="8">
                  <c:v>0.984208333333333</c:v>
                </c:pt>
                <c:pt idx="9">
                  <c:v>0.984926666666667</c:v>
                </c:pt>
                <c:pt idx="10">
                  <c:v>0.984963333333333</c:v>
                </c:pt>
                <c:pt idx="11">
                  <c:v>0.986166666666667</c:v>
                </c:pt>
                <c:pt idx="12">
                  <c:v>0.987887083333333</c:v>
                </c:pt>
                <c:pt idx="13">
                  <c:v>0.98883875</c:v>
                </c:pt>
                <c:pt idx="14">
                  <c:v>0.989372916666667</c:v>
                </c:pt>
                <c:pt idx="15">
                  <c:v>0.990229166666667</c:v>
                </c:pt>
                <c:pt idx="16">
                  <c:v>0.990291666666667</c:v>
                </c:pt>
                <c:pt idx="17">
                  <c:v>0.9906</c:v>
                </c:pt>
                <c:pt idx="18">
                  <c:v>0.99087875</c:v>
                </c:pt>
                <c:pt idx="19">
                  <c:v>0.991964583333333</c:v>
                </c:pt>
                <c:pt idx="20">
                  <c:v>0.992190416666667</c:v>
                </c:pt>
                <c:pt idx="21">
                  <c:v>0.99247</c:v>
                </c:pt>
                <c:pt idx="22">
                  <c:v>0.992778333333333</c:v>
                </c:pt>
                <c:pt idx="23">
                  <c:v>0.9935625</c:v>
                </c:pt>
                <c:pt idx="24">
                  <c:v>0.993704583333333</c:v>
                </c:pt>
                <c:pt idx="25">
                  <c:v>0.993815833333333</c:v>
                </c:pt>
                <c:pt idx="26">
                  <c:v>0.99404375</c:v>
                </c:pt>
                <c:pt idx="27">
                  <c:v>0.994202916666667</c:v>
                </c:pt>
                <c:pt idx="28">
                  <c:v>0.994577083333333</c:v>
                </c:pt>
                <c:pt idx="29">
                  <c:v>0.995541666666667</c:v>
                </c:pt>
                <c:pt idx="30">
                  <c:v>0.9961125</c:v>
                </c:pt>
                <c:pt idx="31">
                  <c:v>0.996637083333333</c:v>
                </c:pt>
                <c:pt idx="32">
                  <c:v>0.997375</c:v>
                </c:pt>
                <c:pt idx="33">
                  <c:v>0.997516666666667</c:v>
                </c:pt>
                <c:pt idx="34">
                  <c:v>0.997666666666667</c:v>
                </c:pt>
                <c:pt idx="35">
                  <c:v>0.999873333333333</c:v>
                </c:pt>
                <c:pt idx="36">
                  <c:v>1.0004025</c:v>
                </c:pt>
                <c:pt idx="37">
                  <c:v>1.00047708333333</c:v>
                </c:pt>
                <c:pt idx="38">
                  <c:v>1.00103666666667</c:v>
                </c:pt>
                <c:pt idx="39">
                  <c:v>1.00103958333333</c:v>
                </c:pt>
                <c:pt idx="40">
                  <c:v>1.00116666666667</c:v>
                </c:pt>
                <c:pt idx="41">
                  <c:v>1.00160416666667</c:v>
                </c:pt>
                <c:pt idx="42">
                  <c:v>1.002015</c:v>
                </c:pt>
                <c:pt idx="43">
                  <c:v>1.00230666666667</c:v>
                </c:pt>
                <c:pt idx="44">
                  <c:v>1.00246125</c:v>
                </c:pt>
                <c:pt idx="45">
                  <c:v>1.00247958333333</c:v>
                </c:pt>
                <c:pt idx="46">
                  <c:v>1.00253333333333</c:v>
                </c:pt>
                <c:pt idx="47">
                  <c:v>1.00271875</c:v>
                </c:pt>
                <c:pt idx="48">
                  <c:v>1.00283333333333</c:v>
                </c:pt>
                <c:pt idx="49">
                  <c:v>1.00295666666667</c:v>
                </c:pt>
                <c:pt idx="50">
                  <c:v>1.00328333333333</c:v>
                </c:pt>
                <c:pt idx="51">
                  <c:v>1.00345833333333</c:v>
                </c:pt>
                <c:pt idx="52">
                  <c:v>1.00377</c:v>
                </c:pt>
                <c:pt idx="53">
                  <c:v>1.0040025</c:v>
                </c:pt>
                <c:pt idx="54">
                  <c:v>1.00432</c:v>
                </c:pt>
                <c:pt idx="55">
                  <c:v>1.00510333333333</c:v>
                </c:pt>
                <c:pt idx="56">
                  <c:v>1.00515333333333</c:v>
                </c:pt>
                <c:pt idx="57">
                  <c:v>1.00544</c:v>
                </c:pt>
                <c:pt idx="58">
                  <c:v>1.00565916666667</c:v>
                </c:pt>
                <c:pt idx="59">
                  <c:v>1.00576833333333</c:v>
                </c:pt>
                <c:pt idx="60">
                  <c:v>1.00583333333333</c:v>
                </c:pt>
                <c:pt idx="61">
                  <c:v>1.00591666666667</c:v>
                </c:pt>
                <c:pt idx="62">
                  <c:v>1.00651833333333</c:v>
                </c:pt>
                <c:pt idx="63">
                  <c:v>1.00670666666667</c:v>
                </c:pt>
                <c:pt idx="64">
                  <c:v>1.00681125</c:v>
                </c:pt>
                <c:pt idx="65">
                  <c:v>1.00764666666667</c:v>
                </c:pt>
                <c:pt idx="66">
                  <c:v>1.00767791666667</c:v>
                </c:pt>
                <c:pt idx="67">
                  <c:v>1.00790375</c:v>
                </c:pt>
                <c:pt idx="68">
                  <c:v>1.00796375</c:v>
                </c:pt>
                <c:pt idx="69">
                  <c:v>1.00890666666667</c:v>
                </c:pt>
                <c:pt idx="70">
                  <c:v>1.00891666666667</c:v>
                </c:pt>
                <c:pt idx="71">
                  <c:v>1.00935</c:v>
                </c:pt>
                <c:pt idx="72">
                  <c:v>1.009445</c:v>
                </c:pt>
                <c:pt idx="73">
                  <c:v>1.00954</c:v>
                </c:pt>
                <c:pt idx="74">
                  <c:v>1.00968</c:v>
                </c:pt>
                <c:pt idx="75">
                  <c:v>1.01094</c:v>
                </c:pt>
                <c:pt idx="76">
                  <c:v>1.01134</c:v>
                </c:pt>
                <c:pt idx="77">
                  <c:v>1.01152083333333</c:v>
                </c:pt>
                <c:pt idx="78">
                  <c:v>1.011575</c:v>
                </c:pt>
                <c:pt idx="79">
                  <c:v>1.01184458333333</c:v>
                </c:pt>
                <c:pt idx="80">
                  <c:v>1.01185416666667</c:v>
                </c:pt>
                <c:pt idx="81">
                  <c:v>1.011895</c:v>
                </c:pt>
                <c:pt idx="82">
                  <c:v>1.01190666666667</c:v>
                </c:pt>
                <c:pt idx="83">
                  <c:v>1.01209083333333</c:v>
                </c:pt>
                <c:pt idx="84">
                  <c:v>1.0125</c:v>
                </c:pt>
                <c:pt idx="85">
                  <c:v>1.01253333333333</c:v>
                </c:pt>
                <c:pt idx="86">
                  <c:v>1.01266333333333</c:v>
                </c:pt>
                <c:pt idx="87">
                  <c:v>1.01266666666667</c:v>
                </c:pt>
                <c:pt idx="88">
                  <c:v>1.0128175</c:v>
                </c:pt>
                <c:pt idx="89">
                  <c:v>1.01297291666667</c:v>
                </c:pt>
                <c:pt idx="90">
                  <c:v>1.01335958333333</c:v>
                </c:pt>
                <c:pt idx="91">
                  <c:v>1.01363791666667</c:v>
                </c:pt>
                <c:pt idx="92">
                  <c:v>1.01391666666667</c:v>
                </c:pt>
                <c:pt idx="93">
                  <c:v>1.01408458333333</c:v>
                </c:pt>
                <c:pt idx="94">
                  <c:v>1.01415166666667</c:v>
                </c:pt>
                <c:pt idx="95">
                  <c:v>1.01482666666667</c:v>
                </c:pt>
                <c:pt idx="96">
                  <c:v>1.0149625</c:v>
                </c:pt>
                <c:pt idx="97">
                  <c:v>1.01504166666667</c:v>
                </c:pt>
                <c:pt idx="98">
                  <c:v>1.01509083333333</c:v>
                </c:pt>
                <c:pt idx="99">
                  <c:v>1.01509166666667</c:v>
                </c:pt>
                <c:pt idx="100">
                  <c:v>1.01518916666667</c:v>
                </c:pt>
                <c:pt idx="101">
                  <c:v>1.01522625</c:v>
                </c:pt>
                <c:pt idx="102">
                  <c:v>1.0152475</c:v>
                </c:pt>
                <c:pt idx="103">
                  <c:v>1.0153375</c:v>
                </c:pt>
                <c:pt idx="104">
                  <c:v>1.01548</c:v>
                </c:pt>
                <c:pt idx="105">
                  <c:v>1.0155625</c:v>
                </c:pt>
                <c:pt idx="106">
                  <c:v>1.01556541666667</c:v>
                </c:pt>
                <c:pt idx="107">
                  <c:v>1.01575</c:v>
                </c:pt>
                <c:pt idx="108">
                  <c:v>1.016</c:v>
                </c:pt>
                <c:pt idx="109">
                  <c:v>1.01624416666667</c:v>
                </c:pt>
                <c:pt idx="110">
                  <c:v>1.01671375</c:v>
                </c:pt>
                <c:pt idx="111">
                  <c:v>1.01676</c:v>
                </c:pt>
                <c:pt idx="112">
                  <c:v>1.01679833333333</c:v>
                </c:pt>
                <c:pt idx="113">
                  <c:v>1.01699708333333</c:v>
                </c:pt>
                <c:pt idx="114">
                  <c:v>1.01704166666667</c:v>
                </c:pt>
                <c:pt idx="115">
                  <c:v>1.01727333333333</c:v>
                </c:pt>
                <c:pt idx="116">
                  <c:v>1.0172875</c:v>
                </c:pt>
                <c:pt idx="117">
                  <c:v>1.01743333333333</c:v>
                </c:pt>
                <c:pt idx="118">
                  <c:v>1.01752083333333</c:v>
                </c:pt>
                <c:pt idx="119">
                  <c:v>1.01758916666667</c:v>
                </c:pt>
                <c:pt idx="120">
                  <c:v>1.01783958333333</c:v>
                </c:pt>
                <c:pt idx="121">
                  <c:v>1.01785666666667</c:v>
                </c:pt>
                <c:pt idx="122">
                  <c:v>1.018</c:v>
                </c:pt>
                <c:pt idx="123">
                  <c:v>1.01800416666667</c:v>
                </c:pt>
                <c:pt idx="124">
                  <c:v>1.01833125</c:v>
                </c:pt>
                <c:pt idx="125">
                  <c:v>1.01845625</c:v>
                </c:pt>
                <c:pt idx="126">
                  <c:v>1.01867333333333</c:v>
                </c:pt>
                <c:pt idx="127">
                  <c:v>1.01912</c:v>
                </c:pt>
                <c:pt idx="128">
                  <c:v>1.01932</c:v>
                </c:pt>
                <c:pt idx="129">
                  <c:v>1.01950791666667</c:v>
                </c:pt>
                <c:pt idx="130">
                  <c:v>1.01952</c:v>
                </c:pt>
                <c:pt idx="131">
                  <c:v>1.01989541666667</c:v>
                </c:pt>
                <c:pt idx="132">
                  <c:v>1.02002916666667</c:v>
                </c:pt>
                <c:pt idx="133">
                  <c:v>1.020055</c:v>
                </c:pt>
                <c:pt idx="134">
                  <c:v>1.02010416666667</c:v>
                </c:pt>
                <c:pt idx="135">
                  <c:v>1.02019958333333</c:v>
                </c:pt>
                <c:pt idx="136">
                  <c:v>1.02064583333333</c:v>
                </c:pt>
                <c:pt idx="137">
                  <c:v>1.02065625</c:v>
                </c:pt>
                <c:pt idx="138">
                  <c:v>1.02082666666667</c:v>
                </c:pt>
                <c:pt idx="139">
                  <c:v>1.02085</c:v>
                </c:pt>
                <c:pt idx="140">
                  <c:v>1.02085375</c:v>
                </c:pt>
                <c:pt idx="141">
                  <c:v>1.02095708333333</c:v>
                </c:pt>
                <c:pt idx="142">
                  <c:v>1.02096833333333</c:v>
                </c:pt>
                <c:pt idx="143">
                  <c:v>1.021</c:v>
                </c:pt>
                <c:pt idx="144">
                  <c:v>1.0210475</c:v>
                </c:pt>
                <c:pt idx="145">
                  <c:v>1.0215275</c:v>
                </c:pt>
                <c:pt idx="146">
                  <c:v>1.02182916666667</c:v>
                </c:pt>
                <c:pt idx="147">
                  <c:v>1.02216666666667</c:v>
                </c:pt>
                <c:pt idx="148">
                  <c:v>1.02218958333333</c:v>
                </c:pt>
                <c:pt idx="149">
                  <c:v>1.02231166666667</c:v>
                </c:pt>
                <c:pt idx="150">
                  <c:v>1.0223175</c:v>
                </c:pt>
                <c:pt idx="151">
                  <c:v>1.02235416666667</c:v>
                </c:pt>
                <c:pt idx="152">
                  <c:v>1.022485</c:v>
                </c:pt>
                <c:pt idx="153">
                  <c:v>1.02263208333333</c:v>
                </c:pt>
                <c:pt idx="154">
                  <c:v>1.0230525</c:v>
                </c:pt>
                <c:pt idx="155">
                  <c:v>1.02307833333333</c:v>
                </c:pt>
                <c:pt idx="156">
                  <c:v>1.02308166666667</c:v>
                </c:pt>
                <c:pt idx="157">
                  <c:v>1.02326583333333</c:v>
                </c:pt>
                <c:pt idx="158">
                  <c:v>1.02352083333333</c:v>
                </c:pt>
                <c:pt idx="159">
                  <c:v>1.0235975</c:v>
                </c:pt>
                <c:pt idx="160">
                  <c:v>1.02361125</c:v>
                </c:pt>
                <c:pt idx="161">
                  <c:v>1.02375791666667</c:v>
                </c:pt>
                <c:pt idx="162">
                  <c:v>1.02397708333333</c:v>
                </c:pt>
                <c:pt idx="163">
                  <c:v>1.024</c:v>
                </c:pt>
                <c:pt idx="164">
                  <c:v>1.02410375</c:v>
                </c:pt>
                <c:pt idx="165">
                  <c:v>1.02415125</c:v>
                </c:pt>
                <c:pt idx="166">
                  <c:v>1.02424416666667</c:v>
                </c:pt>
                <c:pt idx="167">
                  <c:v>1.02439583333333</c:v>
                </c:pt>
                <c:pt idx="168">
                  <c:v>1.02442</c:v>
                </c:pt>
                <c:pt idx="169">
                  <c:v>1.02474833333333</c:v>
                </c:pt>
                <c:pt idx="170">
                  <c:v>1.02492666666667</c:v>
                </c:pt>
                <c:pt idx="171">
                  <c:v>1.02510041666667</c:v>
                </c:pt>
                <c:pt idx="172">
                  <c:v>1.02521916666667</c:v>
                </c:pt>
                <c:pt idx="173">
                  <c:v>1.0252725</c:v>
                </c:pt>
                <c:pt idx="174">
                  <c:v>1.02555166666667</c:v>
                </c:pt>
                <c:pt idx="175">
                  <c:v>1.02587833333333</c:v>
                </c:pt>
                <c:pt idx="176">
                  <c:v>1.02607166666667</c:v>
                </c:pt>
                <c:pt idx="177">
                  <c:v>1.02664166666667</c:v>
                </c:pt>
                <c:pt idx="178">
                  <c:v>1.0267025</c:v>
                </c:pt>
                <c:pt idx="179">
                  <c:v>1.02682625</c:v>
                </c:pt>
                <c:pt idx="180">
                  <c:v>1.02688125</c:v>
                </c:pt>
                <c:pt idx="181">
                  <c:v>1.02710916666667</c:v>
                </c:pt>
                <c:pt idx="182">
                  <c:v>1.0272625</c:v>
                </c:pt>
                <c:pt idx="183">
                  <c:v>1.02734541666667</c:v>
                </c:pt>
                <c:pt idx="184">
                  <c:v>1.02737</c:v>
                </c:pt>
                <c:pt idx="185">
                  <c:v>1.02739375</c:v>
                </c:pt>
                <c:pt idx="186">
                  <c:v>1.02741666666667</c:v>
                </c:pt>
                <c:pt idx="187">
                  <c:v>1.02811833333333</c:v>
                </c:pt>
                <c:pt idx="188">
                  <c:v>1.02822666666667</c:v>
                </c:pt>
                <c:pt idx="189">
                  <c:v>1.02825375</c:v>
                </c:pt>
                <c:pt idx="190">
                  <c:v>1.02831083333333</c:v>
                </c:pt>
                <c:pt idx="191">
                  <c:v>1.02861041666667</c:v>
                </c:pt>
                <c:pt idx="192">
                  <c:v>1.02887333333333</c:v>
                </c:pt>
                <c:pt idx="193">
                  <c:v>1.02897833333333</c:v>
                </c:pt>
                <c:pt idx="194">
                  <c:v>1.02932666666667</c:v>
                </c:pt>
                <c:pt idx="195">
                  <c:v>1.02936666666667</c:v>
                </c:pt>
                <c:pt idx="196">
                  <c:v>1.02942666666667</c:v>
                </c:pt>
                <c:pt idx="197">
                  <c:v>1.02949416666667</c:v>
                </c:pt>
                <c:pt idx="198">
                  <c:v>1.02951916666667</c:v>
                </c:pt>
                <c:pt idx="199">
                  <c:v>1.02969375</c:v>
                </c:pt>
                <c:pt idx="200">
                  <c:v>1.0297</c:v>
                </c:pt>
                <c:pt idx="201">
                  <c:v>1.02979583333333</c:v>
                </c:pt>
                <c:pt idx="202">
                  <c:v>1.0299375</c:v>
                </c:pt>
                <c:pt idx="203">
                  <c:v>1.0302575</c:v>
                </c:pt>
                <c:pt idx="204">
                  <c:v>1.03033541666667</c:v>
                </c:pt>
                <c:pt idx="205">
                  <c:v>1.03063583333333</c:v>
                </c:pt>
                <c:pt idx="206">
                  <c:v>1.03072291666667</c:v>
                </c:pt>
                <c:pt idx="207">
                  <c:v>1.0310025</c:v>
                </c:pt>
                <c:pt idx="208">
                  <c:v>1.03106333333333</c:v>
                </c:pt>
                <c:pt idx="209">
                  <c:v>1.03169333333333</c:v>
                </c:pt>
                <c:pt idx="210">
                  <c:v>1.0318</c:v>
                </c:pt>
                <c:pt idx="211">
                  <c:v>1.03180666666667</c:v>
                </c:pt>
                <c:pt idx="212">
                  <c:v>1.0319</c:v>
                </c:pt>
                <c:pt idx="213">
                  <c:v>1.03226166666667</c:v>
                </c:pt>
                <c:pt idx="214">
                  <c:v>1.03254583333333</c:v>
                </c:pt>
                <c:pt idx="215">
                  <c:v>1.03256666666667</c:v>
                </c:pt>
                <c:pt idx="216">
                  <c:v>1.03285041666667</c:v>
                </c:pt>
                <c:pt idx="217">
                  <c:v>1.03289083333333</c:v>
                </c:pt>
                <c:pt idx="218">
                  <c:v>1.03312583333333</c:v>
                </c:pt>
                <c:pt idx="219">
                  <c:v>1.03329125</c:v>
                </c:pt>
                <c:pt idx="220">
                  <c:v>1.033375</c:v>
                </c:pt>
                <c:pt idx="221">
                  <c:v>1.0333925</c:v>
                </c:pt>
                <c:pt idx="222">
                  <c:v>1.03350666666667</c:v>
                </c:pt>
                <c:pt idx="223">
                  <c:v>1.03363291666667</c:v>
                </c:pt>
                <c:pt idx="224">
                  <c:v>1.03379916666667</c:v>
                </c:pt>
                <c:pt idx="225">
                  <c:v>1.03405</c:v>
                </c:pt>
                <c:pt idx="226">
                  <c:v>1.034185</c:v>
                </c:pt>
                <c:pt idx="227">
                  <c:v>1.03425166666667</c:v>
                </c:pt>
                <c:pt idx="228">
                  <c:v>1.03439375</c:v>
                </c:pt>
                <c:pt idx="229">
                  <c:v>1.03441166666667</c:v>
                </c:pt>
                <c:pt idx="230">
                  <c:v>1.03467166666667</c:v>
                </c:pt>
                <c:pt idx="231">
                  <c:v>1.03469</c:v>
                </c:pt>
                <c:pt idx="232">
                  <c:v>1.03476</c:v>
                </c:pt>
                <c:pt idx="233">
                  <c:v>1.03501208333333</c:v>
                </c:pt>
                <c:pt idx="234">
                  <c:v>1.03502291666667</c:v>
                </c:pt>
                <c:pt idx="235">
                  <c:v>1.03533083333333</c:v>
                </c:pt>
                <c:pt idx="236">
                  <c:v>1.03565416666667</c:v>
                </c:pt>
                <c:pt idx="237">
                  <c:v>1.03582333333333</c:v>
                </c:pt>
                <c:pt idx="238">
                  <c:v>1.03619791666667</c:v>
                </c:pt>
                <c:pt idx="239">
                  <c:v>1.03626083333333</c:v>
                </c:pt>
                <c:pt idx="240">
                  <c:v>1.03646125</c:v>
                </c:pt>
                <c:pt idx="241">
                  <c:v>1.03654916666667</c:v>
                </c:pt>
                <c:pt idx="242">
                  <c:v>1.03678333333333</c:v>
                </c:pt>
                <c:pt idx="243">
                  <c:v>1.03698333333333</c:v>
                </c:pt>
                <c:pt idx="244">
                  <c:v>1.03699833333333</c:v>
                </c:pt>
                <c:pt idx="245">
                  <c:v>1.03714</c:v>
                </c:pt>
                <c:pt idx="246">
                  <c:v>1.03730416666667</c:v>
                </c:pt>
                <c:pt idx="247">
                  <c:v>1.03748333333333</c:v>
                </c:pt>
                <c:pt idx="248">
                  <c:v>1.03763958333333</c:v>
                </c:pt>
                <c:pt idx="249">
                  <c:v>1.03766</c:v>
                </c:pt>
                <c:pt idx="250">
                  <c:v>1.03782083333333</c:v>
                </c:pt>
                <c:pt idx="251">
                  <c:v>1.03811583333333</c:v>
                </c:pt>
                <c:pt idx="252">
                  <c:v>1.03822666666667</c:v>
                </c:pt>
                <c:pt idx="253">
                  <c:v>1.03880333333333</c:v>
                </c:pt>
                <c:pt idx="254">
                  <c:v>1.03889916666667</c:v>
                </c:pt>
                <c:pt idx="255">
                  <c:v>1.03912166666667</c:v>
                </c:pt>
                <c:pt idx="256">
                  <c:v>1.03975166666667</c:v>
                </c:pt>
                <c:pt idx="257">
                  <c:v>1.04012208333333</c:v>
                </c:pt>
                <c:pt idx="258">
                  <c:v>1.0403175</c:v>
                </c:pt>
                <c:pt idx="259">
                  <c:v>1.04034208333333</c:v>
                </c:pt>
                <c:pt idx="260">
                  <c:v>1.04114833333333</c:v>
                </c:pt>
                <c:pt idx="261">
                  <c:v>1.04121666666667</c:v>
                </c:pt>
                <c:pt idx="262">
                  <c:v>1.04123125</c:v>
                </c:pt>
                <c:pt idx="263">
                  <c:v>1.04123541666667</c:v>
                </c:pt>
                <c:pt idx="264">
                  <c:v>1.04133541666667</c:v>
                </c:pt>
                <c:pt idx="265">
                  <c:v>1.041405</c:v>
                </c:pt>
                <c:pt idx="266">
                  <c:v>1.04192666666667</c:v>
                </c:pt>
                <c:pt idx="267">
                  <c:v>1.0422175</c:v>
                </c:pt>
                <c:pt idx="268">
                  <c:v>1.04238958333333</c:v>
                </c:pt>
                <c:pt idx="269">
                  <c:v>1.04311166666667</c:v>
                </c:pt>
                <c:pt idx="270">
                  <c:v>1.04336416666667</c:v>
                </c:pt>
                <c:pt idx="271">
                  <c:v>1.0435275</c:v>
                </c:pt>
                <c:pt idx="272">
                  <c:v>1.04353125</c:v>
                </c:pt>
                <c:pt idx="273">
                  <c:v>1.04402833333333</c:v>
                </c:pt>
                <c:pt idx="274">
                  <c:v>1.04438625</c:v>
                </c:pt>
                <c:pt idx="275">
                  <c:v>1.04440625</c:v>
                </c:pt>
                <c:pt idx="276">
                  <c:v>1.04452458333333</c:v>
                </c:pt>
                <c:pt idx="277">
                  <c:v>1.04472958333333</c:v>
                </c:pt>
                <c:pt idx="278">
                  <c:v>1.04500166666667</c:v>
                </c:pt>
                <c:pt idx="279">
                  <c:v>1.045445</c:v>
                </c:pt>
                <c:pt idx="280">
                  <c:v>1.04569166666667</c:v>
                </c:pt>
                <c:pt idx="281">
                  <c:v>1.04576458333333</c:v>
                </c:pt>
                <c:pt idx="282">
                  <c:v>1.04679166666667</c:v>
                </c:pt>
                <c:pt idx="283">
                  <c:v>1.04682083333333</c:v>
                </c:pt>
                <c:pt idx="284">
                  <c:v>1.04727</c:v>
                </c:pt>
                <c:pt idx="285">
                  <c:v>1.04741583333333</c:v>
                </c:pt>
                <c:pt idx="286">
                  <c:v>1.04742291666667</c:v>
                </c:pt>
                <c:pt idx="287">
                  <c:v>1.04752291666667</c:v>
                </c:pt>
                <c:pt idx="288">
                  <c:v>1.04757666666667</c:v>
                </c:pt>
                <c:pt idx="289">
                  <c:v>1.0477</c:v>
                </c:pt>
                <c:pt idx="290">
                  <c:v>1.04818291666667</c:v>
                </c:pt>
                <c:pt idx="291">
                  <c:v>1.04866</c:v>
                </c:pt>
                <c:pt idx="292">
                  <c:v>1.04903791666667</c:v>
                </c:pt>
                <c:pt idx="293">
                  <c:v>1.04928791666667</c:v>
                </c:pt>
                <c:pt idx="294">
                  <c:v>1.04951666666667</c:v>
                </c:pt>
                <c:pt idx="295">
                  <c:v>1.04990208333333</c:v>
                </c:pt>
                <c:pt idx="296">
                  <c:v>1.05013291666667</c:v>
                </c:pt>
                <c:pt idx="297">
                  <c:v>1.05030625</c:v>
                </c:pt>
                <c:pt idx="298">
                  <c:v>1.05033333333333</c:v>
                </c:pt>
                <c:pt idx="299">
                  <c:v>1.05058875</c:v>
                </c:pt>
                <c:pt idx="300">
                  <c:v>1.05148458333333</c:v>
                </c:pt>
                <c:pt idx="301">
                  <c:v>1.051525</c:v>
                </c:pt>
                <c:pt idx="302">
                  <c:v>1.05171333333333</c:v>
                </c:pt>
                <c:pt idx="303">
                  <c:v>1.05174375</c:v>
                </c:pt>
                <c:pt idx="304">
                  <c:v>1.05211333333333</c:v>
                </c:pt>
                <c:pt idx="305">
                  <c:v>1.05228083333333</c:v>
                </c:pt>
                <c:pt idx="306">
                  <c:v>1.05278</c:v>
                </c:pt>
                <c:pt idx="307">
                  <c:v>1.05404833333333</c:v>
                </c:pt>
                <c:pt idx="308">
                  <c:v>1.05471333333333</c:v>
                </c:pt>
                <c:pt idx="309">
                  <c:v>1.0547575</c:v>
                </c:pt>
                <c:pt idx="310">
                  <c:v>1.05495333333333</c:v>
                </c:pt>
                <c:pt idx="311">
                  <c:v>1.05509291666667</c:v>
                </c:pt>
                <c:pt idx="312">
                  <c:v>1.05598333333333</c:v>
                </c:pt>
                <c:pt idx="313">
                  <c:v>1.0560625</c:v>
                </c:pt>
                <c:pt idx="314">
                  <c:v>1.05651666666667</c:v>
                </c:pt>
                <c:pt idx="315">
                  <c:v>1.05715</c:v>
                </c:pt>
                <c:pt idx="316">
                  <c:v>1.05718291666667</c:v>
                </c:pt>
                <c:pt idx="317">
                  <c:v>1.05735333333333</c:v>
                </c:pt>
                <c:pt idx="318">
                  <c:v>1.05751791666667</c:v>
                </c:pt>
                <c:pt idx="319">
                  <c:v>1.05799916666667</c:v>
                </c:pt>
                <c:pt idx="320">
                  <c:v>1.05802416666667</c:v>
                </c:pt>
                <c:pt idx="321">
                  <c:v>1.05812958333333</c:v>
                </c:pt>
                <c:pt idx="322">
                  <c:v>1.05813</c:v>
                </c:pt>
                <c:pt idx="323">
                  <c:v>1.05815</c:v>
                </c:pt>
                <c:pt idx="324">
                  <c:v>1.05857166666667</c:v>
                </c:pt>
                <c:pt idx="325">
                  <c:v>1.05899958333333</c:v>
                </c:pt>
                <c:pt idx="326">
                  <c:v>1.06008708333333</c:v>
                </c:pt>
                <c:pt idx="327">
                  <c:v>1.06116291666667</c:v>
                </c:pt>
                <c:pt idx="328">
                  <c:v>1.0618975</c:v>
                </c:pt>
                <c:pt idx="329">
                  <c:v>1.06192291666667</c:v>
                </c:pt>
                <c:pt idx="330">
                  <c:v>1.0620125</c:v>
                </c:pt>
                <c:pt idx="331">
                  <c:v>1.06201666666667</c:v>
                </c:pt>
                <c:pt idx="332">
                  <c:v>1.06291916666667</c:v>
                </c:pt>
                <c:pt idx="333">
                  <c:v>1.06348333333333</c:v>
                </c:pt>
                <c:pt idx="334">
                  <c:v>1.06412</c:v>
                </c:pt>
                <c:pt idx="335">
                  <c:v>1.06420916666667</c:v>
                </c:pt>
                <c:pt idx="336">
                  <c:v>1.06579583333333</c:v>
                </c:pt>
                <c:pt idx="337">
                  <c:v>1.0659</c:v>
                </c:pt>
                <c:pt idx="338">
                  <c:v>1.06604333333333</c:v>
                </c:pt>
                <c:pt idx="339">
                  <c:v>1.06711666666667</c:v>
                </c:pt>
                <c:pt idx="340">
                  <c:v>1.06765125</c:v>
                </c:pt>
                <c:pt idx="341">
                  <c:v>1.0687125</c:v>
                </c:pt>
                <c:pt idx="342">
                  <c:v>1.06919333333333</c:v>
                </c:pt>
                <c:pt idx="343">
                  <c:v>1.07002083333333</c:v>
                </c:pt>
                <c:pt idx="344">
                  <c:v>1.070415</c:v>
                </c:pt>
                <c:pt idx="345">
                  <c:v>1.07383916666667</c:v>
                </c:pt>
                <c:pt idx="346">
                  <c:v>1.0746125</c:v>
                </c:pt>
                <c:pt idx="347">
                  <c:v>1.07466666666667</c:v>
                </c:pt>
                <c:pt idx="348">
                  <c:v>1.07616708333333</c:v>
                </c:pt>
                <c:pt idx="349">
                  <c:v>1.0771275</c:v>
                </c:pt>
                <c:pt idx="350">
                  <c:v>1.07903291666667</c:v>
                </c:pt>
                <c:pt idx="351">
                  <c:v>1.07980791666667</c:v>
                </c:pt>
                <c:pt idx="352">
                  <c:v>1.08042583333333</c:v>
                </c:pt>
                <c:pt idx="353">
                  <c:v>1.08376666666667</c:v>
                </c:pt>
                <c:pt idx="354">
                  <c:v>1.08780083333333</c:v>
                </c:pt>
                <c:pt idx="355">
                  <c:v>1.13195833333333</c:v>
                </c:pt>
              </c:strCache>
            </c:strRef>
          </c:cat>
          <c:val>
            <c:numRef>
              <c:f>'Ecomonic Values'!$AA$2:$AA$358</c:f>
              <c:numCache>
                <c:formatCode>General</c:formatCode>
                <c:ptCount val="356"/>
                <c:pt idx="0">
                  <c:v>1.0289999999999999</c:v>
                </c:pt>
                <c:pt idx="1">
                  <c:v>0.872</c:v>
                </c:pt>
                <c:pt idx="2">
                  <c:v>1.6645000000000001</c:v>
                </c:pt>
                <c:pt idx="3">
                  <c:v>1.0834999999999999</c:v>
                </c:pt>
                <c:pt idx="4">
                  <c:v>1.3405</c:v>
                </c:pt>
                <c:pt idx="5">
                  <c:v>1.3580000000000001</c:v>
                </c:pt>
                <c:pt idx="6">
                  <c:v>0.78349999999999997</c:v>
                </c:pt>
                <c:pt idx="7">
                  <c:v>1.2565</c:v>
                </c:pt>
                <c:pt idx="8">
                  <c:v>1.0189999999999999</c:v>
                </c:pt>
                <c:pt idx="9">
                  <c:v>0.82799999999999996</c:v>
                </c:pt>
                <c:pt idx="10">
                  <c:v>0.78649999999999998</c:v>
                </c:pt>
                <c:pt idx="11">
                  <c:v>1.0920000000000001</c:v>
                </c:pt>
                <c:pt idx="12">
                  <c:v>1.4395</c:v>
                </c:pt>
                <c:pt idx="13">
                  <c:v>0.96850000000000003</c:v>
                </c:pt>
                <c:pt idx="14">
                  <c:v>0.87250000000000005</c:v>
                </c:pt>
                <c:pt idx="15">
                  <c:v>0.87450000000000006</c:v>
                </c:pt>
                <c:pt idx="16">
                  <c:v>0.873</c:v>
                </c:pt>
                <c:pt idx="17">
                  <c:v>0.98499999999999999</c:v>
                </c:pt>
                <c:pt idx="18">
                  <c:v>0.92049999999999998</c:v>
                </c:pt>
                <c:pt idx="19">
                  <c:v>1.2364999999999999</c:v>
                </c:pt>
                <c:pt idx="20">
                  <c:v>0.80349999999999999</c:v>
                </c:pt>
                <c:pt idx="21">
                  <c:v>0.81200000000000006</c:v>
                </c:pt>
                <c:pt idx="22">
                  <c:v>1.034</c:v>
                </c:pt>
                <c:pt idx="23">
                  <c:v>0.87450000000000006</c:v>
                </c:pt>
                <c:pt idx="24">
                  <c:v>0.97050000000000003</c:v>
                </c:pt>
                <c:pt idx="25">
                  <c:v>0.85699999999999998</c:v>
                </c:pt>
                <c:pt idx="26">
                  <c:v>1.2255</c:v>
                </c:pt>
                <c:pt idx="27">
                  <c:v>0.88149999999999995</c:v>
                </c:pt>
                <c:pt idx="28">
                  <c:v>0.86750000000000005</c:v>
                </c:pt>
                <c:pt idx="29">
                  <c:v>1.107</c:v>
                </c:pt>
                <c:pt idx="30">
                  <c:v>0.91500000000000004</c:v>
                </c:pt>
                <c:pt idx="31">
                  <c:v>0.9395</c:v>
                </c:pt>
                <c:pt idx="32">
                  <c:v>0.98299999999999998</c:v>
                </c:pt>
                <c:pt idx="33">
                  <c:v>1.2949999999999999</c:v>
                </c:pt>
                <c:pt idx="34">
                  <c:v>0.9</c:v>
                </c:pt>
                <c:pt idx="35">
                  <c:v>0.96150000000000002</c:v>
                </c:pt>
                <c:pt idx="36">
                  <c:v>1.133</c:v>
                </c:pt>
                <c:pt idx="37">
                  <c:v>1.0095000000000001</c:v>
                </c:pt>
                <c:pt idx="38">
                  <c:v>1.018</c:v>
                </c:pt>
                <c:pt idx="39">
                  <c:v>0.87749999999999995</c:v>
                </c:pt>
                <c:pt idx="40">
                  <c:v>1.1000000000000001</c:v>
                </c:pt>
                <c:pt idx="41">
                  <c:v>1.0249999999999999</c:v>
                </c:pt>
                <c:pt idx="42">
                  <c:v>0.95350000000000001</c:v>
                </c:pt>
                <c:pt idx="43">
                  <c:v>0.98399999999999999</c:v>
                </c:pt>
                <c:pt idx="44">
                  <c:v>0.87849999999999995</c:v>
                </c:pt>
                <c:pt idx="45">
                  <c:v>1.0004999999999999</c:v>
                </c:pt>
                <c:pt idx="46">
                  <c:v>0.89500000000000002</c:v>
                </c:pt>
                <c:pt idx="47">
                  <c:v>1.1274999999999999</c:v>
                </c:pt>
                <c:pt idx="48">
                  <c:v>1.012</c:v>
                </c:pt>
                <c:pt idx="49">
                  <c:v>0.94799999999999995</c:v>
                </c:pt>
                <c:pt idx="50">
                  <c:v>1.0680000000000001</c:v>
                </c:pt>
                <c:pt idx="51">
                  <c:v>0.997</c:v>
                </c:pt>
                <c:pt idx="52">
                  <c:v>0.91300000000000003</c:v>
                </c:pt>
                <c:pt idx="53">
                  <c:v>0.84699999999999998</c:v>
                </c:pt>
                <c:pt idx="54">
                  <c:v>1.1419999999999999</c:v>
                </c:pt>
                <c:pt idx="55">
                  <c:v>1.113</c:v>
                </c:pt>
                <c:pt idx="56">
                  <c:v>0.95799999999999996</c:v>
                </c:pt>
                <c:pt idx="57">
                  <c:v>1.1140000000000001</c:v>
                </c:pt>
                <c:pt idx="58">
                  <c:v>1.1335</c:v>
                </c:pt>
                <c:pt idx="59">
                  <c:v>0.92600000000000005</c:v>
                </c:pt>
                <c:pt idx="60">
                  <c:v>0.9</c:v>
                </c:pt>
                <c:pt idx="61">
                  <c:v>1.7959999999999998</c:v>
                </c:pt>
                <c:pt idx="62">
                  <c:v>0.92649999999999999</c:v>
                </c:pt>
                <c:pt idx="63">
                  <c:v>0.90800000000000003</c:v>
                </c:pt>
                <c:pt idx="64">
                  <c:v>1.2515000000000001</c:v>
                </c:pt>
                <c:pt idx="65">
                  <c:v>1.1005</c:v>
                </c:pt>
                <c:pt idx="66">
                  <c:v>0.92049999999999998</c:v>
                </c:pt>
                <c:pt idx="67">
                  <c:v>0.99050000000000005</c:v>
                </c:pt>
                <c:pt idx="68">
                  <c:v>0.98950000000000005</c:v>
                </c:pt>
                <c:pt idx="69">
                  <c:v>1.194</c:v>
                </c:pt>
                <c:pt idx="70">
                  <c:v>0.90600000000000003</c:v>
                </c:pt>
                <c:pt idx="71">
                  <c:v>0.93</c:v>
                </c:pt>
                <c:pt idx="72">
                  <c:v>1.0780000000000001</c:v>
                </c:pt>
                <c:pt idx="73">
                  <c:v>1.0115000000000001</c:v>
                </c:pt>
                <c:pt idx="74">
                  <c:v>1.133</c:v>
                </c:pt>
                <c:pt idx="75">
                  <c:v>1.1014999999999999</c:v>
                </c:pt>
                <c:pt idx="76">
                  <c:v>1.0914999999999999</c:v>
                </c:pt>
                <c:pt idx="77">
                  <c:v>1.115</c:v>
                </c:pt>
                <c:pt idx="78">
                  <c:v>1.1174999999999999</c:v>
                </c:pt>
                <c:pt idx="79">
                  <c:v>1.1385000000000001</c:v>
                </c:pt>
                <c:pt idx="80">
                  <c:v>0.99550000000000005</c:v>
                </c:pt>
                <c:pt idx="81">
                  <c:v>0.97399999999999998</c:v>
                </c:pt>
                <c:pt idx="82">
                  <c:v>1.494</c:v>
                </c:pt>
                <c:pt idx="83">
                  <c:v>1.0529999999999999</c:v>
                </c:pt>
                <c:pt idx="84">
                  <c:v>0.98</c:v>
                </c:pt>
                <c:pt idx="85">
                  <c:v>1.04</c:v>
                </c:pt>
                <c:pt idx="86">
                  <c:v>0.97699999999999998</c:v>
                </c:pt>
                <c:pt idx="87">
                  <c:v>1.2</c:v>
                </c:pt>
                <c:pt idx="88">
                  <c:v>1.077</c:v>
                </c:pt>
                <c:pt idx="89">
                  <c:v>1.2985</c:v>
                </c:pt>
                <c:pt idx="90">
                  <c:v>0.9355</c:v>
                </c:pt>
                <c:pt idx="91">
                  <c:v>0.9365</c:v>
                </c:pt>
                <c:pt idx="92">
                  <c:v>1.266</c:v>
                </c:pt>
                <c:pt idx="93">
                  <c:v>0.92349999999999999</c:v>
                </c:pt>
                <c:pt idx="94">
                  <c:v>1.0980000000000001</c:v>
                </c:pt>
                <c:pt idx="95">
                  <c:v>0.92100000000000004</c:v>
                </c:pt>
                <c:pt idx="96">
                  <c:v>1.2010000000000001</c:v>
                </c:pt>
                <c:pt idx="97">
                  <c:v>0.91900000000000004</c:v>
                </c:pt>
                <c:pt idx="98">
                  <c:v>1.0589999999999999</c:v>
                </c:pt>
                <c:pt idx="99">
                  <c:v>1.242</c:v>
                </c:pt>
                <c:pt idx="100">
                  <c:v>1.0589999999999999</c:v>
                </c:pt>
                <c:pt idx="101">
                  <c:v>1.0155000000000001</c:v>
                </c:pt>
                <c:pt idx="102">
                  <c:v>1.0805</c:v>
                </c:pt>
                <c:pt idx="103">
                  <c:v>0.88500000000000001</c:v>
                </c:pt>
                <c:pt idx="104">
                  <c:v>1.008</c:v>
                </c:pt>
                <c:pt idx="105">
                  <c:v>1.0265</c:v>
                </c:pt>
                <c:pt idx="106">
                  <c:v>1.1345000000000001</c:v>
                </c:pt>
                <c:pt idx="107">
                  <c:v>1.1419999999999999</c:v>
                </c:pt>
                <c:pt idx="108">
                  <c:v>1.456</c:v>
                </c:pt>
                <c:pt idx="109">
                  <c:v>1.2765</c:v>
                </c:pt>
                <c:pt idx="110">
                  <c:v>1.0185</c:v>
                </c:pt>
                <c:pt idx="111">
                  <c:v>1.1359999999999999</c:v>
                </c:pt>
                <c:pt idx="112">
                  <c:v>1.127</c:v>
                </c:pt>
                <c:pt idx="113">
                  <c:v>1.1405000000000001</c:v>
                </c:pt>
                <c:pt idx="114">
                  <c:v>1.2709999999999999</c:v>
                </c:pt>
                <c:pt idx="115">
                  <c:v>1.0265</c:v>
                </c:pt>
                <c:pt idx="116">
                  <c:v>1.2849999999999999</c:v>
                </c:pt>
                <c:pt idx="117">
                  <c:v>1.224</c:v>
                </c:pt>
                <c:pt idx="118">
                  <c:v>1.325</c:v>
                </c:pt>
                <c:pt idx="119">
                  <c:v>0.95699999999999996</c:v>
                </c:pt>
                <c:pt idx="120">
                  <c:v>1.0325</c:v>
                </c:pt>
                <c:pt idx="121">
                  <c:v>1.0109999999999999</c:v>
                </c:pt>
                <c:pt idx="122">
                  <c:v>0.92800000000000005</c:v>
                </c:pt>
                <c:pt idx="123">
                  <c:v>1.1825000000000001</c:v>
                </c:pt>
                <c:pt idx="124">
                  <c:v>1.2444999999999999</c:v>
                </c:pt>
                <c:pt idx="125">
                  <c:v>1.3745000000000001</c:v>
                </c:pt>
                <c:pt idx="126">
                  <c:v>1.2415</c:v>
                </c:pt>
                <c:pt idx="127">
                  <c:v>1.022</c:v>
                </c:pt>
                <c:pt idx="128">
                  <c:v>1.0169999999999999</c:v>
                </c:pt>
                <c:pt idx="129">
                  <c:v>1.1615</c:v>
                </c:pt>
                <c:pt idx="130">
                  <c:v>1.056</c:v>
                </c:pt>
                <c:pt idx="131">
                  <c:v>1.1005</c:v>
                </c:pt>
                <c:pt idx="132">
                  <c:v>1.377</c:v>
                </c:pt>
                <c:pt idx="133">
                  <c:v>1.129</c:v>
                </c:pt>
                <c:pt idx="134">
                  <c:v>1.0375000000000001</c:v>
                </c:pt>
                <c:pt idx="135">
                  <c:v>1.2715000000000001</c:v>
                </c:pt>
                <c:pt idx="136">
                  <c:v>1.1845000000000001</c:v>
                </c:pt>
                <c:pt idx="137">
                  <c:v>1.3875</c:v>
                </c:pt>
                <c:pt idx="138">
                  <c:v>1.1459999999999999</c:v>
                </c:pt>
                <c:pt idx="139">
                  <c:v>1.34</c:v>
                </c:pt>
                <c:pt idx="140">
                  <c:v>0.99950000000000006</c:v>
                </c:pt>
                <c:pt idx="141">
                  <c:v>1.1245000000000001</c:v>
                </c:pt>
                <c:pt idx="142">
                  <c:v>1.0645</c:v>
                </c:pt>
                <c:pt idx="143">
                  <c:v>1.3759999999999999</c:v>
                </c:pt>
                <c:pt idx="144">
                  <c:v>1.3205</c:v>
                </c:pt>
                <c:pt idx="145">
                  <c:v>0.98299999999999998</c:v>
                </c:pt>
                <c:pt idx="146">
                  <c:v>1.5175000000000001</c:v>
                </c:pt>
                <c:pt idx="147">
                  <c:v>1.1125</c:v>
                </c:pt>
                <c:pt idx="148">
                  <c:v>1.2524999999999999</c:v>
                </c:pt>
                <c:pt idx="149">
                  <c:v>1.3915</c:v>
                </c:pt>
                <c:pt idx="150">
                  <c:v>1.0265</c:v>
                </c:pt>
                <c:pt idx="151">
                  <c:v>1.3434999999999999</c:v>
                </c:pt>
                <c:pt idx="152">
                  <c:v>1.1595</c:v>
                </c:pt>
                <c:pt idx="153">
                  <c:v>1.2945</c:v>
                </c:pt>
                <c:pt idx="154">
                  <c:v>1.071</c:v>
                </c:pt>
                <c:pt idx="155">
                  <c:v>1.198</c:v>
                </c:pt>
                <c:pt idx="156">
                  <c:v>1.137</c:v>
                </c:pt>
                <c:pt idx="157">
                  <c:v>1.0229999999999999</c:v>
                </c:pt>
                <c:pt idx="158">
                  <c:v>1.1955</c:v>
                </c:pt>
                <c:pt idx="159">
                  <c:v>1.2104999999999999</c:v>
                </c:pt>
                <c:pt idx="160">
                  <c:v>1.2695000000000001</c:v>
                </c:pt>
                <c:pt idx="161">
                  <c:v>1.3835</c:v>
                </c:pt>
                <c:pt idx="162">
                  <c:v>1.1325000000000001</c:v>
                </c:pt>
                <c:pt idx="163">
                  <c:v>1.1499999999999999</c:v>
                </c:pt>
                <c:pt idx="164">
                  <c:v>0.91649999999999998</c:v>
                </c:pt>
                <c:pt idx="165">
                  <c:v>1.0854999999999999</c:v>
                </c:pt>
                <c:pt idx="166">
                  <c:v>1.4544999999999999</c:v>
                </c:pt>
                <c:pt idx="167">
                  <c:v>1.0945</c:v>
                </c:pt>
                <c:pt idx="168">
                  <c:v>1.0145</c:v>
                </c:pt>
                <c:pt idx="169">
                  <c:v>1.3705000000000001</c:v>
                </c:pt>
                <c:pt idx="170">
                  <c:v>1.194</c:v>
                </c:pt>
                <c:pt idx="171">
                  <c:v>1.2064999999999999</c:v>
                </c:pt>
                <c:pt idx="172">
                  <c:v>1.5595000000000001</c:v>
                </c:pt>
                <c:pt idx="173">
                  <c:v>1.177</c:v>
                </c:pt>
                <c:pt idx="174">
                  <c:v>1.157</c:v>
                </c:pt>
                <c:pt idx="175">
                  <c:v>1.2130000000000001</c:v>
                </c:pt>
                <c:pt idx="176">
                  <c:v>1.2435</c:v>
                </c:pt>
                <c:pt idx="177">
                  <c:v>1.21</c:v>
                </c:pt>
                <c:pt idx="178">
                  <c:v>1.8085</c:v>
                </c:pt>
                <c:pt idx="179">
                  <c:v>1.1335</c:v>
                </c:pt>
                <c:pt idx="180">
                  <c:v>1.0165</c:v>
                </c:pt>
                <c:pt idx="181">
                  <c:v>1.383</c:v>
                </c:pt>
                <c:pt idx="182">
                  <c:v>1.2729999999999999</c:v>
                </c:pt>
                <c:pt idx="183">
                  <c:v>1.2895000000000001</c:v>
                </c:pt>
                <c:pt idx="184">
                  <c:v>1.218</c:v>
                </c:pt>
                <c:pt idx="185">
                  <c:v>1.2695000000000001</c:v>
                </c:pt>
                <c:pt idx="186">
                  <c:v>1.175</c:v>
                </c:pt>
                <c:pt idx="187">
                  <c:v>1.3694999999999999</c:v>
                </c:pt>
                <c:pt idx="188">
                  <c:v>1.3360000000000001</c:v>
                </c:pt>
                <c:pt idx="189">
                  <c:v>1.1185</c:v>
                </c:pt>
                <c:pt idx="190">
                  <c:v>1.1745000000000001</c:v>
                </c:pt>
                <c:pt idx="191">
                  <c:v>1.2815000000000001</c:v>
                </c:pt>
                <c:pt idx="192">
                  <c:v>1.1114999999999999</c:v>
                </c:pt>
                <c:pt idx="193">
                  <c:v>1.331</c:v>
                </c:pt>
                <c:pt idx="194">
                  <c:v>1.1479999999999999</c:v>
                </c:pt>
                <c:pt idx="195">
                  <c:v>1.2190000000000001</c:v>
                </c:pt>
                <c:pt idx="196">
                  <c:v>1.042</c:v>
                </c:pt>
                <c:pt idx="197">
                  <c:v>1.4045000000000001</c:v>
                </c:pt>
                <c:pt idx="198">
                  <c:v>1.073</c:v>
                </c:pt>
                <c:pt idx="199">
                  <c:v>1.3414999999999999</c:v>
                </c:pt>
                <c:pt idx="200">
                  <c:v>1.5075000000000001</c:v>
                </c:pt>
                <c:pt idx="201">
                  <c:v>1.5609999999999999</c:v>
                </c:pt>
                <c:pt idx="202">
                  <c:v>1.2015</c:v>
                </c:pt>
                <c:pt idx="203">
                  <c:v>1.2589999999999999</c:v>
                </c:pt>
                <c:pt idx="204">
                  <c:v>1.2355</c:v>
                </c:pt>
                <c:pt idx="205">
                  <c:v>1.8095000000000001</c:v>
                </c:pt>
                <c:pt idx="206">
                  <c:v>1.3585</c:v>
                </c:pt>
                <c:pt idx="207">
                  <c:v>1.2509999999999999</c:v>
                </c:pt>
                <c:pt idx="208">
                  <c:v>1.5980000000000001</c:v>
                </c:pt>
                <c:pt idx="209">
                  <c:v>1.272</c:v>
                </c:pt>
                <c:pt idx="210">
                  <c:v>1.33</c:v>
                </c:pt>
                <c:pt idx="211">
                  <c:v>1.2464999999999999</c:v>
                </c:pt>
                <c:pt idx="212">
                  <c:v>1.1299999999999999</c:v>
                </c:pt>
                <c:pt idx="213">
                  <c:v>1.2565</c:v>
                </c:pt>
                <c:pt idx="214">
                  <c:v>1.2210000000000001</c:v>
                </c:pt>
                <c:pt idx="215">
                  <c:v>0.92</c:v>
                </c:pt>
                <c:pt idx="216">
                  <c:v>1.1955</c:v>
                </c:pt>
                <c:pt idx="217">
                  <c:v>1.0985</c:v>
                </c:pt>
                <c:pt idx="218">
                  <c:v>1.367</c:v>
                </c:pt>
                <c:pt idx="219">
                  <c:v>1.3035000000000001</c:v>
                </c:pt>
                <c:pt idx="220">
                  <c:v>1.159</c:v>
                </c:pt>
                <c:pt idx="221">
                  <c:v>1.4744999999999999</c:v>
                </c:pt>
                <c:pt idx="222">
                  <c:v>1.204</c:v>
                </c:pt>
                <c:pt idx="223">
                  <c:v>1.3115000000000001</c:v>
                </c:pt>
                <c:pt idx="224">
                  <c:v>1.401</c:v>
                </c:pt>
                <c:pt idx="225">
                  <c:v>1.4285000000000001</c:v>
                </c:pt>
                <c:pt idx="226">
                  <c:v>1.1220000000000001</c:v>
                </c:pt>
                <c:pt idx="227">
                  <c:v>1.202</c:v>
                </c:pt>
                <c:pt idx="228">
                  <c:v>1.6274999999999999</c:v>
                </c:pt>
                <c:pt idx="229">
                  <c:v>1.7110000000000001</c:v>
                </c:pt>
                <c:pt idx="230">
                  <c:v>1.139</c:v>
                </c:pt>
                <c:pt idx="231">
                  <c:v>1.4630000000000001</c:v>
                </c:pt>
                <c:pt idx="232">
                  <c:v>1.006</c:v>
                </c:pt>
                <c:pt idx="233">
                  <c:v>1.4464999999999999</c:v>
                </c:pt>
                <c:pt idx="234">
                  <c:v>1.1105</c:v>
                </c:pt>
                <c:pt idx="235">
                  <c:v>1.3714999999999999</c:v>
                </c:pt>
                <c:pt idx="236">
                  <c:v>1.2270000000000001</c:v>
                </c:pt>
                <c:pt idx="237">
                  <c:v>1.5229999999999999</c:v>
                </c:pt>
                <c:pt idx="238">
                  <c:v>1.2124999999999999</c:v>
                </c:pt>
                <c:pt idx="239">
                  <c:v>1.1845000000000001</c:v>
                </c:pt>
                <c:pt idx="240">
                  <c:v>1.4095</c:v>
                </c:pt>
                <c:pt idx="241">
                  <c:v>1.3089999999999999</c:v>
                </c:pt>
                <c:pt idx="242">
                  <c:v>1.6465000000000001</c:v>
                </c:pt>
                <c:pt idx="243">
                  <c:v>1.3905000000000001</c:v>
                </c:pt>
                <c:pt idx="244">
                  <c:v>1.5660000000000001</c:v>
                </c:pt>
                <c:pt idx="245">
                  <c:v>1.3520000000000001</c:v>
                </c:pt>
                <c:pt idx="246">
                  <c:v>1.583</c:v>
                </c:pt>
                <c:pt idx="247">
                  <c:v>1.37</c:v>
                </c:pt>
                <c:pt idx="248">
                  <c:v>1.6185</c:v>
                </c:pt>
                <c:pt idx="249">
                  <c:v>1.1835</c:v>
                </c:pt>
                <c:pt idx="250">
                  <c:v>1.5449999999999999</c:v>
                </c:pt>
                <c:pt idx="251">
                  <c:v>1.1890000000000001</c:v>
                </c:pt>
                <c:pt idx="252">
                  <c:v>1.4119999999999999</c:v>
                </c:pt>
                <c:pt idx="253">
                  <c:v>1.5580000000000001</c:v>
                </c:pt>
                <c:pt idx="254">
                  <c:v>1.129</c:v>
                </c:pt>
                <c:pt idx="255">
                  <c:v>1.978</c:v>
                </c:pt>
                <c:pt idx="256">
                  <c:v>1.2795000000000001</c:v>
                </c:pt>
                <c:pt idx="257">
                  <c:v>1.3134999999999999</c:v>
                </c:pt>
                <c:pt idx="258">
                  <c:v>1.4265000000000001</c:v>
                </c:pt>
                <c:pt idx="259">
                  <c:v>1.3645</c:v>
                </c:pt>
                <c:pt idx="260">
                  <c:v>1.278</c:v>
                </c:pt>
                <c:pt idx="261">
                  <c:v>1.2849999999999999</c:v>
                </c:pt>
                <c:pt idx="262">
                  <c:v>1.7004999999999999</c:v>
                </c:pt>
                <c:pt idx="263">
                  <c:v>1.3574999999999999</c:v>
                </c:pt>
                <c:pt idx="264">
                  <c:v>1.4755</c:v>
                </c:pt>
                <c:pt idx="265">
                  <c:v>0.98599999999999999</c:v>
                </c:pt>
                <c:pt idx="266">
                  <c:v>1.4019999999999999</c:v>
                </c:pt>
                <c:pt idx="267">
                  <c:v>1.4730000000000001</c:v>
                </c:pt>
                <c:pt idx="268">
                  <c:v>1.7585</c:v>
                </c:pt>
                <c:pt idx="269">
                  <c:v>1.226</c:v>
                </c:pt>
                <c:pt idx="270">
                  <c:v>1.3905000000000001</c:v>
                </c:pt>
                <c:pt idx="271">
                  <c:v>1.383</c:v>
                </c:pt>
                <c:pt idx="272">
                  <c:v>1.3725000000000001</c:v>
                </c:pt>
                <c:pt idx="273">
                  <c:v>1.534</c:v>
                </c:pt>
                <c:pt idx="274">
                  <c:v>1.5055000000000001</c:v>
                </c:pt>
                <c:pt idx="275">
                  <c:v>1.7375</c:v>
                </c:pt>
                <c:pt idx="276">
                  <c:v>1.5015000000000001</c:v>
                </c:pt>
                <c:pt idx="277">
                  <c:v>1.2835000000000001</c:v>
                </c:pt>
                <c:pt idx="278">
                  <c:v>1.4544999999999999</c:v>
                </c:pt>
                <c:pt idx="279">
                  <c:v>2.2730000000000001</c:v>
                </c:pt>
                <c:pt idx="280">
                  <c:v>1.885</c:v>
                </c:pt>
                <c:pt idx="281">
                  <c:v>1.7825</c:v>
                </c:pt>
                <c:pt idx="282">
                  <c:v>1.4770000000000001</c:v>
                </c:pt>
                <c:pt idx="283">
                  <c:v>1.907</c:v>
                </c:pt>
                <c:pt idx="284">
                  <c:v>1.5289999999999999</c:v>
                </c:pt>
                <c:pt idx="285">
                  <c:v>1.607</c:v>
                </c:pt>
                <c:pt idx="286">
                  <c:v>1.4464999999999999</c:v>
                </c:pt>
                <c:pt idx="287">
                  <c:v>1.5575000000000001</c:v>
                </c:pt>
                <c:pt idx="288">
                  <c:v>1.3879999999999999</c:v>
                </c:pt>
                <c:pt idx="289">
                  <c:v>1.2689999999999999</c:v>
                </c:pt>
                <c:pt idx="290">
                  <c:v>1.7605</c:v>
                </c:pt>
                <c:pt idx="291">
                  <c:v>1.2835000000000001</c:v>
                </c:pt>
                <c:pt idx="292">
                  <c:v>1.1735</c:v>
                </c:pt>
                <c:pt idx="293">
                  <c:v>1.8745000000000001</c:v>
                </c:pt>
                <c:pt idx="294">
                  <c:v>1.6645000000000001</c:v>
                </c:pt>
                <c:pt idx="295">
                  <c:v>1.2915000000000001</c:v>
                </c:pt>
                <c:pt idx="296">
                  <c:v>1.3845000000000001</c:v>
                </c:pt>
                <c:pt idx="297">
                  <c:v>1.4584999999999999</c:v>
                </c:pt>
                <c:pt idx="298">
                  <c:v>1.89</c:v>
                </c:pt>
                <c:pt idx="299">
                  <c:v>1.3665</c:v>
                </c:pt>
                <c:pt idx="300">
                  <c:v>1.4415</c:v>
                </c:pt>
                <c:pt idx="301">
                  <c:v>1.37</c:v>
                </c:pt>
                <c:pt idx="302">
                  <c:v>1.5640000000000001</c:v>
                </c:pt>
                <c:pt idx="303">
                  <c:v>1.7925</c:v>
                </c:pt>
                <c:pt idx="304">
                  <c:v>1.6839999999999999</c:v>
                </c:pt>
                <c:pt idx="305">
                  <c:v>1.6014999999999999</c:v>
                </c:pt>
                <c:pt idx="306">
                  <c:v>1.492</c:v>
                </c:pt>
                <c:pt idx="307">
                  <c:v>1.5509999999999999</c:v>
                </c:pt>
                <c:pt idx="308">
                  <c:v>1.496</c:v>
                </c:pt>
                <c:pt idx="309">
                  <c:v>1.7444999999999999</c:v>
                </c:pt>
                <c:pt idx="310">
                  <c:v>1.274</c:v>
                </c:pt>
                <c:pt idx="311">
                  <c:v>1.9484999999999999</c:v>
                </c:pt>
                <c:pt idx="312">
                  <c:v>1.74</c:v>
                </c:pt>
                <c:pt idx="313">
                  <c:v>1.675</c:v>
                </c:pt>
                <c:pt idx="314">
                  <c:v>1.9045000000000001</c:v>
                </c:pt>
                <c:pt idx="315">
                  <c:v>1.5854999999999999</c:v>
                </c:pt>
                <c:pt idx="316">
                  <c:v>1.6134999999999999</c:v>
                </c:pt>
                <c:pt idx="317">
                  <c:v>1.8660000000000001</c:v>
                </c:pt>
                <c:pt idx="318">
                  <c:v>1.4384999999999999</c:v>
                </c:pt>
                <c:pt idx="319">
                  <c:v>1.3905000000000001</c:v>
                </c:pt>
                <c:pt idx="320">
                  <c:v>1.6755</c:v>
                </c:pt>
                <c:pt idx="321">
                  <c:v>1.6645000000000001</c:v>
                </c:pt>
                <c:pt idx="322">
                  <c:v>1.6140000000000001</c:v>
                </c:pt>
                <c:pt idx="323">
                  <c:v>2.1055000000000001</c:v>
                </c:pt>
                <c:pt idx="324">
                  <c:v>1.5209999999999999</c:v>
                </c:pt>
                <c:pt idx="325">
                  <c:v>1.9804999999999999</c:v>
                </c:pt>
                <c:pt idx="326">
                  <c:v>1.7184999999999999</c:v>
                </c:pt>
                <c:pt idx="327">
                  <c:v>1.6245000000000001</c:v>
                </c:pt>
                <c:pt idx="328">
                  <c:v>1.7609999999999999</c:v>
                </c:pt>
                <c:pt idx="329">
                  <c:v>1.7264999999999999</c:v>
                </c:pt>
                <c:pt idx="330">
                  <c:v>1.9424999999999999</c:v>
                </c:pt>
                <c:pt idx="331">
                  <c:v>1.4450000000000001</c:v>
                </c:pt>
                <c:pt idx="332">
                  <c:v>1.8169999999999999</c:v>
                </c:pt>
                <c:pt idx="333">
                  <c:v>1.5455000000000001</c:v>
                </c:pt>
                <c:pt idx="334">
                  <c:v>1.792</c:v>
                </c:pt>
                <c:pt idx="335">
                  <c:v>2.2355</c:v>
                </c:pt>
                <c:pt idx="336">
                  <c:v>1.4575</c:v>
                </c:pt>
                <c:pt idx="337">
                  <c:v>1.5229999999999999</c:v>
                </c:pt>
                <c:pt idx="338">
                  <c:v>1.494</c:v>
                </c:pt>
                <c:pt idx="339">
                  <c:v>1.7364999999999999</c:v>
                </c:pt>
                <c:pt idx="340">
                  <c:v>1.8794999999999999</c:v>
                </c:pt>
                <c:pt idx="341">
                  <c:v>1.587</c:v>
                </c:pt>
                <c:pt idx="342">
                  <c:v>2.2360000000000002</c:v>
                </c:pt>
                <c:pt idx="343">
                  <c:v>1.5549999999999999</c:v>
                </c:pt>
                <c:pt idx="344">
                  <c:v>1.6705000000000001</c:v>
                </c:pt>
                <c:pt idx="345">
                  <c:v>2.0870000000000002</c:v>
                </c:pt>
                <c:pt idx="346">
                  <c:v>2.0724999999999998</c:v>
                </c:pt>
                <c:pt idx="347">
                  <c:v>1.51</c:v>
                </c:pt>
                <c:pt idx="348">
                  <c:v>2.2204999999999999</c:v>
                </c:pt>
                <c:pt idx="349">
                  <c:v>1.931</c:v>
                </c:pt>
                <c:pt idx="350">
                  <c:v>1.6194999999999999</c:v>
                </c:pt>
                <c:pt idx="351">
                  <c:v>1.7495000000000001</c:v>
                </c:pt>
                <c:pt idx="352">
                  <c:v>1.5229999999999999</c:v>
                </c:pt>
                <c:pt idx="353">
                  <c:v>1.7370000000000001</c:v>
                </c:pt>
                <c:pt idx="354">
                  <c:v>1.7470000000000001</c:v>
                </c:pt>
                <c:pt idx="355">
                  <c:v>2.2549999999999999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16-4F2F-895D-22549FC17A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100"/>
        <c:axId val="558208895"/>
        <c:axId val="558218047"/>
      </c:barChart>
      <c:catAx>
        <c:axId val="558208895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Abalone 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218047"/>
        <c:crosses val="autoZero"/>
        <c:auto val="1"/>
        <c:lblAlgn val="ctr"/>
        <c:lblOffset val="100"/>
        <c:noMultiLvlLbl val="0"/>
      </c:catAx>
      <c:valAx>
        <c:axId val="558218047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208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effectLst/>
              </a:rPr>
              <a:t>Relationship Between Shell</a:t>
            </a:r>
            <a:r>
              <a:rPr lang="en-US" sz="1800" baseline="0">
                <a:effectLst/>
              </a:rPr>
              <a:t> W</a:t>
            </a:r>
            <a:r>
              <a:rPr lang="en-US" sz="1800">
                <a:effectLst/>
              </a:rPr>
              <a:t>eight And Shucked</a:t>
            </a:r>
            <a:r>
              <a:rPr lang="en-US" sz="1800" baseline="0">
                <a:effectLst/>
              </a:rPr>
              <a:t> W</a:t>
            </a:r>
            <a:r>
              <a:rPr lang="en-US" sz="1800">
                <a:effectLst/>
              </a:rPr>
              <a:t>eight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'Personal Data'!$I$1</c:f>
              <c:strCache>
                <c:ptCount val="1"/>
                <c:pt idx="0">
                  <c:v>Shell_weight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'Personal Data'!$I$2:$I$1001</c:f>
              <c:numCache>
                <c:formatCode>General</c:formatCode>
                <c:ptCount val="1000"/>
                <c:pt idx="0">
                  <c:v>0.33500000000000002</c:v>
                </c:pt>
                <c:pt idx="1">
                  <c:v>0.13450000000000001</c:v>
                </c:pt>
                <c:pt idx="2">
                  <c:v>0.59499999999999997</c:v>
                </c:pt>
                <c:pt idx="3">
                  <c:v>0.14649999999999999</c:v>
                </c:pt>
                <c:pt idx="4">
                  <c:v>0.45300000000000001</c:v>
                </c:pt>
                <c:pt idx="5">
                  <c:v>0.46500000000000002</c:v>
                </c:pt>
                <c:pt idx="6">
                  <c:v>4.9000000000000002E-2</c:v>
                </c:pt>
                <c:pt idx="7">
                  <c:v>0.105</c:v>
                </c:pt>
                <c:pt idx="8">
                  <c:v>0.501</c:v>
                </c:pt>
                <c:pt idx="9">
                  <c:v>0.255</c:v>
                </c:pt>
                <c:pt idx="10">
                  <c:v>0.12</c:v>
                </c:pt>
                <c:pt idx="11">
                  <c:v>0.123</c:v>
                </c:pt>
                <c:pt idx="12">
                  <c:v>8.2000000000000003E-2</c:v>
                </c:pt>
                <c:pt idx="13">
                  <c:v>0.38800000000000001</c:v>
                </c:pt>
                <c:pt idx="14">
                  <c:v>0.311</c:v>
                </c:pt>
                <c:pt idx="15">
                  <c:v>0.19500000000000001</c:v>
                </c:pt>
                <c:pt idx="16">
                  <c:v>0.15</c:v>
                </c:pt>
                <c:pt idx="17">
                  <c:v>0.28599999999999998</c:v>
                </c:pt>
                <c:pt idx="18">
                  <c:v>0.19500000000000001</c:v>
                </c:pt>
                <c:pt idx="19">
                  <c:v>0.17</c:v>
                </c:pt>
                <c:pt idx="20">
                  <c:v>0.19800000000000001</c:v>
                </c:pt>
                <c:pt idx="21">
                  <c:v>0.13450000000000001</c:v>
                </c:pt>
                <c:pt idx="22">
                  <c:v>0.255</c:v>
                </c:pt>
                <c:pt idx="23">
                  <c:v>0.112</c:v>
                </c:pt>
                <c:pt idx="24">
                  <c:v>0.1825</c:v>
                </c:pt>
                <c:pt idx="25">
                  <c:v>8.1000000000000003E-2</c:v>
                </c:pt>
                <c:pt idx="26">
                  <c:v>4.2500000000000003E-2</c:v>
                </c:pt>
                <c:pt idx="27">
                  <c:v>0.15049999999999999</c:v>
                </c:pt>
                <c:pt idx="28">
                  <c:v>0.13500000000000001</c:v>
                </c:pt>
                <c:pt idx="29">
                  <c:v>0.14849999999999999</c:v>
                </c:pt>
                <c:pt idx="30">
                  <c:v>5.0500000000000003E-2</c:v>
                </c:pt>
                <c:pt idx="31">
                  <c:v>0.1</c:v>
                </c:pt>
                <c:pt idx="32">
                  <c:v>8.7499999999999994E-2</c:v>
                </c:pt>
                <c:pt idx="33">
                  <c:v>0.32</c:v>
                </c:pt>
                <c:pt idx="34">
                  <c:v>0.184</c:v>
                </c:pt>
                <c:pt idx="35">
                  <c:v>0.28499999999999998</c:v>
                </c:pt>
                <c:pt idx="36">
                  <c:v>0.20499999999999999</c:v>
                </c:pt>
                <c:pt idx="37">
                  <c:v>0.17</c:v>
                </c:pt>
                <c:pt idx="38">
                  <c:v>0.34499999999999997</c:v>
                </c:pt>
                <c:pt idx="39">
                  <c:v>0.185</c:v>
                </c:pt>
                <c:pt idx="40">
                  <c:v>0.15</c:v>
                </c:pt>
                <c:pt idx="41">
                  <c:v>0.34399999999999997</c:v>
                </c:pt>
                <c:pt idx="42">
                  <c:v>7.0000000000000007E-2</c:v>
                </c:pt>
                <c:pt idx="43">
                  <c:v>0.16500000000000001</c:v>
                </c:pt>
                <c:pt idx="44">
                  <c:v>0.53149999999999997</c:v>
                </c:pt>
                <c:pt idx="45">
                  <c:v>0.1</c:v>
                </c:pt>
                <c:pt idx="46">
                  <c:v>0.215</c:v>
                </c:pt>
                <c:pt idx="47">
                  <c:v>0.4325</c:v>
                </c:pt>
                <c:pt idx="48">
                  <c:v>0.27</c:v>
                </c:pt>
                <c:pt idx="49">
                  <c:v>0.35</c:v>
                </c:pt>
                <c:pt idx="50">
                  <c:v>0.50849999999999995</c:v>
                </c:pt>
                <c:pt idx="51">
                  <c:v>0.34699999999999998</c:v>
                </c:pt>
                <c:pt idx="52">
                  <c:v>0.24249999999999999</c:v>
                </c:pt>
                <c:pt idx="53">
                  <c:v>0.495</c:v>
                </c:pt>
                <c:pt idx="54">
                  <c:v>0.30399999999999999</c:v>
                </c:pt>
                <c:pt idx="55">
                  <c:v>4.9500000000000002E-2</c:v>
                </c:pt>
                <c:pt idx="56">
                  <c:v>0.251</c:v>
                </c:pt>
                <c:pt idx="57">
                  <c:v>0.34</c:v>
                </c:pt>
                <c:pt idx="58">
                  <c:v>0.54500000000000004</c:v>
                </c:pt>
                <c:pt idx="59">
                  <c:v>8.9499999999999996E-2</c:v>
                </c:pt>
                <c:pt idx="60">
                  <c:v>0.17499999999999999</c:v>
                </c:pt>
                <c:pt idx="61">
                  <c:v>0.21</c:v>
                </c:pt>
                <c:pt idx="62">
                  <c:v>8.9999999999999993E-3</c:v>
                </c:pt>
                <c:pt idx="63">
                  <c:v>0.19</c:v>
                </c:pt>
                <c:pt idx="64">
                  <c:v>0.47499999999999998</c:v>
                </c:pt>
                <c:pt idx="65">
                  <c:v>0.42</c:v>
                </c:pt>
                <c:pt idx="66">
                  <c:v>0.25650000000000001</c:v>
                </c:pt>
                <c:pt idx="67">
                  <c:v>0.255</c:v>
                </c:pt>
                <c:pt idx="68">
                  <c:v>0.11650000000000001</c:v>
                </c:pt>
                <c:pt idx="69">
                  <c:v>0.41149999999999998</c:v>
                </c:pt>
                <c:pt idx="70">
                  <c:v>0.36499999999999999</c:v>
                </c:pt>
                <c:pt idx="71">
                  <c:v>9.5000000000000001E-2</c:v>
                </c:pt>
                <c:pt idx="72">
                  <c:v>0.157</c:v>
                </c:pt>
                <c:pt idx="73">
                  <c:v>0.20499999999999999</c:v>
                </c:pt>
                <c:pt idx="74">
                  <c:v>7.9500000000000001E-2</c:v>
                </c:pt>
                <c:pt idx="75">
                  <c:v>0.27500000000000002</c:v>
                </c:pt>
                <c:pt idx="76">
                  <c:v>5.3999999999999999E-2</c:v>
                </c:pt>
                <c:pt idx="77">
                  <c:v>0.34200000000000003</c:v>
                </c:pt>
                <c:pt idx="78">
                  <c:v>0.26500000000000001</c:v>
                </c:pt>
                <c:pt idx="79">
                  <c:v>0.27500000000000002</c:v>
                </c:pt>
                <c:pt idx="80">
                  <c:v>0.3095</c:v>
                </c:pt>
                <c:pt idx="81">
                  <c:v>0.01</c:v>
                </c:pt>
                <c:pt idx="82">
                  <c:v>0.253</c:v>
                </c:pt>
                <c:pt idx="83">
                  <c:v>0.20300000000000001</c:v>
                </c:pt>
                <c:pt idx="84">
                  <c:v>0.23899999999999999</c:v>
                </c:pt>
                <c:pt idx="85">
                  <c:v>0.26500000000000001</c:v>
                </c:pt>
                <c:pt idx="86">
                  <c:v>0.375</c:v>
                </c:pt>
                <c:pt idx="87">
                  <c:v>0.30149999999999999</c:v>
                </c:pt>
                <c:pt idx="88">
                  <c:v>9.5000000000000001E-2</c:v>
                </c:pt>
                <c:pt idx="89">
                  <c:v>0.161</c:v>
                </c:pt>
                <c:pt idx="90">
                  <c:v>0.29249999999999998</c:v>
                </c:pt>
                <c:pt idx="91">
                  <c:v>0.32900000000000001</c:v>
                </c:pt>
                <c:pt idx="92">
                  <c:v>0.184</c:v>
                </c:pt>
                <c:pt idx="93">
                  <c:v>0.5</c:v>
                </c:pt>
                <c:pt idx="94">
                  <c:v>0.17</c:v>
                </c:pt>
                <c:pt idx="95">
                  <c:v>0.48</c:v>
                </c:pt>
                <c:pt idx="96">
                  <c:v>0.55500000000000005</c:v>
                </c:pt>
                <c:pt idx="97">
                  <c:v>4.8000000000000001E-2</c:v>
                </c:pt>
                <c:pt idx="98">
                  <c:v>0.115</c:v>
                </c:pt>
                <c:pt idx="99">
                  <c:v>0.5</c:v>
                </c:pt>
                <c:pt idx="100">
                  <c:v>0.3</c:v>
                </c:pt>
                <c:pt idx="101">
                  <c:v>6.5000000000000002E-2</c:v>
                </c:pt>
                <c:pt idx="102">
                  <c:v>0.48</c:v>
                </c:pt>
                <c:pt idx="103">
                  <c:v>0.35499999999999998</c:v>
                </c:pt>
                <c:pt idx="104">
                  <c:v>0.33500000000000002</c:v>
                </c:pt>
                <c:pt idx="105">
                  <c:v>0.48499999999999999</c:v>
                </c:pt>
                <c:pt idx="106">
                  <c:v>0.307</c:v>
                </c:pt>
                <c:pt idx="107">
                  <c:v>0.32500000000000001</c:v>
                </c:pt>
                <c:pt idx="108">
                  <c:v>0.39500000000000002</c:v>
                </c:pt>
                <c:pt idx="109">
                  <c:v>0.44</c:v>
                </c:pt>
                <c:pt idx="110">
                  <c:v>0.18049999999999999</c:v>
                </c:pt>
                <c:pt idx="111">
                  <c:v>1.0999999999999999E-2</c:v>
                </c:pt>
                <c:pt idx="112">
                  <c:v>0.17249999999999999</c:v>
                </c:pt>
                <c:pt idx="113">
                  <c:v>8.2500000000000004E-2</c:v>
                </c:pt>
                <c:pt idx="114">
                  <c:v>0.15049999999999999</c:v>
                </c:pt>
                <c:pt idx="115">
                  <c:v>0.33</c:v>
                </c:pt>
                <c:pt idx="116">
                  <c:v>0.27450000000000002</c:v>
                </c:pt>
                <c:pt idx="117">
                  <c:v>7.4999999999999997E-2</c:v>
                </c:pt>
                <c:pt idx="118">
                  <c:v>0.45</c:v>
                </c:pt>
                <c:pt idx="119">
                  <c:v>0.19</c:v>
                </c:pt>
                <c:pt idx="120">
                  <c:v>0.31</c:v>
                </c:pt>
                <c:pt idx="121">
                  <c:v>0.72499999999999998</c:v>
                </c:pt>
                <c:pt idx="122">
                  <c:v>0.08</c:v>
                </c:pt>
                <c:pt idx="123">
                  <c:v>0.248</c:v>
                </c:pt>
                <c:pt idx="124">
                  <c:v>0.30349999999999999</c:v>
                </c:pt>
                <c:pt idx="125">
                  <c:v>0.159</c:v>
                </c:pt>
                <c:pt idx="126">
                  <c:v>0.3</c:v>
                </c:pt>
                <c:pt idx="127">
                  <c:v>0.18</c:v>
                </c:pt>
                <c:pt idx="128">
                  <c:v>0.125</c:v>
                </c:pt>
                <c:pt idx="129">
                  <c:v>0.32500000000000001</c:v>
                </c:pt>
                <c:pt idx="130">
                  <c:v>0.2</c:v>
                </c:pt>
                <c:pt idx="131">
                  <c:v>0.156</c:v>
                </c:pt>
                <c:pt idx="132">
                  <c:v>0.20499999999999999</c:v>
                </c:pt>
                <c:pt idx="133">
                  <c:v>0.184</c:v>
                </c:pt>
                <c:pt idx="134">
                  <c:v>0.41199999999999998</c:v>
                </c:pt>
                <c:pt idx="135">
                  <c:v>0.30499999999999999</c:v>
                </c:pt>
                <c:pt idx="136">
                  <c:v>0.245</c:v>
                </c:pt>
                <c:pt idx="137">
                  <c:v>7.7499999999999999E-2</c:v>
                </c:pt>
                <c:pt idx="138">
                  <c:v>0.48949999999999999</c:v>
                </c:pt>
                <c:pt idx="139">
                  <c:v>0.21</c:v>
                </c:pt>
                <c:pt idx="140">
                  <c:v>0.23699999999999999</c:v>
                </c:pt>
                <c:pt idx="141">
                  <c:v>0.33</c:v>
                </c:pt>
                <c:pt idx="142">
                  <c:v>0.4</c:v>
                </c:pt>
                <c:pt idx="143">
                  <c:v>0.41499999999999998</c:v>
                </c:pt>
                <c:pt idx="144">
                  <c:v>0.19</c:v>
                </c:pt>
                <c:pt idx="145">
                  <c:v>0.254</c:v>
                </c:pt>
                <c:pt idx="146">
                  <c:v>0.18</c:v>
                </c:pt>
                <c:pt idx="147">
                  <c:v>0.27500000000000002</c:v>
                </c:pt>
                <c:pt idx="148">
                  <c:v>0.27500000000000002</c:v>
                </c:pt>
                <c:pt idx="149">
                  <c:v>0.40500000000000003</c:v>
                </c:pt>
                <c:pt idx="150">
                  <c:v>0.1885</c:v>
                </c:pt>
                <c:pt idx="151">
                  <c:v>0.45250000000000001</c:v>
                </c:pt>
                <c:pt idx="152">
                  <c:v>0.32050000000000001</c:v>
                </c:pt>
                <c:pt idx="153">
                  <c:v>0.3745</c:v>
                </c:pt>
                <c:pt idx="154">
                  <c:v>0.23799999999999999</c:v>
                </c:pt>
                <c:pt idx="155">
                  <c:v>0.48499999999999999</c:v>
                </c:pt>
                <c:pt idx="156">
                  <c:v>0.34499999999999997</c:v>
                </c:pt>
                <c:pt idx="157">
                  <c:v>7.4999999999999997E-2</c:v>
                </c:pt>
                <c:pt idx="158">
                  <c:v>0.254</c:v>
                </c:pt>
                <c:pt idx="159">
                  <c:v>0.19</c:v>
                </c:pt>
                <c:pt idx="160">
                  <c:v>0.29099999999999998</c:v>
                </c:pt>
                <c:pt idx="161">
                  <c:v>0.40100000000000002</c:v>
                </c:pt>
                <c:pt idx="162">
                  <c:v>0.19500000000000001</c:v>
                </c:pt>
                <c:pt idx="163">
                  <c:v>0.24</c:v>
                </c:pt>
                <c:pt idx="164">
                  <c:v>0.47099999999999997</c:v>
                </c:pt>
                <c:pt idx="165">
                  <c:v>0.27</c:v>
                </c:pt>
                <c:pt idx="166">
                  <c:v>0.36</c:v>
                </c:pt>
                <c:pt idx="167">
                  <c:v>0.27</c:v>
                </c:pt>
                <c:pt idx="168">
                  <c:v>7.0000000000000007E-2</c:v>
                </c:pt>
                <c:pt idx="169">
                  <c:v>0.22550000000000001</c:v>
                </c:pt>
                <c:pt idx="170">
                  <c:v>0.19500000000000001</c:v>
                </c:pt>
                <c:pt idx="171">
                  <c:v>0.17649999999999999</c:v>
                </c:pt>
                <c:pt idx="172">
                  <c:v>0.28499999999999998</c:v>
                </c:pt>
                <c:pt idx="173">
                  <c:v>0.16500000000000001</c:v>
                </c:pt>
                <c:pt idx="174">
                  <c:v>0.374</c:v>
                </c:pt>
                <c:pt idx="175">
                  <c:v>0.29399999999999998</c:v>
                </c:pt>
                <c:pt idx="176">
                  <c:v>0.20200000000000001</c:v>
                </c:pt>
                <c:pt idx="177">
                  <c:v>0.28000000000000003</c:v>
                </c:pt>
                <c:pt idx="178">
                  <c:v>0.2485</c:v>
                </c:pt>
                <c:pt idx="179">
                  <c:v>0.22</c:v>
                </c:pt>
                <c:pt idx="180">
                  <c:v>0.46500000000000002</c:v>
                </c:pt>
                <c:pt idx="181">
                  <c:v>0.37</c:v>
                </c:pt>
                <c:pt idx="182">
                  <c:v>9.6500000000000002E-2</c:v>
                </c:pt>
                <c:pt idx="183">
                  <c:v>0.105</c:v>
                </c:pt>
                <c:pt idx="184">
                  <c:v>0.28100000000000003</c:v>
                </c:pt>
                <c:pt idx="185">
                  <c:v>0.22500000000000001</c:v>
                </c:pt>
                <c:pt idx="186">
                  <c:v>0.317</c:v>
                </c:pt>
                <c:pt idx="187">
                  <c:v>0.35549999999999998</c:v>
                </c:pt>
                <c:pt idx="188">
                  <c:v>3.5000000000000001E-3</c:v>
                </c:pt>
                <c:pt idx="189">
                  <c:v>0.37</c:v>
                </c:pt>
                <c:pt idx="190">
                  <c:v>0.11700000000000001</c:v>
                </c:pt>
                <c:pt idx="191">
                  <c:v>0.17499999999999999</c:v>
                </c:pt>
                <c:pt idx="192">
                  <c:v>0.109</c:v>
                </c:pt>
                <c:pt idx="193">
                  <c:v>0.27500000000000002</c:v>
                </c:pt>
                <c:pt idx="194">
                  <c:v>0.255</c:v>
                </c:pt>
                <c:pt idx="195">
                  <c:v>0.1</c:v>
                </c:pt>
                <c:pt idx="196">
                  <c:v>0.11749999999999999</c:v>
                </c:pt>
                <c:pt idx="197">
                  <c:v>0.43</c:v>
                </c:pt>
                <c:pt idx="198">
                  <c:v>0.13</c:v>
                </c:pt>
                <c:pt idx="199">
                  <c:v>0.25950000000000001</c:v>
                </c:pt>
                <c:pt idx="200">
                  <c:v>0.48499999999999999</c:v>
                </c:pt>
                <c:pt idx="201">
                  <c:v>0.32500000000000001</c:v>
                </c:pt>
                <c:pt idx="202">
                  <c:v>1.7000000000000001E-2</c:v>
                </c:pt>
                <c:pt idx="203">
                  <c:v>0.106</c:v>
                </c:pt>
                <c:pt idx="204">
                  <c:v>0.39</c:v>
                </c:pt>
                <c:pt idx="205">
                  <c:v>0.13</c:v>
                </c:pt>
                <c:pt idx="206">
                  <c:v>0.89700000000000002</c:v>
                </c:pt>
                <c:pt idx="207">
                  <c:v>0.53349999999999997</c:v>
                </c:pt>
                <c:pt idx="208">
                  <c:v>0.36449999999999999</c:v>
                </c:pt>
                <c:pt idx="209">
                  <c:v>0.215</c:v>
                </c:pt>
                <c:pt idx="210">
                  <c:v>0.44850000000000001</c:v>
                </c:pt>
                <c:pt idx="211">
                  <c:v>0.253</c:v>
                </c:pt>
                <c:pt idx="212">
                  <c:v>0.22</c:v>
                </c:pt>
                <c:pt idx="213">
                  <c:v>2.5999999999999999E-2</c:v>
                </c:pt>
                <c:pt idx="214">
                  <c:v>0.34599999999999997</c:v>
                </c:pt>
                <c:pt idx="215">
                  <c:v>0.20499999999999999</c:v>
                </c:pt>
                <c:pt idx="216">
                  <c:v>0.313</c:v>
                </c:pt>
                <c:pt idx="217">
                  <c:v>0.255</c:v>
                </c:pt>
                <c:pt idx="218">
                  <c:v>0.3095</c:v>
                </c:pt>
                <c:pt idx="219">
                  <c:v>0.3</c:v>
                </c:pt>
                <c:pt idx="220">
                  <c:v>0.39500000000000002</c:v>
                </c:pt>
                <c:pt idx="221">
                  <c:v>3.2000000000000001E-2</c:v>
                </c:pt>
                <c:pt idx="222">
                  <c:v>0.43</c:v>
                </c:pt>
                <c:pt idx="223">
                  <c:v>0.36099999999999999</c:v>
                </c:pt>
                <c:pt idx="224">
                  <c:v>0.16500000000000001</c:v>
                </c:pt>
                <c:pt idx="225">
                  <c:v>0.4405</c:v>
                </c:pt>
                <c:pt idx="226">
                  <c:v>0.32500000000000001</c:v>
                </c:pt>
                <c:pt idx="227">
                  <c:v>0.26</c:v>
                </c:pt>
                <c:pt idx="228">
                  <c:v>4.4499999999999998E-2</c:v>
                </c:pt>
                <c:pt idx="229">
                  <c:v>3.9E-2</c:v>
                </c:pt>
                <c:pt idx="230">
                  <c:v>6.8000000000000005E-2</c:v>
                </c:pt>
                <c:pt idx="231">
                  <c:v>0.25</c:v>
                </c:pt>
                <c:pt idx="232">
                  <c:v>0.26550000000000001</c:v>
                </c:pt>
                <c:pt idx="233">
                  <c:v>0.23350000000000001</c:v>
                </c:pt>
                <c:pt idx="234">
                  <c:v>0.5655</c:v>
                </c:pt>
                <c:pt idx="235">
                  <c:v>0.13500000000000001</c:v>
                </c:pt>
                <c:pt idx="236">
                  <c:v>0.13500000000000001</c:v>
                </c:pt>
                <c:pt idx="237">
                  <c:v>0.34499999999999997</c:v>
                </c:pt>
                <c:pt idx="238">
                  <c:v>0.155</c:v>
                </c:pt>
                <c:pt idx="239">
                  <c:v>3.4000000000000002E-2</c:v>
                </c:pt>
                <c:pt idx="240">
                  <c:v>0.315</c:v>
                </c:pt>
                <c:pt idx="241">
                  <c:v>0.1825</c:v>
                </c:pt>
                <c:pt idx="242">
                  <c:v>0.30049999999999999</c:v>
                </c:pt>
                <c:pt idx="243">
                  <c:v>6.5000000000000002E-2</c:v>
                </c:pt>
                <c:pt idx="244">
                  <c:v>0.12</c:v>
                </c:pt>
                <c:pt idx="245">
                  <c:v>0.48499999999999999</c:v>
                </c:pt>
                <c:pt idx="246">
                  <c:v>0.155</c:v>
                </c:pt>
                <c:pt idx="247">
                  <c:v>7.2999999999999995E-2</c:v>
                </c:pt>
                <c:pt idx="248">
                  <c:v>0.14000000000000001</c:v>
                </c:pt>
                <c:pt idx="249">
                  <c:v>0.13</c:v>
                </c:pt>
                <c:pt idx="250">
                  <c:v>0.40500000000000003</c:v>
                </c:pt>
                <c:pt idx="251">
                  <c:v>0.245</c:v>
                </c:pt>
                <c:pt idx="252">
                  <c:v>0.44500000000000001</c:v>
                </c:pt>
                <c:pt idx="253">
                  <c:v>0.25</c:v>
                </c:pt>
                <c:pt idx="254">
                  <c:v>0.38500000000000001</c:v>
                </c:pt>
                <c:pt idx="255">
                  <c:v>0.189</c:v>
                </c:pt>
                <c:pt idx="256">
                  <c:v>0.27250000000000002</c:v>
                </c:pt>
                <c:pt idx="257">
                  <c:v>0.35</c:v>
                </c:pt>
                <c:pt idx="258">
                  <c:v>0.30599999999999999</c:v>
                </c:pt>
                <c:pt idx="259">
                  <c:v>0.42849999999999999</c:v>
                </c:pt>
                <c:pt idx="260">
                  <c:v>0.01</c:v>
                </c:pt>
                <c:pt idx="261">
                  <c:v>9.2499999999999999E-2</c:v>
                </c:pt>
                <c:pt idx="262">
                  <c:v>0.315</c:v>
                </c:pt>
                <c:pt idx="263">
                  <c:v>8.5500000000000007E-2</c:v>
                </c:pt>
                <c:pt idx="264">
                  <c:v>0.39600000000000002</c:v>
                </c:pt>
                <c:pt idx="265">
                  <c:v>0.29499999999999998</c:v>
                </c:pt>
                <c:pt idx="266">
                  <c:v>0.308</c:v>
                </c:pt>
                <c:pt idx="267">
                  <c:v>0.29099999999999998</c:v>
                </c:pt>
                <c:pt idx="268">
                  <c:v>0.63800000000000001</c:v>
                </c:pt>
                <c:pt idx="269">
                  <c:v>0.36</c:v>
                </c:pt>
                <c:pt idx="270">
                  <c:v>0.33500000000000002</c:v>
                </c:pt>
                <c:pt idx="271">
                  <c:v>0.44</c:v>
                </c:pt>
                <c:pt idx="272">
                  <c:v>4.4999999999999998E-2</c:v>
                </c:pt>
                <c:pt idx="273">
                  <c:v>6.8000000000000005E-2</c:v>
                </c:pt>
                <c:pt idx="274">
                  <c:v>0.184</c:v>
                </c:pt>
                <c:pt idx="275">
                  <c:v>0.17</c:v>
                </c:pt>
                <c:pt idx="276">
                  <c:v>0.255</c:v>
                </c:pt>
                <c:pt idx="277">
                  <c:v>0.39</c:v>
                </c:pt>
                <c:pt idx="278">
                  <c:v>0.28749999999999998</c:v>
                </c:pt>
                <c:pt idx="279">
                  <c:v>0.40749999999999997</c:v>
                </c:pt>
                <c:pt idx="280">
                  <c:v>0.215</c:v>
                </c:pt>
                <c:pt idx="281">
                  <c:v>0.57999999999999996</c:v>
                </c:pt>
                <c:pt idx="282">
                  <c:v>0.2495</c:v>
                </c:pt>
                <c:pt idx="283">
                  <c:v>0.18</c:v>
                </c:pt>
                <c:pt idx="284">
                  <c:v>0.31</c:v>
                </c:pt>
                <c:pt idx="285">
                  <c:v>0.09</c:v>
                </c:pt>
                <c:pt idx="286">
                  <c:v>6.3500000000000001E-2</c:v>
                </c:pt>
                <c:pt idx="287">
                  <c:v>0.25</c:v>
                </c:pt>
                <c:pt idx="288">
                  <c:v>0.5</c:v>
                </c:pt>
                <c:pt idx="289">
                  <c:v>0.253</c:v>
                </c:pt>
                <c:pt idx="290">
                  <c:v>0.32</c:v>
                </c:pt>
                <c:pt idx="291">
                  <c:v>0.45050000000000001</c:v>
                </c:pt>
                <c:pt idx="292">
                  <c:v>4.4999999999999998E-2</c:v>
                </c:pt>
                <c:pt idx="293">
                  <c:v>0.21</c:v>
                </c:pt>
                <c:pt idx="294">
                  <c:v>0.1565</c:v>
                </c:pt>
                <c:pt idx="295">
                  <c:v>0.18</c:v>
                </c:pt>
                <c:pt idx="296">
                  <c:v>0.22500000000000001</c:v>
                </c:pt>
                <c:pt idx="297">
                  <c:v>0.33900000000000002</c:v>
                </c:pt>
                <c:pt idx="298">
                  <c:v>0.26</c:v>
                </c:pt>
                <c:pt idx="299">
                  <c:v>8.5999999999999993E-2</c:v>
                </c:pt>
                <c:pt idx="300">
                  <c:v>0.17</c:v>
                </c:pt>
                <c:pt idx="301">
                  <c:v>0.33500000000000002</c:v>
                </c:pt>
                <c:pt idx="302">
                  <c:v>0.47499999999999998</c:v>
                </c:pt>
                <c:pt idx="303">
                  <c:v>0.21</c:v>
                </c:pt>
                <c:pt idx="304">
                  <c:v>0.04</c:v>
                </c:pt>
                <c:pt idx="305">
                  <c:v>0.19</c:v>
                </c:pt>
                <c:pt idx="306">
                  <c:v>0.16</c:v>
                </c:pt>
                <c:pt idx="307">
                  <c:v>0.41</c:v>
                </c:pt>
                <c:pt idx="308">
                  <c:v>0.27500000000000002</c:v>
                </c:pt>
                <c:pt idx="309">
                  <c:v>0.2215</c:v>
                </c:pt>
                <c:pt idx="310">
                  <c:v>0.09</c:v>
                </c:pt>
                <c:pt idx="311">
                  <c:v>9.0999999999999998E-2</c:v>
                </c:pt>
                <c:pt idx="312">
                  <c:v>7.1999999999999995E-2</c:v>
                </c:pt>
                <c:pt idx="313">
                  <c:v>0.185</c:v>
                </c:pt>
                <c:pt idx="314">
                  <c:v>0.08</c:v>
                </c:pt>
                <c:pt idx="315">
                  <c:v>0.28999999999999998</c:v>
                </c:pt>
                <c:pt idx="316">
                  <c:v>8.5000000000000006E-2</c:v>
                </c:pt>
                <c:pt idx="317">
                  <c:v>0.19450000000000001</c:v>
                </c:pt>
                <c:pt idx="318">
                  <c:v>0.2</c:v>
                </c:pt>
                <c:pt idx="319">
                  <c:v>8.9999999999999993E-3</c:v>
                </c:pt>
                <c:pt idx="320">
                  <c:v>0.27500000000000002</c:v>
                </c:pt>
                <c:pt idx="321">
                  <c:v>0.43</c:v>
                </c:pt>
                <c:pt idx="322">
                  <c:v>3.5000000000000003E-2</c:v>
                </c:pt>
                <c:pt idx="323">
                  <c:v>0.26</c:v>
                </c:pt>
                <c:pt idx="324">
                  <c:v>0.16500000000000001</c:v>
                </c:pt>
                <c:pt idx="325">
                  <c:v>0.16900000000000001</c:v>
                </c:pt>
                <c:pt idx="326">
                  <c:v>0.1135</c:v>
                </c:pt>
                <c:pt idx="327">
                  <c:v>0.23</c:v>
                </c:pt>
                <c:pt idx="328">
                  <c:v>0.72499999999999998</c:v>
                </c:pt>
                <c:pt idx="329">
                  <c:v>4.3999999999999997E-2</c:v>
                </c:pt>
                <c:pt idx="330">
                  <c:v>0.1</c:v>
                </c:pt>
                <c:pt idx="331">
                  <c:v>0.27</c:v>
                </c:pt>
                <c:pt idx="332">
                  <c:v>0.1</c:v>
                </c:pt>
                <c:pt idx="333">
                  <c:v>0.45500000000000002</c:v>
                </c:pt>
                <c:pt idx="334">
                  <c:v>0.316</c:v>
                </c:pt>
                <c:pt idx="335">
                  <c:v>0.28000000000000003</c:v>
                </c:pt>
                <c:pt idx="336">
                  <c:v>0.29199999999999998</c:v>
                </c:pt>
                <c:pt idx="337">
                  <c:v>5.0000000000000001E-3</c:v>
                </c:pt>
                <c:pt idx="338">
                  <c:v>0.36499999999999999</c:v>
                </c:pt>
                <c:pt idx="339">
                  <c:v>0.1125</c:v>
                </c:pt>
                <c:pt idx="340">
                  <c:v>0.32800000000000001</c:v>
                </c:pt>
                <c:pt idx="341">
                  <c:v>0.14499999999999999</c:v>
                </c:pt>
                <c:pt idx="342">
                  <c:v>0.48799999999999999</c:v>
                </c:pt>
                <c:pt idx="343">
                  <c:v>0.26200000000000001</c:v>
                </c:pt>
                <c:pt idx="344">
                  <c:v>0.155</c:v>
                </c:pt>
                <c:pt idx="345">
                  <c:v>0.13500000000000001</c:v>
                </c:pt>
                <c:pt idx="346">
                  <c:v>0.22500000000000001</c:v>
                </c:pt>
                <c:pt idx="347">
                  <c:v>3.6999999999999998E-2</c:v>
                </c:pt>
                <c:pt idx="348">
                  <c:v>0.1</c:v>
                </c:pt>
                <c:pt idx="349">
                  <c:v>0.16850000000000001</c:v>
                </c:pt>
                <c:pt idx="350">
                  <c:v>0.60499999999999998</c:v>
                </c:pt>
                <c:pt idx="351">
                  <c:v>0.48799999999999999</c:v>
                </c:pt>
                <c:pt idx="352">
                  <c:v>0.31</c:v>
                </c:pt>
                <c:pt idx="353">
                  <c:v>0.24</c:v>
                </c:pt>
                <c:pt idx="354">
                  <c:v>0.315</c:v>
                </c:pt>
                <c:pt idx="355">
                  <c:v>0.2155</c:v>
                </c:pt>
                <c:pt idx="356">
                  <c:v>0.14799999999999999</c:v>
                </c:pt>
                <c:pt idx="357">
                  <c:v>0.30499999999999999</c:v>
                </c:pt>
                <c:pt idx="358">
                  <c:v>0.109</c:v>
                </c:pt>
                <c:pt idx="359">
                  <c:v>0.32</c:v>
                </c:pt>
                <c:pt idx="360">
                  <c:v>0.05</c:v>
                </c:pt>
                <c:pt idx="361">
                  <c:v>5.5E-2</c:v>
                </c:pt>
                <c:pt idx="362">
                  <c:v>0.26</c:v>
                </c:pt>
                <c:pt idx="363">
                  <c:v>0.29799999999999999</c:v>
                </c:pt>
                <c:pt idx="364">
                  <c:v>0.22</c:v>
                </c:pt>
                <c:pt idx="365">
                  <c:v>0.2215</c:v>
                </c:pt>
                <c:pt idx="366">
                  <c:v>0.40699999999999997</c:v>
                </c:pt>
                <c:pt idx="367">
                  <c:v>0.1</c:v>
                </c:pt>
                <c:pt idx="368">
                  <c:v>2.5999999999999999E-2</c:v>
                </c:pt>
                <c:pt idx="369">
                  <c:v>7.4499999999999997E-2</c:v>
                </c:pt>
                <c:pt idx="370">
                  <c:v>0.188</c:v>
                </c:pt>
                <c:pt idx="371">
                  <c:v>0.06</c:v>
                </c:pt>
                <c:pt idx="372">
                  <c:v>0.32500000000000001</c:v>
                </c:pt>
                <c:pt idx="373">
                  <c:v>0.625</c:v>
                </c:pt>
                <c:pt idx="374">
                  <c:v>0.315</c:v>
                </c:pt>
                <c:pt idx="375">
                  <c:v>0.08</c:v>
                </c:pt>
                <c:pt idx="376">
                  <c:v>0.185</c:v>
                </c:pt>
                <c:pt idx="377">
                  <c:v>0.155</c:v>
                </c:pt>
                <c:pt idx="378">
                  <c:v>8.1500000000000003E-2</c:v>
                </c:pt>
                <c:pt idx="379">
                  <c:v>0.33500000000000002</c:v>
                </c:pt>
                <c:pt idx="380">
                  <c:v>0.19650000000000001</c:v>
                </c:pt>
                <c:pt idx="381">
                  <c:v>0.245</c:v>
                </c:pt>
                <c:pt idx="382">
                  <c:v>0.255</c:v>
                </c:pt>
                <c:pt idx="383">
                  <c:v>0.4405</c:v>
                </c:pt>
                <c:pt idx="384">
                  <c:v>0.36</c:v>
                </c:pt>
                <c:pt idx="385">
                  <c:v>0.16250000000000001</c:v>
                </c:pt>
                <c:pt idx="386">
                  <c:v>0.08</c:v>
                </c:pt>
                <c:pt idx="387">
                  <c:v>0.17649999999999999</c:v>
                </c:pt>
                <c:pt idx="388">
                  <c:v>0.30549999999999999</c:v>
                </c:pt>
                <c:pt idx="389">
                  <c:v>4.9500000000000002E-2</c:v>
                </c:pt>
                <c:pt idx="390">
                  <c:v>1.4999999999999999E-2</c:v>
                </c:pt>
                <c:pt idx="391">
                  <c:v>0.245</c:v>
                </c:pt>
                <c:pt idx="392">
                  <c:v>0.12</c:v>
                </c:pt>
                <c:pt idx="393">
                  <c:v>0.57999999999999996</c:v>
                </c:pt>
                <c:pt idx="394">
                  <c:v>0.12</c:v>
                </c:pt>
                <c:pt idx="395">
                  <c:v>0.22500000000000001</c:v>
                </c:pt>
                <c:pt idx="396">
                  <c:v>0.39500000000000002</c:v>
                </c:pt>
                <c:pt idx="397">
                  <c:v>0.29499999999999998</c:v>
                </c:pt>
                <c:pt idx="398">
                  <c:v>0.17899999999999999</c:v>
                </c:pt>
                <c:pt idx="399">
                  <c:v>0.35399999999999998</c:v>
                </c:pt>
                <c:pt idx="400">
                  <c:v>0.20499999999999999</c:v>
                </c:pt>
                <c:pt idx="401">
                  <c:v>0.4375</c:v>
                </c:pt>
                <c:pt idx="402">
                  <c:v>0.315</c:v>
                </c:pt>
                <c:pt idx="403">
                  <c:v>0.13500000000000001</c:v>
                </c:pt>
                <c:pt idx="404">
                  <c:v>6.9500000000000006E-2</c:v>
                </c:pt>
                <c:pt idx="405">
                  <c:v>0.32</c:v>
                </c:pt>
                <c:pt idx="406">
                  <c:v>0.23</c:v>
                </c:pt>
                <c:pt idx="407">
                  <c:v>0.218</c:v>
                </c:pt>
                <c:pt idx="408">
                  <c:v>0.27600000000000002</c:v>
                </c:pt>
                <c:pt idx="409">
                  <c:v>4.0500000000000001E-2</c:v>
                </c:pt>
                <c:pt idx="410">
                  <c:v>0.13500000000000001</c:v>
                </c:pt>
                <c:pt idx="411">
                  <c:v>0.71</c:v>
                </c:pt>
                <c:pt idx="412">
                  <c:v>0.34</c:v>
                </c:pt>
                <c:pt idx="413">
                  <c:v>0.44</c:v>
                </c:pt>
                <c:pt idx="414">
                  <c:v>0.1525</c:v>
                </c:pt>
                <c:pt idx="415">
                  <c:v>0.41</c:v>
                </c:pt>
                <c:pt idx="416">
                  <c:v>0.16</c:v>
                </c:pt>
                <c:pt idx="417">
                  <c:v>0.215</c:v>
                </c:pt>
                <c:pt idx="418">
                  <c:v>0.46800000000000003</c:v>
                </c:pt>
                <c:pt idx="419">
                  <c:v>0.1305</c:v>
                </c:pt>
                <c:pt idx="420">
                  <c:v>0.28899999999999998</c:v>
                </c:pt>
                <c:pt idx="421">
                  <c:v>0.03</c:v>
                </c:pt>
                <c:pt idx="422">
                  <c:v>0.28499999999999998</c:v>
                </c:pt>
                <c:pt idx="423">
                  <c:v>0.57999999999999996</c:v>
                </c:pt>
                <c:pt idx="424">
                  <c:v>0.40600000000000003</c:v>
                </c:pt>
                <c:pt idx="425">
                  <c:v>0.34499999999999997</c:v>
                </c:pt>
                <c:pt idx="426">
                  <c:v>0.185</c:v>
                </c:pt>
                <c:pt idx="427">
                  <c:v>0.24</c:v>
                </c:pt>
                <c:pt idx="428">
                  <c:v>0.39500000000000002</c:v>
                </c:pt>
                <c:pt idx="429">
                  <c:v>6.25E-2</c:v>
                </c:pt>
                <c:pt idx="430">
                  <c:v>0.16500000000000001</c:v>
                </c:pt>
                <c:pt idx="431">
                  <c:v>0.113</c:v>
                </c:pt>
                <c:pt idx="432">
                  <c:v>0.28999999999999998</c:v>
                </c:pt>
                <c:pt idx="433">
                  <c:v>0.109</c:v>
                </c:pt>
                <c:pt idx="434">
                  <c:v>0.155</c:v>
                </c:pt>
                <c:pt idx="435">
                  <c:v>0.186</c:v>
                </c:pt>
                <c:pt idx="436">
                  <c:v>7.4999999999999997E-2</c:v>
                </c:pt>
                <c:pt idx="437">
                  <c:v>0.26</c:v>
                </c:pt>
                <c:pt idx="438">
                  <c:v>0.11</c:v>
                </c:pt>
                <c:pt idx="439">
                  <c:v>0.26600000000000001</c:v>
                </c:pt>
                <c:pt idx="440">
                  <c:v>0.245</c:v>
                </c:pt>
                <c:pt idx="441">
                  <c:v>0.16</c:v>
                </c:pt>
                <c:pt idx="442">
                  <c:v>0.22</c:v>
                </c:pt>
                <c:pt idx="443">
                  <c:v>0.25</c:v>
                </c:pt>
                <c:pt idx="444">
                  <c:v>0.30499999999999999</c:v>
                </c:pt>
                <c:pt idx="445">
                  <c:v>0.06</c:v>
                </c:pt>
                <c:pt idx="446">
                  <c:v>0.253</c:v>
                </c:pt>
                <c:pt idx="447">
                  <c:v>0.155</c:v>
                </c:pt>
                <c:pt idx="448">
                  <c:v>0.30349999999999999</c:v>
                </c:pt>
                <c:pt idx="449">
                  <c:v>0.34499999999999997</c:v>
                </c:pt>
                <c:pt idx="450">
                  <c:v>0.05</c:v>
                </c:pt>
                <c:pt idx="451">
                  <c:v>0.11600000000000001</c:v>
                </c:pt>
                <c:pt idx="452">
                  <c:v>0.42</c:v>
                </c:pt>
                <c:pt idx="453">
                  <c:v>0.26300000000000001</c:v>
                </c:pt>
                <c:pt idx="454">
                  <c:v>0.31</c:v>
                </c:pt>
                <c:pt idx="455">
                  <c:v>0.19650000000000001</c:v>
                </c:pt>
                <c:pt idx="456">
                  <c:v>3.5999999999999997E-2</c:v>
                </c:pt>
                <c:pt idx="457">
                  <c:v>0.27850000000000003</c:v>
                </c:pt>
                <c:pt idx="458">
                  <c:v>0.215</c:v>
                </c:pt>
                <c:pt idx="459">
                  <c:v>0.1525</c:v>
                </c:pt>
                <c:pt idx="460">
                  <c:v>0.14299999999999999</c:v>
                </c:pt>
                <c:pt idx="461">
                  <c:v>0.317</c:v>
                </c:pt>
                <c:pt idx="462">
                  <c:v>0.16600000000000001</c:v>
                </c:pt>
                <c:pt idx="463">
                  <c:v>0.26350000000000001</c:v>
                </c:pt>
                <c:pt idx="464">
                  <c:v>0.19</c:v>
                </c:pt>
                <c:pt idx="465">
                  <c:v>0.16900000000000001</c:v>
                </c:pt>
                <c:pt idx="466">
                  <c:v>0.13500000000000001</c:v>
                </c:pt>
                <c:pt idx="467">
                  <c:v>0.35</c:v>
                </c:pt>
                <c:pt idx="468">
                  <c:v>0.28249999999999997</c:v>
                </c:pt>
                <c:pt idx="469">
                  <c:v>0.36</c:v>
                </c:pt>
                <c:pt idx="470">
                  <c:v>4.2999999999999997E-2</c:v>
                </c:pt>
                <c:pt idx="471">
                  <c:v>0.28499999999999998</c:v>
                </c:pt>
                <c:pt idx="472">
                  <c:v>0.16200000000000001</c:v>
                </c:pt>
                <c:pt idx="473">
                  <c:v>0.32</c:v>
                </c:pt>
                <c:pt idx="474">
                  <c:v>0.19500000000000001</c:v>
                </c:pt>
                <c:pt idx="475">
                  <c:v>0.38850000000000001</c:v>
                </c:pt>
                <c:pt idx="476">
                  <c:v>0.3</c:v>
                </c:pt>
                <c:pt idx="477">
                  <c:v>0.28000000000000003</c:v>
                </c:pt>
                <c:pt idx="478">
                  <c:v>0.47499999999999998</c:v>
                </c:pt>
                <c:pt idx="479">
                  <c:v>7.0000000000000007E-2</c:v>
                </c:pt>
                <c:pt idx="480">
                  <c:v>0.18099999999999999</c:v>
                </c:pt>
                <c:pt idx="481">
                  <c:v>0.27050000000000002</c:v>
                </c:pt>
                <c:pt idx="482">
                  <c:v>7.0000000000000007E-2</c:v>
                </c:pt>
                <c:pt idx="483">
                  <c:v>0.27500000000000002</c:v>
                </c:pt>
                <c:pt idx="484">
                  <c:v>0.36</c:v>
                </c:pt>
                <c:pt idx="485">
                  <c:v>0.185</c:v>
                </c:pt>
                <c:pt idx="486">
                  <c:v>0.16</c:v>
                </c:pt>
                <c:pt idx="487">
                  <c:v>8.0500000000000002E-2</c:v>
                </c:pt>
                <c:pt idx="488">
                  <c:v>0.42</c:v>
                </c:pt>
                <c:pt idx="489">
                  <c:v>0.27900000000000003</c:v>
                </c:pt>
                <c:pt idx="490">
                  <c:v>0.13900000000000001</c:v>
                </c:pt>
                <c:pt idx="491">
                  <c:v>0.374</c:v>
                </c:pt>
                <c:pt idx="492">
                  <c:v>6.4500000000000002E-2</c:v>
                </c:pt>
                <c:pt idx="493">
                  <c:v>9.35E-2</c:v>
                </c:pt>
                <c:pt idx="494">
                  <c:v>0.38250000000000001</c:v>
                </c:pt>
                <c:pt idx="495">
                  <c:v>0.43049999999999999</c:v>
                </c:pt>
                <c:pt idx="496">
                  <c:v>0.26300000000000001</c:v>
                </c:pt>
                <c:pt idx="497">
                  <c:v>0.33150000000000002</c:v>
                </c:pt>
                <c:pt idx="498">
                  <c:v>0.26500000000000001</c:v>
                </c:pt>
                <c:pt idx="499">
                  <c:v>0.52500000000000002</c:v>
                </c:pt>
                <c:pt idx="500">
                  <c:v>0.62</c:v>
                </c:pt>
                <c:pt idx="501">
                  <c:v>0.52</c:v>
                </c:pt>
                <c:pt idx="502">
                  <c:v>0.23899999999999999</c:v>
                </c:pt>
                <c:pt idx="503">
                  <c:v>0.315</c:v>
                </c:pt>
                <c:pt idx="504">
                  <c:v>0.35399999999999998</c:v>
                </c:pt>
                <c:pt idx="505">
                  <c:v>0.09</c:v>
                </c:pt>
                <c:pt idx="506">
                  <c:v>0.215</c:v>
                </c:pt>
                <c:pt idx="507">
                  <c:v>0.13500000000000001</c:v>
                </c:pt>
                <c:pt idx="508">
                  <c:v>0.30499999999999999</c:v>
                </c:pt>
                <c:pt idx="509">
                  <c:v>0.26</c:v>
                </c:pt>
                <c:pt idx="510">
                  <c:v>0.105</c:v>
                </c:pt>
                <c:pt idx="511">
                  <c:v>0.10349999999999999</c:v>
                </c:pt>
                <c:pt idx="512">
                  <c:v>0.151</c:v>
                </c:pt>
                <c:pt idx="513">
                  <c:v>0.13850000000000001</c:v>
                </c:pt>
                <c:pt idx="514">
                  <c:v>0.19400000000000001</c:v>
                </c:pt>
                <c:pt idx="515">
                  <c:v>0.18</c:v>
                </c:pt>
                <c:pt idx="516">
                  <c:v>0.32200000000000001</c:v>
                </c:pt>
                <c:pt idx="517">
                  <c:v>0.255</c:v>
                </c:pt>
                <c:pt idx="518">
                  <c:v>0.38500000000000001</c:v>
                </c:pt>
                <c:pt idx="519">
                  <c:v>0.22</c:v>
                </c:pt>
                <c:pt idx="520">
                  <c:v>0.24249999999999999</c:v>
                </c:pt>
                <c:pt idx="521">
                  <c:v>0.52</c:v>
                </c:pt>
                <c:pt idx="522">
                  <c:v>4.1000000000000002E-2</c:v>
                </c:pt>
                <c:pt idx="523">
                  <c:v>0.28499999999999998</c:v>
                </c:pt>
                <c:pt idx="524">
                  <c:v>0.22700000000000001</c:v>
                </c:pt>
                <c:pt idx="525">
                  <c:v>0.39</c:v>
                </c:pt>
                <c:pt idx="526">
                  <c:v>0.27500000000000002</c:v>
                </c:pt>
                <c:pt idx="527">
                  <c:v>0.13600000000000001</c:v>
                </c:pt>
                <c:pt idx="528">
                  <c:v>0.4375</c:v>
                </c:pt>
                <c:pt idx="529">
                  <c:v>0.22</c:v>
                </c:pt>
                <c:pt idx="530">
                  <c:v>0.3725</c:v>
                </c:pt>
                <c:pt idx="531">
                  <c:v>0.22500000000000001</c:v>
                </c:pt>
                <c:pt idx="532">
                  <c:v>0.255</c:v>
                </c:pt>
                <c:pt idx="533">
                  <c:v>5.5E-2</c:v>
                </c:pt>
                <c:pt idx="534">
                  <c:v>0.3</c:v>
                </c:pt>
                <c:pt idx="535">
                  <c:v>0.27400000000000002</c:v>
                </c:pt>
                <c:pt idx="536">
                  <c:v>0.51500000000000001</c:v>
                </c:pt>
                <c:pt idx="537">
                  <c:v>3.9E-2</c:v>
                </c:pt>
                <c:pt idx="538">
                  <c:v>0.24</c:v>
                </c:pt>
                <c:pt idx="539">
                  <c:v>3.5000000000000003E-2</c:v>
                </c:pt>
                <c:pt idx="540">
                  <c:v>0.33</c:v>
                </c:pt>
                <c:pt idx="541">
                  <c:v>0.16650000000000001</c:v>
                </c:pt>
                <c:pt idx="542">
                  <c:v>0.35</c:v>
                </c:pt>
                <c:pt idx="543">
                  <c:v>0.255</c:v>
                </c:pt>
                <c:pt idx="544">
                  <c:v>0.125</c:v>
                </c:pt>
                <c:pt idx="545">
                  <c:v>0.2545</c:v>
                </c:pt>
                <c:pt idx="546">
                  <c:v>0.79749999999999999</c:v>
                </c:pt>
                <c:pt idx="547">
                  <c:v>7.0000000000000007E-2</c:v>
                </c:pt>
                <c:pt idx="548">
                  <c:v>0.1</c:v>
                </c:pt>
                <c:pt idx="549">
                  <c:v>5.5E-2</c:v>
                </c:pt>
                <c:pt idx="550">
                  <c:v>0.22900000000000001</c:v>
                </c:pt>
                <c:pt idx="551">
                  <c:v>0.27</c:v>
                </c:pt>
                <c:pt idx="552">
                  <c:v>0.34499999999999997</c:v>
                </c:pt>
                <c:pt idx="553">
                  <c:v>0.41499999999999998</c:v>
                </c:pt>
                <c:pt idx="554">
                  <c:v>0.35049999999999998</c:v>
                </c:pt>
                <c:pt idx="555">
                  <c:v>0.26450000000000001</c:v>
                </c:pt>
                <c:pt idx="556">
                  <c:v>0.11</c:v>
                </c:pt>
                <c:pt idx="557">
                  <c:v>0.22</c:v>
                </c:pt>
                <c:pt idx="558">
                  <c:v>0.11</c:v>
                </c:pt>
                <c:pt idx="559">
                  <c:v>0.4395</c:v>
                </c:pt>
                <c:pt idx="560">
                  <c:v>0.10249999999999999</c:v>
                </c:pt>
                <c:pt idx="561">
                  <c:v>0.28499999999999998</c:v>
                </c:pt>
                <c:pt idx="562">
                  <c:v>0.32</c:v>
                </c:pt>
                <c:pt idx="563">
                  <c:v>0.41</c:v>
                </c:pt>
                <c:pt idx="564">
                  <c:v>0.37</c:v>
                </c:pt>
                <c:pt idx="565">
                  <c:v>0.13500000000000001</c:v>
                </c:pt>
                <c:pt idx="566">
                  <c:v>0.09</c:v>
                </c:pt>
                <c:pt idx="567">
                  <c:v>9.5000000000000001E-2</c:v>
                </c:pt>
                <c:pt idx="568">
                  <c:v>0.25</c:v>
                </c:pt>
                <c:pt idx="569">
                  <c:v>0.16700000000000001</c:v>
                </c:pt>
                <c:pt idx="570">
                  <c:v>0.23899999999999999</c:v>
                </c:pt>
                <c:pt idx="571">
                  <c:v>0.28999999999999998</c:v>
                </c:pt>
                <c:pt idx="572">
                  <c:v>0.125</c:v>
                </c:pt>
                <c:pt idx="573">
                  <c:v>0.10299999999999999</c:v>
                </c:pt>
                <c:pt idx="574">
                  <c:v>0.309</c:v>
                </c:pt>
                <c:pt idx="575">
                  <c:v>8.3000000000000004E-2</c:v>
                </c:pt>
                <c:pt idx="576">
                  <c:v>0.17899999999999999</c:v>
                </c:pt>
                <c:pt idx="577">
                  <c:v>0.13350000000000001</c:v>
                </c:pt>
                <c:pt idx="578">
                  <c:v>0.21199999999999999</c:v>
                </c:pt>
                <c:pt idx="579">
                  <c:v>0.37</c:v>
                </c:pt>
                <c:pt idx="580">
                  <c:v>0.13750000000000001</c:v>
                </c:pt>
                <c:pt idx="581">
                  <c:v>0.27500000000000002</c:v>
                </c:pt>
                <c:pt idx="582">
                  <c:v>0.13450000000000001</c:v>
                </c:pt>
                <c:pt idx="583">
                  <c:v>0.32500000000000001</c:v>
                </c:pt>
                <c:pt idx="584">
                  <c:v>0.30499999999999999</c:v>
                </c:pt>
                <c:pt idx="585">
                  <c:v>0.11</c:v>
                </c:pt>
                <c:pt idx="586">
                  <c:v>0.17</c:v>
                </c:pt>
                <c:pt idx="587">
                  <c:v>0.52</c:v>
                </c:pt>
                <c:pt idx="588">
                  <c:v>0.49399999999999999</c:v>
                </c:pt>
                <c:pt idx="589">
                  <c:v>7.0000000000000007E-2</c:v>
                </c:pt>
                <c:pt idx="590">
                  <c:v>0.14499999999999999</c:v>
                </c:pt>
                <c:pt idx="591">
                  <c:v>4.0000000000000001E-3</c:v>
                </c:pt>
                <c:pt idx="592">
                  <c:v>6.0499999999999998E-2</c:v>
                </c:pt>
                <c:pt idx="593">
                  <c:v>0.1065</c:v>
                </c:pt>
                <c:pt idx="594">
                  <c:v>0.109</c:v>
                </c:pt>
                <c:pt idx="595">
                  <c:v>0.29449999999999998</c:v>
                </c:pt>
                <c:pt idx="596">
                  <c:v>0.35199999999999998</c:v>
                </c:pt>
                <c:pt idx="597">
                  <c:v>0.28000000000000003</c:v>
                </c:pt>
                <c:pt idx="598">
                  <c:v>0.25750000000000001</c:v>
                </c:pt>
                <c:pt idx="599">
                  <c:v>0.245</c:v>
                </c:pt>
                <c:pt idx="600">
                  <c:v>0.17499999999999999</c:v>
                </c:pt>
                <c:pt idx="601">
                  <c:v>0.4</c:v>
                </c:pt>
                <c:pt idx="602">
                  <c:v>0.23499999999999999</c:v>
                </c:pt>
                <c:pt idx="603">
                  <c:v>0.19600000000000001</c:v>
                </c:pt>
                <c:pt idx="604">
                  <c:v>0.27450000000000002</c:v>
                </c:pt>
                <c:pt idx="605">
                  <c:v>0.14499999999999999</c:v>
                </c:pt>
                <c:pt idx="606">
                  <c:v>0.29199999999999998</c:v>
                </c:pt>
                <c:pt idx="607">
                  <c:v>7.0000000000000007E-2</c:v>
                </c:pt>
                <c:pt idx="608">
                  <c:v>0.1135</c:v>
                </c:pt>
                <c:pt idx="609">
                  <c:v>7.0000000000000007E-2</c:v>
                </c:pt>
                <c:pt idx="610">
                  <c:v>0.6855</c:v>
                </c:pt>
                <c:pt idx="611">
                  <c:v>0.109</c:v>
                </c:pt>
                <c:pt idx="612">
                  <c:v>6.2E-2</c:v>
                </c:pt>
                <c:pt idx="613">
                  <c:v>0.53</c:v>
                </c:pt>
                <c:pt idx="614">
                  <c:v>0.15049999999999999</c:v>
                </c:pt>
                <c:pt idx="615">
                  <c:v>0.27400000000000002</c:v>
                </c:pt>
                <c:pt idx="616">
                  <c:v>0.20499999999999999</c:v>
                </c:pt>
                <c:pt idx="617">
                  <c:v>0.15</c:v>
                </c:pt>
                <c:pt idx="618">
                  <c:v>0.23899999999999999</c:v>
                </c:pt>
                <c:pt idx="619">
                  <c:v>0.221</c:v>
                </c:pt>
                <c:pt idx="620">
                  <c:v>0.14199999999999999</c:v>
                </c:pt>
                <c:pt idx="621">
                  <c:v>0.26</c:v>
                </c:pt>
                <c:pt idx="622">
                  <c:v>0.3</c:v>
                </c:pt>
                <c:pt idx="623">
                  <c:v>0.3</c:v>
                </c:pt>
                <c:pt idx="624">
                  <c:v>0.17199999999999999</c:v>
                </c:pt>
                <c:pt idx="625">
                  <c:v>0.36849999999999999</c:v>
                </c:pt>
                <c:pt idx="626">
                  <c:v>0.32</c:v>
                </c:pt>
                <c:pt idx="627">
                  <c:v>0.47</c:v>
                </c:pt>
                <c:pt idx="628">
                  <c:v>0.42449999999999999</c:v>
                </c:pt>
                <c:pt idx="629">
                  <c:v>0.26500000000000001</c:v>
                </c:pt>
                <c:pt idx="630">
                  <c:v>0.40500000000000003</c:v>
                </c:pt>
                <c:pt idx="631">
                  <c:v>0.33</c:v>
                </c:pt>
                <c:pt idx="632">
                  <c:v>0.33200000000000002</c:v>
                </c:pt>
                <c:pt idx="633">
                  <c:v>0.21249999999999999</c:v>
                </c:pt>
                <c:pt idx="634">
                  <c:v>0.06</c:v>
                </c:pt>
                <c:pt idx="635">
                  <c:v>0.1845</c:v>
                </c:pt>
                <c:pt idx="636">
                  <c:v>0.255</c:v>
                </c:pt>
                <c:pt idx="637">
                  <c:v>0.40550000000000003</c:v>
                </c:pt>
                <c:pt idx="638">
                  <c:v>0.26500000000000001</c:v>
                </c:pt>
                <c:pt idx="639">
                  <c:v>0.14599999999999999</c:v>
                </c:pt>
                <c:pt idx="640">
                  <c:v>0.20899999999999999</c:v>
                </c:pt>
                <c:pt idx="641">
                  <c:v>0.27050000000000002</c:v>
                </c:pt>
                <c:pt idx="642">
                  <c:v>0.41499999999999998</c:v>
                </c:pt>
                <c:pt idx="643">
                  <c:v>0.40300000000000002</c:v>
                </c:pt>
                <c:pt idx="644">
                  <c:v>0.33500000000000002</c:v>
                </c:pt>
                <c:pt idx="645">
                  <c:v>0.16800000000000001</c:v>
                </c:pt>
                <c:pt idx="646">
                  <c:v>0.13100000000000001</c:v>
                </c:pt>
                <c:pt idx="647">
                  <c:v>0.11</c:v>
                </c:pt>
                <c:pt idx="648">
                  <c:v>0.27</c:v>
                </c:pt>
                <c:pt idx="649">
                  <c:v>0.35</c:v>
                </c:pt>
                <c:pt idx="650">
                  <c:v>0.26400000000000001</c:v>
                </c:pt>
                <c:pt idx="651">
                  <c:v>0.35099999999999998</c:v>
                </c:pt>
                <c:pt idx="652">
                  <c:v>0.25</c:v>
                </c:pt>
                <c:pt idx="653">
                  <c:v>0.185</c:v>
                </c:pt>
                <c:pt idx="654">
                  <c:v>0.27200000000000002</c:v>
                </c:pt>
                <c:pt idx="655">
                  <c:v>5.0000000000000001E-3</c:v>
                </c:pt>
                <c:pt idx="656">
                  <c:v>0.215</c:v>
                </c:pt>
                <c:pt idx="657">
                  <c:v>0.19500000000000001</c:v>
                </c:pt>
                <c:pt idx="658">
                  <c:v>0.43</c:v>
                </c:pt>
                <c:pt idx="659">
                  <c:v>0.37</c:v>
                </c:pt>
                <c:pt idx="660">
                  <c:v>0.25</c:v>
                </c:pt>
                <c:pt idx="661">
                  <c:v>0.39</c:v>
                </c:pt>
                <c:pt idx="662">
                  <c:v>0.19</c:v>
                </c:pt>
                <c:pt idx="663">
                  <c:v>3.4000000000000002E-2</c:v>
                </c:pt>
                <c:pt idx="664">
                  <c:v>0.25</c:v>
                </c:pt>
                <c:pt idx="665">
                  <c:v>0.18</c:v>
                </c:pt>
                <c:pt idx="666">
                  <c:v>0.22</c:v>
                </c:pt>
                <c:pt idx="667">
                  <c:v>8.9999999999999993E-3</c:v>
                </c:pt>
                <c:pt idx="668">
                  <c:v>0.185</c:v>
                </c:pt>
                <c:pt idx="669">
                  <c:v>0.27850000000000003</c:v>
                </c:pt>
                <c:pt idx="670">
                  <c:v>0.20499999999999999</c:v>
                </c:pt>
                <c:pt idx="671">
                  <c:v>0.02</c:v>
                </c:pt>
                <c:pt idx="672">
                  <c:v>0.185</c:v>
                </c:pt>
                <c:pt idx="673">
                  <c:v>7.4999999999999997E-3</c:v>
                </c:pt>
                <c:pt idx="674">
                  <c:v>6.7500000000000004E-2</c:v>
                </c:pt>
                <c:pt idx="675">
                  <c:v>0.41</c:v>
                </c:pt>
                <c:pt idx="676">
                  <c:v>4.4999999999999998E-2</c:v>
                </c:pt>
                <c:pt idx="677">
                  <c:v>4.3999999999999997E-2</c:v>
                </c:pt>
                <c:pt idx="678">
                  <c:v>7.4999999999999997E-2</c:v>
                </c:pt>
                <c:pt idx="679">
                  <c:v>9.6000000000000002E-2</c:v>
                </c:pt>
                <c:pt idx="680">
                  <c:v>0.39500000000000002</c:v>
                </c:pt>
                <c:pt idx="681">
                  <c:v>5.5E-2</c:v>
                </c:pt>
                <c:pt idx="682">
                  <c:v>0.41499999999999998</c:v>
                </c:pt>
                <c:pt idx="683">
                  <c:v>0.2</c:v>
                </c:pt>
                <c:pt idx="684">
                  <c:v>0.22</c:v>
                </c:pt>
                <c:pt idx="685">
                  <c:v>0.29599999999999999</c:v>
                </c:pt>
                <c:pt idx="686">
                  <c:v>0.24049999999999999</c:v>
                </c:pt>
                <c:pt idx="687">
                  <c:v>0.32</c:v>
                </c:pt>
                <c:pt idx="688">
                  <c:v>0.55000000000000004</c:v>
                </c:pt>
                <c:pt idx="689">
                  <c:v>0.26500000000000001</c:v>
                </c:pt>
                <c:pt idx="690">
                  <c:v>0.32250000000000001</c:v>
                </c:pt>
                <c:pt idx="691">
                  <c:v>0.04</c:v>
                </c:pt>
                <c:pt idx="692">
                  <c:v>0.65849999999999997</c:v>
                </c:pt>
                <c:pt idx="693">
                  <c:v>0.3</c:v>
                </c:pt>
                <c:pt idx="694">
                  <c:v>0.215</c:v>
                </c:pt>
                <c:pt idx="695">
                  <c:v>0.24</c:v>
                </c:pt>
                <c:pt idx="696">
                  <c:v>0.16</c:v>
                </c:pt>
                <c:pt idx="697">
                  <c:v>0.13500000000000001</c:v>
                </c:pt>
                <c:pt idx="698">
                  <c:v>0.16500000000000001</c:v>
                </c:pt>
                <c:pt idx="699">
                  <c:v>0.38</c:v>
                </c:pt>
                <c:pt idx="700">
                  <c:v>0.435</c:v>
                </c:pt>
                <c:pt idx="701">
                  <c:v>0.625</c:v>
                </c:pt>
                <c:pt idx="702">
                  <c:v>0.28000000000000003</c:v>
                </c:pt>
                <c:pt idx="703">
                  <c:v>0.46100000000000002</c:v>
                </c:pt>
                <c:pt idx="704">
                  <c:v>0.36</c:v>
                </c:pt>
                <c:pt idx="705">
                  <c:v>0.16</c:v>
                </c:pt>
                <c:pt idx="706">
                  <c:v>3.2000000000000001E-2</c:v>
                </c:pt>
                <c:pt idx="707">
                  <c:v>0.129</c:v>
                </c:pt>
                <c:pt idx="708">
                  <c:v>1.2E-2</c:v>
                </c:pt>
                <c:pt idx="709">
                  <c:v>0.27</c:v>
                </c:pt>
                <c:pt idx="710">
                  <c:v>0.34399999999999997</c:v>
                </c:pt>
                <c:pt idx="711">
                  <c:v>6.7000000000000004E-2</c:v>
                </c:pt>
                <c:pt idx="712">
                  <c:v>0.35499999999999998</c:v>
                </c:pt>
                <c:pt idx="713">
                  <c:v>0.13550000000000001</c:v>
                </c:pt>
                <c:pt idx="714">
                  <c:v>0.246</c:v>
                </c:pt>
                <c:pt idx="715">
                  <c:v>0.09</c:v>
                </c:pt>
                <c:pt idx="716">
                  <c:v>0.22</c:v>
                </c:pt>
                <c:pt idx="717">
                  <c:v>0.38400000000000001</c:v>
                </c:pt>
                <c:pt idx="718">
                  <c:v>9.6000000000000002E-2</c:v>
                </c:pt>
                <c:pt idx="719">
                  <c:v>0.28249999999999997</c:v>
                </c:pt>
                <c:pt idx="720">
                  <c:v>0.49</c:v>
                </c:pt>
                <c:pt idx="721">
                  <c:v>4.65E-2</c:v>
                </c:pt>
                <c:pt idx="722">
                  <c:v>0.45</c:v>
                </c:pt>
                <c:pt idx="723">
                  <c:v>0.13250000000000001</c:v>
                </c:pt>
                <c:pt idx="724">
                  <c:v>0.20499999999999999</c:v>
                </c:pt>
                <c:pt idx="725">
                  <c:v>0.55700000000000005</c:v>
                </c:pt>
                <c:pt idx="726">
                  <c:v>4.5499999999999999E-2</c:v>
                </c:pt>
                <c:pt idx="727">
                  <c:v>0.17399999999999999</c:v>
                </c:pt>
                <c:pt idx="728">
                  <c:v>0.49</c:v>
                </c:pt>
                <c:pt idx="729">
                  <c:v>0.31</c:v>
                </c:pt>
                <c:pt idx="730">
                  <c:v>0.20499999999999999</c:v>
                </c:pt>
                <c:pt idx="731">
                  <c:v>0.48</c:v>
                </c:pt>
                <c:pt idx="732">
                  <c:v>0.17</c:v>
                </c:pt>
                <c:pt idx="733">
                  <c:v>8.2000000000000003E-2</c:v>
                </c:pt>
                <c:pt idx="734">
                  <c:v>7.0000000000000007E-2</c:v>
                </c:pt>
                <c:pt idx="735">
                  <c:v>0.26800000000000002</c:v>
                </c:pt>
                <c:pt idx="736">
                  <c:v>0.27350000000000002</c:v>
                </c:pt>
                <c:pt idx="737">
                  <c:v>0.54500000000000004</c:v>
                </c:pt>
                <c:pt idx="738">
                  <c:v>0.29549999999999998</c:v>
                </c:pt>
                <c:pt idx="739">
                  <c:v>0.25900000000000001</c:v>
                </c:pt>
                <c:pt idx="740">
                  <c:v>0.23400000000000001</c:v>
                </c:pt>
                <c:pt idx="741">
                  <c:v>0.20699999999999999</c:v>
                </c:pt>
                <c:pt idx="742">
                  <c:v>0.12</c:v>
                </c:pt>
                <c:pt idx="743">
                  <c:v>7.4999999999999997E-2</c:v>
                </c:pt>
                <c:pt idx="744">
                  <c:v>0.17</c:v>
                </c:pt>
                <c:pt idx="745">
                  <c:v>0.23849999999999999</c:v>
                </c:pt>
                <c:pt idx="746">
                  <c:v>0.25</c:v>
                </c:pt>
                <c:pt idx="747">
                  <c:v>0.22950000000000001</c:v>
                </c:pt>
                <c:pt idx="748">
                  <c:v>0.26500000000000001</c:v>
                </c:pt>
                <c:pt idx="749">
                  <c:v>0.09</c:v>
                </c:pt>
                <c:pt idx="750">
                  <c:v>0.105</c:v>
                </c:pt>
                <c:pt idx="751">
                  <c:v>0.105</c:v>
                </c:pt>
                <c:pt idx="752">
                  <c:v>0.20599999999999999</c:v>
                </c:pt>
                <c:pt idx="753">
                  <c:v>0.249</c:v>
                </c:pt>
                <c:pt idx="754">
                  <c:v>0.41</c:v>
                </c:pt>
                <c:pt idx="755">
                  <c:v>0.05</c:v>
                </c:pt>
                <c:pt idx="756">
                  <c:v>6.2E-2</c:v>
                </c:pt>
                <c:pt idx="757">
                  <c:v>0.4395</c:v>
                </c:pt>
                <c:pt idx="758">
                  <c:v>0.155</c:v>
                </c:pt>
                <c:pt idx="759">
                  <c:v>0.17</c:v>
                </c:pt>
                <c:pt idx="760">
                  <c:v>0.505</c:v>
                </c:pt>
                <c:pt idx="761">
                  <c:v>0.3135</c:v>
                </c:pt>
                <c:pt idx="762">
                  <c:v>0.62</c:v>
                </c:pt>
                <c:pt idx="763">
                  <c:v>0.17</c:v>
                </c:pt>
                <c:pt idx="764">
                  <c:v>6.5000000000000002E-2</c:v>
                </c:pt>
                <c:pt idx="765">
                  <c:v>0.2475</c:v>
                </c:pt>
                <c:pt idx="766">
                  <c:v>8.0000000000000002E-3</c:v>
                </c:pt>
                <c:pt idx="767">
                  <c:v>0.20150000000000001</c:v>
                </c:pt>
                <c:pt idx="768">
                  <c:v>0.2</c:v>
                </c:pt>
                <c:pt idx="769">
                  <c:v>0.435</c:v>
                </c:pt>
                <c:pt idx="770">
                  <c:v>3.3500000000000002E-2</c:v>
                </c:pt>
                <c:pt idx="771">
                  <c:v>0.17</c:v>
                </c:pt>
                <c:pt idx="772">
                  <c:v>7.7499999999999999E-2</c:v>
                </c:pt>
                <c:pt idx="773">
                  <c:v>0.36</c:v>
                </c:pt>
                <c:pt idx="774">
                  <c:v>3.3000000000000002E-2</c:v>
                </c:pt>
                <c:pt idx="775">
                  <c:v>8.6499999999999994E-2</c:v>
                </c:pt>
                <c:pt idx="776">
                  <c:v>0.185</c:v>
                </c:pt>
                <c:pt idx="777">
                  <c:v>0.309</c:v>
                </c:pt>
                <c:pt idx="778">
                  <c:v>0.28000000000000003</c:v>
                </c:pt>
                <c:pt idx="779">
                  <c:v>0.33150000000000002</c:v>
                </c:pt>
                <c:pt idx="780">
                  <c:v>3.5000000000000003E-2</c:v>
                </c:pt>
                <c:pt idx="781">
                  <c:v>0.24</c:v>
                </c:pt>
                <c:pt idx="782">
                  <c:v>0.1255</c:v>
                </c:pt>
                <c:pt idx="783">
                  <c:v>0.14549999999999999</c:v>
                </c:pt>
                <c:pt idx="784">
                  <c:v>0.19</c:v>
                </c:pt>
                <c:pt idx="785">
                  <c:v>7.4999999999999997E-2</c:v>
                </c:pt>
                <c:pt idx="786">
                  <c:v>0.12</c:v>
                </c:pt>
                <c:pt idx="787">
                  <c:v>0.46500000000000002</c:v>
                </c:pt>
                <c:pt idx="788">
                  <c:v>0.05</c:v>
                </c:pt>
                <c:pt idx="789">
                  <c:v>0.315</c:v>
                </c:pt>
                <c:pt idx="790">
                  <c:v>0.46899999999999997</c:v>
                </c:pt>
                <c:pt idx="791">
                  <c:v>4.2500000000000003E-2</c:v>
                </c:pt>
                <c:pt idx="792">
                  <c:v>7.0000000000000007E-2</c:v>
                </c:pt>
                <c:pt idx="793">
                  <c:v>0.27500000000000002</c:v>
                </c:pt>
                <c:pt idx="794">
                  <c:v>5.5E-2</c:v>
                </c:pt>
                <c:pt idx="795">
                  <c:v>0.35</c:v>
                </c:pt>
                <c:pt idx="796">
                  <c:v>0.04</c:v>
                </c:pt>
                <c:pt idx="797">
                  <c:v>0.28349999999999997</c:v>
                </c:pt>
                <c:pt idx="798">
                  <c:v>0.29499999999999998</c:v>
                </c:pt>
                <c:pt idx="799">
                  <c:v>0.48249999999999998</c:v>
                </c:pt>
                <c:pt idx="800">
                  <c:v>0.03</c:v>
                </c:pt>
                <c:pt idx="801">
                  <c:v>0.155</c:v>
                </c:pt>
                <c:pt idx="802">
                  <c:v>0.125</c:v>
                </c:pt>
                <c:pt idx="803">
                  <c:v>0.215</c:v>
                </c:pt>
                <c:pt idx="804">
                  <c:v>0.14299999999999999</c:v>
                </c:pt>
                <c:pt idx="805">
                  <c:v>0.19500000000000001</c:v>
                </c:pt>
                <c:pt idx="806">
                  <c:v>0.55500000000000005</c:v>
                </c:pt>
                <c:pt idx="807">
                  <c:v>0.15</c:v>
                </c:pt>
                <c:pt idx="808">
                  <c:v>0.46500000000000002</c:v>
                </c:pt>
                <c:pt idx="809">
                  <c:v>0.28899999999999998</c:v>
                </c:pt>
                <c:pt idx="810">
                  <c:v>0.375</c:v>
                </c:pt>
                <c:pt idx="811">
                  <c:v>0.109</c:v>
                </c:pt>
                <c:pt idx="812">
                  <c:v>0.13900000000000001</c:v>
                </c:pt>
                <c:pt idx="813">
                  <c:v>0.32650000000000001</c:v>
                </c:pt>
                <c:pt idx="814">
                  <c:v>3.7999999999999999E-2</c:v>
                </c:pt>
                <c:pt idx="815">
                  <c:v>9.5000000000000001E-2</c:v>
                </c:pt>
                <c:pt idx="816">
                  <c:v>0.17499999999999999</c:v>
                </c:pt>
                <c:pt idx="817">
                  <c:v>0.36499999999999999</c:v>
                </c:pt>
                <c:pt idx="818">
                  <c:v>5.6000000000000001E-2</c:v>
                </c:pt>
                <c:pt idx="819">
                  <c:v>0.3725</c:v>
                </c:pt>
                <c:pt idx="820">
                  <c:v>0.17499999999999999</c:v>
                </c:pt>
                <c:pt idx="821">
                  <c:v>7.4999999999999997E-2</c:v>
                </c:pt>
                <c:pt idx="822">
                  <c:v>0.1535</c:v>
                </c:pt>
                <c:pt idx="823">
                  <c:v>0.317</c:v>
                </c:pt>
                <c:pt idx="824">
                  <c:v>0.4</c:v>
                </c:pt>
                <c:pt idx="825">
                  <c:v>0.33500000000000002</c:v>
                </c:pt>
                <c:pt idx="826">
                  <c:v>7.4999999999999997E-2</c:v>
                </c:pt>
                <c:pt idx="827">
                  <c:v>0.27500000000000002</c:v>
                </c:pt>
                <c:pt idx="828">
                  <c:v>0.20499999999999999</c:v>
                </c:pt>
                <c:pt idx="829">
                  <c:v>0.38</c:v>
                </c:pt>
                <c:pt idx="830">
                  <c:v>0.27</c:v>
                </c:pt>
                <c:pt idx="831">
                  <c:v>0.1895</c:v>
                </c:pt>
                <c:pt idx="832">
                  <c:v>0.14649999999999999</c:v>
                </c:pt>
                <c:pt idx="833">
                  <c:v>0.1515</c:v>
                </c:pt>
                <c:pt idx="834">
                  <c:v>0.38500000000000001</c:v>
                </c:pt>
                <c:pt idx="835">
                  <c:v>0.41</c:v>
                </c:pt>
                <c:pt idx="836">
                  <c:v>0.08</c:v>
                </c:pt>
                <c:pt idx="837">
                  <c:v>8.7999999999999995E-2</c:v>
                </c:pt>
                <c:pt idx="838">
                  <c:v>0.255</c:v>
                </c:pt>
                <c:pt idx="839">
                  <c:v>0.19500000000000001</c:v>
                </c:pt>
                <c:pt idx="840">
                  <c:v>0.40899999999999997</c:v>
                </c:pt>
                <c:pt idx="841">
                  <c:v>0.29599999999999999</c:v>
                </c:pt>
                <c:pt idx="842">
                  <c:v>0.105</c:v>
                </c:pt>
                <c:pt idx="843">
                  <c:v>0.28999999999999998</c:v>
                </c:pt>
                <c:pt idx="844">
                  <c:v>0.21</c:v>
                </c:pt>
                <c:pt idx="845">
                  <c:v>3.5999999999999997E-2</c:v>
                </c:pt>
                <c:pt idx="846">
                  <c:v>0.23899999999999999</c:v>
                </c:pt>
                <c:pt idx="847">
                  <c:v>0.03</c:v>
                </c:pt>
                <c:pt idx="848">
                  <c:v>0.435</c:v>
                </c:pt>
                <c:pt idx="849">
                  <c:v>0.34</c:v>
                </c:pt>
                <c:pt idx="850">
                  <c:v>0.22800000000000001</c:v>
                </c:pt>
                <c:pt idx="851">
                  <c:v>0.23300000000000001</c:v>
                </c:pt>
                <c:pt idx="852">
                  <c:v>0.3705</c:v>
                </c:pt>
                <c:pt idx="853">
                  <c:v>0.34499999999999997</c:v>
                </c:pt>
                <c:pt idx="854">
                  <c:v>7.6999999999999999E-2</c:v>
                </c:pt>
                <c:pt idx="855">
                  <c:v>0.1295</c:v>
                </c:pt>
                <c:pt idx="856">
                  <c:v>0.26150000000000001</c:v>
                </c:pt>
                <c:pt idx="857">
                  <c:v>0.29499999999999998</c:v>
                </c:pt>
                <c:pt idx="858">
                  <c:v>0.1565</c:v>
                </c:pt>
                <c:pt idx="859">
                  <c:v>0.185</c:v>
                </c:pt>
                <c:pt idx="860">
                  <c:v>0.18</c:v>
                </c:pt>
                <c:pt idx="861">
                  <c:v>0.39</c:v>
                </c:pt>
                <c:pt idx="862">
                  <c:v>0.63</c:v>
                </c:pt>
                <c:pt idx="863">
                  <c:v>0.12</c:v>
                </c:pt>
                <c:pt idx="864">
                  <c:v>0.23899999999999999</c:v>
                </c:pt>
                <c:pt idx="865">
                  <c:v>3.1E-2</c:v>
                </c:pt>
                <c:pt idx="866">
                  <c:v>0.16800000000000001</c:v>
                </c:pt>
                <c:pt idx="867">
                  <c:v>0.497</c:v>
                </c:pt>
                <c:pt idx="868">
                  <c:v>0.4</c:v>
                </c:pt>
                <c:pt idx="869">
                  <c:v>0.58499999999999996</c:v>
                </c:pt>
                <c:pt idx="870">
                  <c:v>0.14000000000000001</c:v>
                </c:pt>
                <c:pt idx="871">
                  <c:v>0.22450000000000001</c:v>
                </c:pt>
                <c:pt idx="872">
                  <c:v>0.28999999999999998</c:v>
                </c:pt>
                <c:pt idx="873">
                  <c:v>0.315</c:v>
                </c:pt>
                <c:pt idx="874">
                  <c:v>0.26900000000000002</c:v>
                </c:pt>
                <c:pt idx="875">
                  <c:v>0.22</c:v>
                </c:pt>
                <c:pt idx="876">
                  <c:v>6.1499999999999999E-2</c:v>
                </c:pt>
                <c:pt idx="877">
                  <c:v>0.31850000000000001</c:v>
                </c:pt>
                <c:pt idx="878">
                  <c:v>0.26</c:v>
                </c:pt>
                <c:pt idx="879">
                  <c:v>0.38900000000000001</c:v>
                </c:pt>
                <c:pt idx="880">
                  <c:v>0.25650000000000001</c:v>
                </c:pt>
                <c:pt idx="881">
                  <c:v>0.46100000000000002</c:v>
                </c:pt>
                <c:pt idx="882">
                  <c:v>0.14549999999999999</c:v>
                </c:pt>
                <c:pt idx="883">
                  <c:v>0.185</c:v>
                </c:pt>
                <c:pt idx="884">
                  <c:v>0.17499999999999999</c:v>
                </c:pt>
                <c:pt idx="885">
                  <c:v>5.0000000000000001E-3</c:v>
                </c:pt>
                <c:pt idx="886">
                  <c:v>0.3755</c:v>
                </c:pt>
                <c:pt idx="887">
                  <c:v>0.23599999999999999</c:v>
                </c:pt>
                <c:pt idx="888">
                  <c:v>0.25600000000000001</c:v>
                </c:pt>
                <c:pt idx="889">
                  <c:v>0.34499999999999997</c:v>
                </c:pt>
                <c:pt idx="890">
                  <c:v>0.14099999999999999</c:v>
                </c:pt>
                <c:pt idx="891">
                  <c:v>0.14899999999999999</c:v>
                </c:pt>
                <c:pt idx="892">
                  <c:v>0.11</c:v>
                </c:pt>
                <c:pt idx="893">
                  <c:v>0.33</c:v>
                </c:pt>
                <c:pt idx="894">
                  <c:v>0.19500000000000001</c:v>
                </c:pt>
                <c:pt idx="895">
                  <c:v>0.35499999999999998</c:v>
                </c:pt>
                <c:pt idx="896">
                  <c:v>0.56299999999999994</c:v>
                </c:pt>
                <c:pt idx="897">
                  <c:v>5.2499999999999998E-2</c:v>
                </c:pt>
                <c:pt idx="898">
                  <c:v>6.0999999999999999E-2</c:v>
                </c:pt>
                <c:pt idx="899">
                  <c:v>0.14000000000000001</c:v>
                </c:pt>
                <c:pt idx="900">
                  <c:v>0.159</c:v>
                </c:pt>
                <c:pt idx="901">
                  <c:v>0.34499999999999997</c:v>
                </c:pt>
                <c:pt idx="902">
                  <c:v>0.17649999999999999</c:v>
                </c:pt>
                <c:pt idx="903">
                  <c:v>0.41</c:v>
                </c:pt>
                <c:pt idx="904">
                  <c:v>0.09</c:v>
                </c:pt>
                <c:pt idx="905">
                  <c:v>0.125</c:v>
                </c:pt>
                <c:pt idx="906">
                  <c:v>0.25900000000000001</c:v>
                </c:pt>
                <c:pt idx="907">
                  <c:v>0.26</c:v>
                </c:pt>
                <c:pt idx="908">
                  <c:v>0.28349999999999997</c:v>
                </c:pt>
                <c:pt idx="909">
                  <c:v>0.35449999999999998</c:v>
                </c:pt>
                <c:pt idx="910">
                  <c:v>0.17499999999999999</c:v>
                </c:pt>
                <c:pt idx="911">
                  <c:v>0.11849999999999999</c:v>
                </c:pt>
                <c:pt idx="912">
                  <c:v>0.26400000000000001</c:v>
                </c:pt>
                <c:pt idx="913">
                  <c:v>7.2999999999999995E-2</c:v>
                </c:pt>
                <c:pt idx="914">
                  <c:v>0.31900000000000001</c:v>
                </c:pt>
                <c:pt idx="915">
                  <c:v>0.12</c:v>
                </c:pt>
                <c:pt idx="916">
                  <c:v>0.27150000000000002</c:v>
                </c:pt>
                <c:pt idx="917">
                  <c:v>0.30499999999999999</c:v>
                </c:pt>
                <c:pt idx="918">
                  <c:v>0.30499999999999999</c:v>
                </c:pt>
                <c:pt idx="919">
                  <c:v>0.30499999999999999</c:v>
                </c:pt>
                <c:pt idx="920">
                  <c:v>0.31</c:v>
                </c:pt>
                <c:pt idx="921">
                  <c:v>0.432</c:v>
                </c:pt>
                <c:pt idx="922">
                  <c:v>0.03</c:v>
                </c:pt>
                <c:pt idx="923">
                  <c:v>0.28000000000000003</c:v>
                </c:pt>
                <c:pt idx="924">
                  <c:v>0.15049999999999999</c:v>
                </c:pt>
                <c:pt idx="925">
                  <c:v>0.13450000000000001</c:v>
                </c:pt>
                <c:pt idx="926">
                  <c:v>0.35499999999999998</c:v>
                </c:pt>
                <c:pt idx="927">
                  <c:v>0.13</c:v>
                </c:pt>
                <c:pt idx="928">
                  <c:v>0.24</c:v>
                </c:pt>
                <c:pt idx="929">
                  <c:v>0.17499999999999999</c:v>
                </c:pt>
                <c:pt idx="930">
                  <c:v>0.33500000000000002</c:v>
                </c:pt>
                <c:pt idx="931">
                  <c:v>0.105</c:v>
                </c:pt>
                <c:pt idx="932">
                  <c:v>0.13600000000000001</c:v>
                </c:pt>
                <c:pt idx="933">
                  <c:v>0.18</c:v>
                </c:pt>
                <c:pt idx="934">
                  <c:v>0.33550000000000002</c:v>
                </c:pt>
                <c:pt idx="935">
                  <c:v>0.498</c:v>
                </c:pt>
                <c:pt idx="936">
                  <c:v>1.2500000000000001E-2</c:v>
                </c:pt>
                <c:pt idx="937">
                  <c:v>0.1</c:v>
                </c:pt>
                <c:pt idx="938">
                  <c:v>0.53500000000000003</c:v>
                </c:pt>
                <c:pt idx="939">
                  <c:v>7.2499999999999995E-2</c:v>
                </c:pt>
                <c:pt idx="940">
                  <c:v>0.24249999999999999</c:v>
                </c:pt>
                <c:pt idx="941">
                  <c:v>0.123</c:v>
                </c:pt>
                <c:pt idx="942">
                  <c:v>0.13500000000000001</c:v>
                </c:pt>
                <c:pt idx="943">
                  <c:v>0.1305</c:v>
                </c:pt>
                <c:pt idx="944">
                  <c:v>8.5000000000000006E-2</c:v>
                </c:pt>
                <c:pt idx="945">
                  <c:v>7.2499999999999995E-2</c:v>
                </c:pt>
                <c:pt idx="946">
                  <c:v>0.193</c:v>
                </c:pt>
                <c:pt idx="947">
                  <c:v>0.4</c:v>
                </c:pt>
                <c:pt idx="948">
                  <c:v>0.215</c:v>
                </c:pt>
                <c:pt idx="949">
                  <c:v>4.4999999999999998E-2</c:v>
                </c:pt>
                <c:pt idx="950">
                  <c:v>0.19500000000000001</c:v>
                </c:pt>
                <c:pt idx="951">
                  <c:v>0.28000000000000003</c:v>
                </c:pt>
                <c:pt idx="952">
                  <c:v>0.24149999999999999</c:v>
                </c:pt>
                <c:pt idx="953">
                  <c:v>0.42499999999999999</c:v>
                </c:pt>
                <c:pt idx="954">
                  <c:v>0.13250000000000001</c:v>
                </c:pt>
                <c:pt idx="955">
                  <c:v>0.32</c:v>
                </c:pt>
                <c:pt idx="956">
                  <c:v>0.13250000000000001</c:v>
                </c:pt>
                <c:pt idx="957">
                  <c:v>0.1565</c:v>
                </c:pt>
                <c:pt idx="958">
                  <c:v>3.5000000000000003E-2</c:v>
                </c:pt>
                <c:pt idx="959">
                  <c:v>8.4000000000000005E-2</c:v>
                </c:pt>
                <c:pt idx="960">
                  <c:v>0.22850000000000001</c:v>
                </c:pt>
                <c:pt idx="961">
                  <c:v>0.185</c:v>
                </c:pt>
                <c:pt idx="962">
                  <c:v>0.19800000000000001</c:v>
                </c:pt>
                <c:pt idx="963">
                  <c:v>0.17799999999999999</c:v>
                </c:pt>
                <c:pt idx="964">
                  <c:v>0.20549999999999999</c:v>
                </c:pt>
                <c:pt idx="965">
                  <c:v>5.5E-2</c:v>
                </c:pt>
                <c:pt idx="966">
                  <c:v>0.125</c:v>
                </c:pt>
                <c:pt idx="967">
                  <c:v>5.0000000000000001E-3</c:v>
                </c:pt>
                <c:pt idx="968">
                  <c:v>0.16700000000000001</c:v>
                </c:pt>
                <c:pt idx="969">
                  <c:v>0.28799999999999998</c:v>
                </c:pt>
                <c:pt idx="970">
                  <c:v>0.40250000000000002</c:v>
                </c:pt>
                <c:pt idx="971">
                  <c:v>8.5000000000000006E-2</c:v>
                </c:pt>
                <c:pt idx="972">
                  <c:v>0.33200000000000002</c:v>
                </c:pt>
                <c:pt idx="973">
                  <c:v>0.36499999999999999</c:v>
                </c:pt>
                <c:pt idx="974">
                  <c:v>0.56499999999999995</c:v>
                </c:pt>
                <c:pt idx="975">
                  <c:v>0.48</c:v>
                </c:pt>
                <c:pt idx="976">
                  <c:v>0.157</c:v>
                </c:pt>
                <c:pt idx="977">
                  <c:v>0.33950000000000002</c:v>
                </c:pt>
                <c:pt idx="978">
                  <c:v>0.16</c:v>
                </c:pt>
                <c:pt idx="979">
                  <c:v>0.14000000000000001</c:v>
                </c:pt>
                <c:pt idx="980">
                  <c:v>0.155</c:v>
                </c:pt>
                <c:pt idx="981">
                  <c:v>0.32350000000000001</c:v>
                </c:pt>
                <c:pt idx="982">
                  <c:v>0.10349999999999999</c:v>
                </c:pt>
                <c:pt idx="983">
                  <c:v>0.19850000000000001</c:v>
                </c:pt>
                <c:pt idx="984">
                  <c:v>0.27500000000000002</c:v>
                </c:pt>
                <c:pt idx="985">
                  <c:v>0.35799999999999998</c:v>
                </c:pt>
                <c:pt idx="986">
                  <c:v>0.49</c:v>
                </c:pt>
                <c:pt idx="987">
                  <c:v>0.28299999999999997</c:v>
                </c:pt>
                <c:pt idx="988">
                  <c:v>0.38</c:v>
                </c:pt>
                <c:pt idx="989">
                  <c:v>0.1</c:v>
                </c:pt>
                <c:pt idx="990">
                  <c:v>0.46500000000000002</c:v>
                </c:pt>
                <c:pt idx="991">
                  <c:v>5.3999999999999999E-2</c:v>
                </c:pt>
                <c:pt idx="992">
                  <c:v>0.04</c:v>
                </c:pt>
                <c:pt idx="993">
                  <c:v>0.36</c:v>
                </c:pt>
                <c:pt idx="994">
                  <c:v>0.155</c:v>
                </c:pt>
                <c:pt idx="995">
                  <c:v>0.34499999999999997</c:v>
                </c:pt>
                <c:pt idx="996">
                  <c:v>0.182</c:v>
                </c:pt>
                <c:pt idx="997">
                  <c:v>7.6999999999999999E-2</c:v>
                </c:pt>
                <c:pt idx="998">
                  <c:v>0.17499999999999999</c:v>
                </c:pt>
                <c:pt idx="999">
                  <c:v>0.28699999999999998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A3-0941-8FFE-64D654B43F60}"/>
            </c:ext>
          </c:extLst>
        </c:ser>
        <c:ser>
          <c:idx val="1"/>
          <c:order val="1"/>
          <c:tx>
            <c:strRef>
              <c:f>'Personal Data'!$G$1</c:f>
              <c:strCache>
                <c:ptCount val="1"/>
                <c:pt idx="0">
                  <c:v>Shucked_weight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'Personal Data'!$G$3:$G$1001</c:f>
              <c:numCache>
                <c:formatCode>General</c:formatCode>
                <c:ptCount val="999"/>
                <c:pt idx="0">
                  <c:v>0.16600000000000001</c:v>
                </c:pt>
                <c:pt idx="1">
                  <c:v>0.69699999999999995</c:v>
                </c:pt>
                <c:pt idx="2">
                  <c:v>0.24249999999999999</c:v>
                </c:pt>
                <c:pt idx="3">
                  <c:v>0.59050000000000002</c:v>
                </c:pt>
                <c:pt idx="4">
                  <c:v>0.49349999999999999</c:v>
                </c:pt>
                <c:pt idx="5">
                  <c:v>6.5500000000000003E-2</c:v>
                </c:pt>
                <c:pt idx="6">
                  <c:v>0.17399999999999999</c:v>
                </c:pt>
                <c:pt idx="7">
                  <c:v>0.73199999999999998</c:v>
                </c:pt>
                <c:pt idx="8">
                  <c:v>0.27350000000000002</c:v>
                </c:pt>
                <c:pt idx="9">
                  <c:v>0.152</c:v>
                </c:pt>
                <c:pt idx="10">
                  <c:v>0.20250000000000001</c:v>
                </c:pt>
                <c:pt idx="11">
                  <c:v>0.14000000000000001</c:v>
                </c:pt>
                <c:pt idx="12">
                  <c:v>0.79700000000000004</c:v>
                </c:pt>
                <c:pt idx="13">
                  <c:v>0.60350000000000004</c:v>
                </c:pt>
                <c:pt idx="14">
                  <c:v>0.161</c:v>
                </c:pt>
                <c:pt idx="15">
                  <c:v>0.23849999999999999</c:v>
                </c:pt>
                <c:pt idx="16">
                  <c:v>0.58699999999999997</c:v>
                </c:pt>
                <c:pt idx="17">
                  <c:v>0.32350000000000001</c:v>
                </c:pt>
                <c:pt idx="18">
                  <c:v>0.22550000000000001</c:v>
                </c:pt>
                <c:pt idx="19">
                  <c:v>0.1615</c:v>
                </c:pt>
                <c:pt idx="20">
                  <c:v>0.26450000000000001</c:v>
                </c:pt>
                <c:pt idx="21">
                  <c:v>0.21149999999999999</c:v>
                </c:pt>
                <c:pt idx="22">
                  <c:v>0.19650000000000001</c:v>
                </c:pt>
                <c:pt idx="23">
                  <c:v>0.6895</c:v>
                </c:pt>
                <c:pt idx="24">
                  <c:v>0.1255</c:v>
                </c:pt>
                <c:pt idx="25">
                  <c:v>9.4500000000000001E-2</c:v>
                </c:pt>
                <c:pt idx="26">
                  <c:v>0.17849999999999999</c:v>
                </c:pt>
                <c:pt idx="27">
                  <c:v>0.216</c:v>
                </c:pt>
                <c:pt idx="28">
                  <c:v>0.30649999999999999</c:v>
                </c:pt>
                <c:pt idx="29">
                  <c:v>7.9000000000000001E-2</c:v>
                </c:pt>
                <c:pt idx="30">
                  <c:v>0.192</c:v>
                </c:pt>
                <c:pt idx="31">
                  <c:v>0.1255</c:v>
                </c:pt>
                <c:pt idx="32">
                  <c:v>0.42499999999999999</c:v>
                </c:pt>
                <c:pt idx="33">
                  <c:v>0.27350000000000002</c:v>
                </c:pt>
                <c:pt idx="34">
                  <c:v>0.42199999999999999</c:v>
                </c:pt>
                <c:pt idx="35">
                  <c:v>0.26950000000000002</c:v>
                </c:pt>
                <c:pt idx="36">
                  <c:v>0.222</c:v>
                </c:pt>
                <c:pt idx="37">
                  <c:v>0.44950000000000001</c:v>
                </c:pt>
                <c:pt idx="38">
                  <c:v>0.29549999999999998</c:v>
                </c:pt>
                <c:pt idx="39">
                  <c:v>0.16850000000000001</c:v>
                </c:pt>
                <c:pt idx="40">
                  <c:v>0.63249999999999995</c:v>
                </c:pt>
                <c:pt idx="41">
                  <c:v>9.0499999999999997E-2</c:v>
                </c:pt>
                <c:pt idx="42">
                  <c:v>0.2445</c:v>
                </c:pt>
                <c:pt idx="43">
                  <c:v>1.1705000000000001</c:v>
                </c:pt>
                <c:pt idx="44">
                  <c:v>0.16400000000000001</c:v>
                </c:pt>
                <c:pt idx="45">
                  <c:v>0.39350000000000002</c:v>
                </c:pt>
                <c:pt idx="46">
                  <c:v>0.74550000000000005</c:v>
                </c:pt>
                <c:pt idx="47">
                  <c:v>0.46450000000000002</c:v>
                </c:pt>
                <c:pt idx="48">
                  <c:v>0.34200000000000003</c:v>
                </c:pt>
                <c:pt idx="49">
                  <c:v>0.87350000000000005</c:v>
                </c:pt>
                <c:pt idx="50">
                  <c:v>0.52049999999999996</c:v>
                </c:pt>
                <c:pt idx="51">
                  <c:v>0.41199999999999998</c:v>
                </c:pt>
                <c:pt idx="52">
                  <c:v>0.94550000000000001</c:v>
                </c:pt>
                <c:pt idx="53">
                  <c:v>0.4955</c:v>
                </c:pt>
                <c:pt idx="54">
                  <c:v>7.2499999999999995E-2</c:v>
                </c:pt>
                <c:pt idx="55">
                  <c:v>0.40550000000000003</c:v>
                </c:pt>
                <c:pt idx="56">
                  <c:v>0.61350000000000005</c:v>
                </c:pt>
                <c:pt idx="57">
                  <c:v>0.41249999999999998</c:v>
                </c:pt>
                <c:pt idx="58">
                  <c:v>0.1265</c:v>
                </c:pt>
                <c:pt idx="59">
                  <c:v>0.17499999999999999</c:v>
                </c:pt>
                <c:pt idx="60">
                  <c:v>0.32</c:v>
                </c:pt>
                <c:pt idx="61">
                  <c:v>1.0500000000000001E-2</c:v>
                </c:pt>
                <c:pt idx="62">
                  <c:v>0.25950000000000001</c:v>
                </c:pt>
                <c:pt idx="63">
                  <c:v>0.70550000000000002</c:v>
                </c:pt>
                <c:pt idx="64">
                  <c:v>0.64249999999999996</c:v>
                </c:pt>
                <c:pt idx="65">
                  <c:v>0.44500000000000001</c:v>
                </c:pt>
                <c:pt idx="66">
                  <c:v>0.38</c:v>
                </c:pt>
                <c:pt idx="67">
                  <c:v>0.20250000000000001</c:v>
                </c:pt>
                <c:pt idx="68">
                  <c:v>0.65800000000000003</c:v>
                </c:pt>
                <c:pt idx="69">
                  <c:v>0.58599999999999997</c:v>
                </c:pt>
                <c:pt idx="70">
                  <c:v>0.111</c:v>
                </c:pt>
                <c:pt idx="71">
                  <c:v>0.26600000000000001</c:v>
                </c:pt>
                <c:pt idx="72">
                  <c:v>0.27</c:v>
                </c:pt>
                <c:pt idx="73">
                  <c:v>0.15049999999999999</c:v>
                </c:pt>
                <c:pt idx="74">
                  <c:v>0.46250000000000002</c:v>
                </c:pt>
                <c:pt idx="75">
                  <c:v>5.6500000000000002E-2</c:v>
                </c:pt>
                <c:pt idx="76">
                  <c:v>0.50149999999999995</c:v>
                </c:pt>
                <c:pt idx="77">
                  <c:v>0.44700000000000001</c:v>
                </c:pt>
                <c:pt idx="78">
                  <c:v>0.26400000000000001</c:v>
                </c:pt>
                <c:pt idx="79">
                  <c:v>0.57999999999999996</c:v>
                </c:pt>
                <c:pt idx="80">
                  <c:v>1.2999999999999999E-2</c:v>
                </c:pt>
                <c:pt idx="81">
                  <c:v>0.34200000000000003</c:v>
                </c:pt>
                <c:pt idx="82">
                  <c:v>0.32950000000000002</c:v>
                </c:pt>
                <c:pt idx="83">
                  <c:v>0.36149999999999999</c:v>
                </c:pt>
                <c:pt idx="84">
                  <c:v>0.41749999999999998</c:v>
                </c:pt>
                <c:pt idx="85">
                  <c:v>0.44450000000000001</c:v>
                </c:pt>
                <c:pt idx="86">
                  <c:v>0.55249999999999999</c:v>
                </c:pt>
                <c:pt idx="87">
                  <c:v>0.124</c:v>
                </c:pt>
                <c:pt idx="88">
                  <c:v>0.36099999999999999</c:v>
                </c:pt>
                <c:pt idx="89">
                  <c:v>0.52649999999999997</c:v>
                </c:pt>
                <c:pt idx="90">
                  <c:v>0.46700000000000003</c:v>
                </c:pt>
                <c:pt idx="91">
                  <c:v>0.25</c:v>
                </c:pt>
                <c:pt idx="92">
                  <c:v>0.69199999999999995</c:v>
                </c:pt>
                <c:pt idx="93">
                  <c:v>0.16500000000000001</c:v>
                </c:pt>
                <c:pt idx="94">
                  <c:v>0.60499999999999998</c:v>
                </c:pt>
                <c:pt idx="95">
                  <c:v>0.54</c:v>
                </c:pt>
                <c:pt idx="96">
                  <c:v>6.7500000000000004E-2</c:v>
                </c:pt>
                <c:pt idx="97">
                  <c:v>0.13600000000000001</c:v>
                </c:pt>
                <c:pt idx="98">
                  <c:v>0.88200000000000001</c:v>
                </c:pt>
                <c:pt idx="99">
                  <c:v>0.35049999999999998</c:v>
                </c:pt>
                <c:pt idx="100">
                  <c:v>7.0000000000000007E-2</c:v>
                </c:pt>
                <c:pt idx="101">
                  <c:v>0.28849999999999998</c:v>
                </c:pt>
                <c:pt idx="102">
                  <c:v>0.54549999999999998</c:v>
                </c:pt>
                <c:pt idx="103">
                  <c:v>0.64100000000000001</c:v>
                </c:pt>
                <c:pt idx="104">
                  <c:v>0.59599999999999997</c:v>
                </c:pt>
                <c:pt idx="105">
                  <c:v>0.53900000000000003</c:v>
                </c:pt>
                <c:pt idx="106">
                  <c:v>0.435</c:v>
                </c:pt>
                <c:pt idx="107">
                  <c:v>0.69499999999999995</c:v>
                </c:pt>
                <c:pt idx="108">
                  <c:v>0.33900000000000002</c:v>
                </c:pt>
                <c:pt idx="109">
                  <c:v>0.32700000000000001</c:v>
                </c:pt>
                <c:pt idx="110">
                  <c:v>1.7999999999999999E-2</c:v>
                </c:pt>
                <c:pt idx="111">
                  <c:v>0.3095</c:v>
                </c:pt>
                <c:pt idx="112">
                  <c:v>0.14000000000000001</c:v>
                </c:pt>
                <c:pt idx="113">
                  <c:v>0.20549999999999999</c:v>
                </c:pt>
                <c:pt idx="114">
                  <c:v>0.3135</c:v>
                </c:pt>
                <c:pt idx="115">
                  <c:v>0.49349999999999999</c:v>
                </c:pt>
                <c:pt idx="116">
                  <c:v>0.11550000000000001</c:v>
                </c:pt>
                <c:pt idx="117">
                  <c:v>0.74299999999999999</c:v>
                </c:pt>
                <c:pt idx="118">
                  <c:v>0.3795</c:v>
                </c:pt>
                <c:pt idx="119">
                  <c:v>0.66049999999999998</c:v>
                </c:pt>
                <c:pt idx="120">
                  <c:v>0.59499999999999997</c:v>
                </c:pt>
                <c:pt idx="121">
                  <c:v>0.122</c:v>
                </c:pt>
                <c:pt idx="122">
                  <c:v>0.41299999999999998</c:v>
                </c:pt>
                <c:pt idx="123">
                  <c:v>0.435</c:v>
                </c:pt>
                <c:pt idx="124">
                  <c:v>0.30299999999999999</c:v>
                </c:pt>
                <c:pt idx="125">
                  <c:v>0.54749999999999999</c:v>
                </c:pt>
                <c:pt idx="126">
                  <c:v>0.36799999999999999</c:v>
                </c:pt>
                <c:pt idx="127">
                  <c:v>0.152</c:v>
                </c:pt>
                <c:pt idx="128">
                  <c:v>0.4355</c:v>
                </c:pt>
                <c:pt idx="129">
                  <c:v>0.17349999999999999</c:v>
                </c:pt>
                <c:pt idx="130">
                  <c:v>0.42249999999999999</c:v>
                </c:pt>
                <c:pt idx="131">
                  <c:v>0.28649999999999998</c:v>
                </c:pt>
                <c:pt idx="132">
                  <c:v>0.17100000000000001</c:v>
                </c:pt>
                <c:pt idx="133">
                  <c:v>0.71050000000000002</c:v>
                </c:pt>
                <c:pt idx="134">
                  <c:v>0.35299999999999998</c:v>
                </c:pt>
                <c:pt idx="135">
                  <c:v>0.35899999999999999</c:v>
                </c:pt>
                <c:pt idx="136">
                  <c:v>0.106</c:v>
                </c:pt>
                <c:pt idx="137">
                  <c:v>0.89</c:v>
                </c:pt>
                <c:pt idx="138">
                  <c:v>0.22650000000000001</c:v>
                </c:pt>
                <c:pt idx="139">
                  <c:v>0.58599999999999997</c:v>
                </c:pt>
                <c:pt idx="140">
                  <c:v>0.60450000000000004</c:v>
                </c:pt>
                <c:pt idx="141">
                  <c:v>0.70899999999999996</c:v>
                </c:pt>
                <c:pt idx="142">
                  <c:v>0.4955</c:v>
                </c:pt>
                <c:pt idx="143">
                  <c:v>0.20150000000000001</c:v>
                </c:pt>
                <c:pt idx="144">
                  <c:v>0.45450000000000002</c:v>
                </c:pt>
                <c:pt idx="145">
                  <c:v>0.23899999999999999</c:v>
                </c:pt>
                <c:pt idx="146">
                  <c:v>0.38850000000000001</c:v>
                </c:pt>
                <c:pt idx="147">
                  <c:v>0.42249999999999999</c:v>
                </c:pt>
                <c:pt idx="148">
                  <c:v>0.82550000000000001</c:v>
                </c:pt>
                <c:pt idx="149">
                  <c:v>0.34699999999999998</c:v>
                </c:pt>
                <c:pt idx="150">
                  <c:v>0.77549999999999997</c:v>
                </c:pt>
                <c:pt idx="151">
                  <c:v>0.4995</c:v>
                </c:pt>
                <c:pt idx="152">
                  <c:v>0.58850000000000002</c:v>
                </c:pt>
                <c:pt idx="153">
                  <c:v>0.39300000000000002</c:v>
                </c:pt>
                <c:pt idx="154">
                  <c:v>0.41599999999999998</c:v>
                </c:pt>
                <c:pt idx="155">
                  <c:v>0.48499999999999999</c:v>
                </c:pt>
                <c:pt idx="156">
                  <c:v>9.4500000000000001E-2</c:v>
                </c:pt>
                <c:pt idx="157">
                  <c:v>0.52300000000000002</c:v>
                </c:pt>
                <c:pt idx="158">
                  <c:v>0.2525</c:v>
                </c:pt>
                <c:pt idx="159">
                  <c:v>0.53300000000000003</c:v>
                </c:pt>
                <c:pt idx="160">
                  <c:v>0.749</c:v>
                </c:pt>
                <c:pt idx="161">
                  <c:v>0.19350000000000001</c:v>
                </c:pt>
                <c:pt idx="162">
                  <c:v>0.31950000000000001</c:v>
                </c:pt>
                <c:pt idx="163">
                  <c:v>0.66700000000000004</c:v>
                </c:pt>
                <c:pt idx="164">
                  <c:v>0.42749999999999999</c:v>
                </c:pt>
                <c:pt idx="165">
                  <c:v>0.63900000000000001</c:v>
                </c:pt>
                <c:pt idx="166">
                  <c:v>0.36749999999999999</c:v>
                </c:pt>
                <c:pt idx="167">
                  <c:v>8.3500000000000005E-2</c:v>
                </c:pt>
                <c:pt idx="168">
                  <c:v>0.41149999999999998</c:v>
                </c:pt>
                <c:pt idx="169">
                  <c:v>0.2505</c:v>
                </c:pt>
                <c:pt idx="170">
                  <c:v>0.27550000000000002</c:v>
                </c:pt>
                <c:pt idx="171">
                  <c:v>0.43049999999999999</c:v>
                </c:pt>
                <c:pt idx="172">
                  <c:v>0.13</c:v>
                </c:pt>
                <c:pt idx="173">
                  <c:v>0.56399999999999995</c:v>
                </c:pt>
                <c:pt idx="174">
                  <c:v>0.56499999999999995</c:v>
                </c:pt>
                <c:pt idx="175">
                  <c:v>0.32800000000000001</c:v>
                </c:pt>
                <c:pt idx="176">
                  <c:v>0.3705</c:v>
                </c:pt>
                <c:pt idx="177">
                  <c:v>0.50749999999999995</c:v>
                </c:pt>
                <c:pt idx="178">
                  <c:v>0.26100000000000001</c:v>
                </c:pt>
                <c:pt idx="179">
                  <c:v>0.54500000000000004</c:v>
                </c:pt>
                <c:pt idx="180">
                  <c:v>0.39600000000000002</c:v>
                </c:pt>
                <c:pt idx="181">
                  <c:v>0.13900000000000001</c:v>
                </c:pt>
                <c:pt idx="182">
                  <c:v>0.16250000000000001</c:v>
                </c:pt>
                <c:pt idx="183">
                  <c:v>0.5635</c:v>
                </c:pt>
                <c:pt idx="184">
                  <c:v>0.28199999999999997</c:v>
                </c:pt>
                <c:pt idx="185">
                  <c:v>0.5675</c:v>
                </c:pt>
                <c:pt idx="186">
                  <c:v>0.49199999999999999</c:v>
                </c:pt>
                <c:pt idx="187">
                  <c:v>5.0000000000000001E-3</c:v>
                </c:pt>
                <c:pt idx="188">
                  <c:v>0.32200000000000001</c:v>
                </c:pt>
                <c:pt idx="189">
                  <c:v>0.151</c:v>
                </c:pt>
                <c:pt idx="190">
                  <c:v>0.51500000000000001</c:v>
                </c:pt>
                <c:pt idx="191">
                  <c:v>0.17499999999999999</c:v>
                </c:pt>
                <c:pt idx="192">
                  <c:v>0.28199999999999997</c:v>
                </c:pt>
                <c:pt idx="193">
                  <c:v>0.43149999999999999</c:v>
                </c:pt>
                <c:pt idx="194">
                  <c:v>0.108</c:v>
                </c:pt>
                <c:pt idx="195">
                  <c:v>0.14799999999999999</c:v>
                </c:pt>
                <c:pt idx="196">
                  <c:v>0.753</c:v>
                </c:pt>
                <c:pt idx="197">
                  <c:v>0.215</c:v>
                </c:pt>
                <c:pt idx="198">
                  <c:v>0.36549999999999999</c:v>
                </c:pt>
                <c:pt idx="199">
                  <c:v>0.58799999999999997</c:v>
                </c:pt>
                <c:pt idx="200">
                  <c:v>0.38350000000000001</c:v>
                </c:pt>
                <c:pt idx="201">
                  <c:v>3.1E-2</c:v>
                </c:pt>
                <c:pt idx="202">
                  <c:v>0.13200000000000001</c:v>
                </c:pt>
                <c:pt idx="203">
                  <c:v>0.40150000000000002</c:v>
                </c:pt>
                <c:pt idx="204">
                  <c:v>0.2</c:v>
                </c:pt>
                <c:pt idx="205">
                  <c:v>1.1465000000000001</c:v>
                </c:pt>
                <c:pt idx="206">
                  <c:v>1.1279999999999999</c:v>
                </c:pt>
                <c:pt idx="207">
                  <c:v>0.48299999999999998</c:v>
                </c:pt>
                <c:pt idx="208">
                  <c:v>0.47499999999999998</c:v>
                </c:pt>
                <c:pt idx="209">
                  <c:v>0.53249999999999997</c:v>
                </c:pt>
                <c:pt idx="210">
                  <c:v>0.24049999999999999</c:v>
                </c:pt>
                <c:pt idx="211">
                  <c:v>0.30549999999999999</c:v>
                </c:pt>
                <c:pt idx="212">
                  <c:v>3.7999999999999999E-2</c:v>
                </c:pt>
                <c:pt idx="213">
                  <c:v>0.55649999999999999</c:v>
                </c:pt>
                <c:pt idx="214">
                  <c:v>0.3105</c:v>
                </c:pt>
                <c:pt idx="215">
                  <c:v>0.42349999999999999</c:v>
                </c:pt>
                <c:pt idx="216">
                  <c:v>0.3695</c:v>
                </c:pt>
                <c:pt idx="217">
                  <c:v>0.45450000000000002</c:v>
                </c:pt>
                <c:pt idx="218">
                  <c:v>0.47949999999999998</c:v>
                </c:pt>
                <c:pt idx="219">
                  <c:v>0.53500000000000003</c:v>
                </c:pt>
                <c:pt idx="220">
                  <c:v>5.2999999999999999E-2</c:v>
                </c:pt>
                <c:pt idx="221">
                  <c:v>0.70699999999999996</c:v>
                </c:pt>
                <c:pt idx="222">
                  <c:v>0.57250000000000001</c:v>
                </c:pt>
                <c:pt idx="223">
                  <c:v>0.20100000000000001</c:v>
                </c:pt>
                <c:pt idx="224">
                  <c:v>0.69299999999999995</c:v>
                </c:pt>
                <c:pt idx="225">
                  <c:v>0.48449999999999999</c:v>
                </c:pt>
                <c:pt idx="226">
                  <c:v>0.34799999999999998</c:v>
                </c:pt>
                <c:pt idx="227">
                  <c:v>5.45E-2</c:v>
                </c:pt>
                <c:pt idx="228">
                  <c:v>6.5000000000000002E-2</c:v>
                </c:pt>
                <c:pt idx="229">
                  <c:v>5.7500000000000002E-2</c:v>
                </c:pt>
                <c:pt idx="230">
                  <c:v>0.26500000000000001</c:v>
                </c:pt>
                <c:pt idx="231">
                  <c:v>0.39700000000000002</c:v>
                </c:pt>
                <c:pt idx="232">
                  <c:v>0.40949999999999998</c:v>
                </c:pt>
                <c:pt idx="233">
                  <c:v>0.79900000000000004</c:v>
                </c:pt>
                <c:pt idx="234">
                  <c:v>0.15049999999999999</c:v>
                </c:pt>
                <c:pt idx="235">
                  <c:v>0.35199999999999998</c:v>
                </c:pt>
                <c:pt idx="236">
                  <c:v>0.34100000000000003</c:v>
                </c:pt>
                <c:pt idx="237">
                  <c:v>0.24099999999999999</c:v>
                </c:pt>
                <c:pt idx="238">
                  <c:v>4.1000000000000002E-2</c:v>
                </c:pt>
                <c:pt idx="239">
                  <c:v>0.34699999999999998</c:v>
                </c:pt>
                <c:pt idx="240">
                  <c:v>0.30599999999999999</c:v>
                </c:pt>
                <c:pt idx="241">
                  <c:v>0.37</c:v>
                </c:pt>
                <c:pt idx="242">
                  <c:v>0.122</c:v>
                </c:pt>
                <c:pt idx="243">
                  <c:v>0.28699999999999998</c:v>
                </c:pt>
                <c:pt idx="244">
                  <c:v>0.62749999999999995</c:v>
                </c:pt>
                <c:pt idx="245">
                  <c:v>0.22600000000000001</c:v>
                </c:pt>
                <c:pt idx="246">
                  <c:v>9.5000000000000001E-2</c:v>
                </c:pt>
                <c:pt idx="247">
                  <c:v>0.159</c:v>
                </c:pt>
                <c:pt idx="248">
                  <c:v>0.20150000000000001</c:v>
                </c:pt>
                <c:pt idx="249">
                  <c:v>0.73950000000000005</c:v>
                </c:pt>
                <c:pt idx="250">
                  <c:v>0.36649999999999999</c:v>
                </c:pt>
                <c:pt idx="251">
                  <c:v>0.72699999999999998</c:v>
                </c:pt>
                <c:pt idx="252">
                  <c:v>0.39100000000000001</c:v>
                </c:pt>
                <c:pt idx="253">
                  <c:v>0.52400000000000002</c:v>
                </c:pt>
                <c:pt idx="254">
                  <c:v>0.34599999999999997</c:v>
                </c:pt>
                <c:pt idx="255">
                  <c:v>0.41349999999999998</c:v>
                </c:pt>
                <c:pt idx="256">
                  <c:v>0.55300000000000005</c:v>
                </c:pt>
                <c:pt idx="257">
                  <c:v>0.51100000000000001</c:v>
                </c:pt>
                <c:pt idx="258">
                  <c:v>0.55649999999999999</c:v>
                </c:pt>
                <c:pt idx="259">
                  <c:v>1.15E-2</c:v>
                </c:pt>
                <c:pt idx="260">
                  <c:v>0.13850000000000001</c:v>
                </c:pt>
                <c:pt idx="261">
                  <c:v>0.48099999999999998</c:v>
                </c:pt>
                <c:pt idx="262">
                  <c:v>0.17849999999999999</c:v>
                </c:pt>
                <c:pt idx="263">
                  <c:v>0.58350000000000002</c:v>
                </c:pt>
                <c:pt idx="264">
                  <c:v>0.35949999999999999</c:v>
                </c:pt>
                <c:pt idx="265">
                  <c:v>0.53049999999999997</c:v>
                </c:pt>
                <c:pt idx="266">
                  <c:v>0.34250000000000003</c:v>
                </c:pt>
                <c:pt idx="267">
                  <c:v>1.095</c:v>
                </c:pt>
                <c:pt idx="268">
                  <c:v>0.38</c:v>
                </c:pt>
                <c:pt idx="269">
                  <c:v>0.51849999999999996</c:v>
                </c:pt>
                <c:pt idx="270">
                  <c:v>0.61199999999999999</c:v>
                </c:pt>
                <c:pt idx="271">
                  <c:v>6.4000000000000001E-2</c:v>
                </c:pt>
                <c:pt idx="272">
                  <c:v>0.1215</c:v>
                </c:pt>
                <c:pt idx="273">
                  <c:v>0.26550000000000001</c:v>
                </c:pt>
                <c:pt idx="274">
                  <c:v>0.40300000000000002</c:v>
                </c:pt>
                <c:pt idx="275">
                  <c:v>0.47899999999999998</c:v>
                </c:pt>
                <c:pt idx="276">
                  <c:v>0.441</c:v>
                </c:pt>
                <c:pt idx="277">
                  <c:v>0.40050000000000002</c:v>
                </c:pt>
                <c:pt idx="278">
                  <c:v>0.66149999999999998</c:v>
                </c:pt>
                <c:pt idx="279">
                  <c:v>0.23499999999999999</c:v>
                </c:pt>
                <c:pt idx="280">
                  <c:v>0.63700000000000001</c:v>
                </c:pt>
                <c:pt idx="281">
                  <c:v>0.2145</c:v>
                </c:pt>
                <c:pt idx="282">
                  <c:v>0.22950000000000001</c:v>
                </c:pt>
                <c:pt idx="283">
                  <c:v>0.40500000000000003</c:v>
                </c:pt>
                <c:pt idx="284">
                  <c:v>0.124</c:v>
                </c:pt>
                <c:pt idx="285">
                  <c:v>0.11650000000000001</c:v>
                </c:pt>
                <c:pt idx="286">
                  <c:v>0.36</c:v>
                </c:pt>
                <c:pt idx="287">
                  <c:v>0.89600000000000002</c:v>
                </c:pt>
                <c:pt idx="288">
                  <c:v>0.44500000000000001</c:v>
                </c:pt>
                <c:pt idx="289">
                  <c:v>0.58099999999999996</c:v>
                </c:pt>
                <c:pt idx="290">
                  <c:v>1.026</c:v>
                </c:pt>
                <c:pt idx="291">
                  <c:v>6.7500000000000004E-2</c:v>
                </c:pt>
                <c:pt idx="292">
                  <c:v>0.38</c:v>
                </c:pt>
                <c:pt idx="293">
                  <c:v>0.3145</c:v>
                </c:pt>
                <c:pt idx="294">
                  <c:v>0.23949999999999999</c:v>
                </c:pt>
                <c:pt idx="295">
                  <c:v>0.22850000000000001</c:v>
                </c:pt>
                <c:pt idx="296">
                  <c:v>0.52549999999999997</c:v>
                </c:pt>
                <c:pt idx="297">
                  <c:v>0.2</c:v>
                </c:pt>
                <c:pt idx="298">
                  <c:v>0.16450000000000001</c:v>
                </c:pt>
                <c:pt idx="299">
                  <c:v>0.2</c:v>
                </c:pt>
                <c:pt idx="300">
                  <c:v>0.313</c:v>
                </c:pt>
                <c:pt idx="301">
                  <c:v>0.87250000000000005</c:v>
                </c:pt>
                <c:pt idx="302">
                  <c:v>0.245</c:v>
                </c:pt>
                <c:pt idx="303">
                  <c:v>3.6999999999999998E-2</c:v>
                </c:pt>
                <c:pt idx="304">
                  <c:v>0.2165</c:v>
                </c:pt>
                <c:pt idx="305">
                  <c:v>0.2</c:v>
                </c:pt>
                <c:pt idx="306">
                  <c:v>0.4945</c:v>
                </c:pt>
                <c:pt idx="307">
                  <c:v>0.504</c:v>
                </c:pt>
                <c:pt idx="308">
                  <c:v>0.2495</c:v>
                </c:pt>
                <c:pt idx="309">
                  <c:v>0.14899999999999999</c:v>
                </c:pt>
                <c:pt idx="310">
                  <c:v>0.14299999999999999</c:v>
                </c:pt>
                <c:pt idx="311">
                  <c:v>8.5500000000000007E-2</c:v>
                </c:pt>
                <c:pt idx="312">
                  <c:v>0.26350000000000001</c:v>
                </c:pt>
                <c:pt idx="313">
                  <c:v>0.13850000000000001</c:v>
                </c:pt>
                <c:pt idx="314">
                  <c:v>0.377</c:v>
                </c:pt>
                <c:pt idx="315">
                  <c:v>0.13850000000000001</c:v>
                </c:pt>
                <c:pt idx="316">
                  <c:v>0.33950000000000002</c:v>
                </c:pt>
                <c:pt idx="317">
                  <c:v>0.2135</c:v>
                </c:pt>
                <c:pt idx="318">
                  <c:v>8.9999999999999993E-3</c:v>
                </c:pt>
                <c:pt idx="319">
                  <c:v>0.27450000000000002</c:v>
                </c:pt>
                <c:pt idx="320">
                  <c:v>0.63749999999999996</c:v>
                </c:pt>
                <c:pt idx="321">
                  <c:v>4.4999999999999998E-2</c:v>
                </c:pt>
                <c:pt idx="322">
                  <c:v>0.38100000000000001</c:v>
                </c:pt>
                <c:pt idx="323">
                  <c:v>0.2175</c:v>
                </c:pt>
                <c:pt idx="324">
                  <c:v>0.25950000000000001</c:v>
                </c:pt>
                <c:pt idx="325">
                  <c:v>0.1</c:v>
                </c:pt>
                <c:pt idx="326">
                  <c:v>0.32800000000000001</c:v>
                </c:pt>
                <c:pt idx="327">
                  <c:v>0.64300000000000002</c:v>
                </c:pt>
                <c:pt idx="328">
                  <c:v>5.8999999999999997E-2</c:v>
                </c:pt>
                <c:pt idx="329">
                  <c:v>0.17050000000000001</c:v>
                </c:pt>
                <c:pt idx="330">
                  <c:v>0.49</c:v>
                </c:pt>
                <c:pt idx="331">
                  <c:v>0.124</c:v>
                </c:pt>
                <c:pt idx="332">
                  <c:v>0.78400000000000003</c:v>
                </c:pt>
                <c:pt idx="333">
                  <c:v>0.52600000000000002</c:v>
                </c:pt>
                <c:pt idx="334">
                  <c:v>0.316</c:v>
                </c:pt>
                <c:pt idx="335">
                  <c:v>0.5585</c:v>
                </c:pt>
                <c:pt idx="336">
                  <c:v>6.4999999999999997E-3</c:v>
                </c:pt>
                <c:pt idx="337">
                  <c:v>0.63949999999999996</c:v>
                </c:pt>
                <c:pt idx="338">
                  <c:v>0.18149999999999999</c:v>
                </c:pt>
                <c:pt idx="339">
                  <c:v>0.60499999999999998</c:v>
                </c:pt>
                <c:pt idx="340">
                  <c:v>0.25600000000000001</c:v>
                </c:pt>
                <c:pt idx="341">
                  <c:v>0.747</c:v>
                </c:pt>
                <c:pt idx="342">
                  <c:v>0.4335</c:v>
                </c:pt>
                <c:pt idx="343">
                  <c:v>0.1845</c:v>
                </c:pt>
                <c:pt idx="344">
                  <c:v>0.34899999999999998</c:v>
                </c:pt>
                <c:pt idx="345">
                  <c:v>0.17399999999999999</c:v>
                </c:pt>
                <c:pt idx="346">
                  <c:v>6.2E-2</c:v>
                </c:pt>
                <c:pt idx="347">
                  <c:v>0.109</c:v>
                </c:pt>
                <c:pt idx="348">
                  <c:v>0.1925</c:v>
                </c:pt>
                <c:pt idx="349">
                  <c:v>0.6845</c:v>
                </c:pt>
                <c:pt idx="350">
                  <c:v>0.74399999999999999</c:v>
                </c:pt>
                <c:pt idx="351">
                  <c:v>0.502</c:v>
                </c:pt>
                <c:pt idx="352">
                  <c:v>0.34449999999999997</c:v>
                </c:pt>
                <c:pt idx="353">
                  <c:v>0.45800000000000002</c:v>
                </c:pt>
                <c:pt idx="354">
                  <c:v>0.43</c:v>
                </c:pt>
                <c:pt idx="355">
                  <c:v>0.28649999999999998</c:v>
                </c:pt>
                <c:pt idx="356">
                  <c:v>0.48099999999999998</c:v>
                </c:pt>
                <c:pt idx="357">
                  <c:v>0.21199999999999999</c:v>
                </c:pt>
                <c:pt idx="358">
                  <c:v>0.36799999999999999</c:v>
                </c:pt>
                <c:pt idx="359">
                  <c:v>8.2500000000000004E-2</c:v>
                </c:pt>
                <c:pt idx="360">
                  <c:v>8.4500000000000006E-2</c:v>
                </c:pt>
                <c:pt idx="361">
                  <c:v>0.25600000000000001</c:v>
                </c:pt>
                <c:pt idx="362">
                  <c:v>0.46600000000000003</c:v>
                </c:pt>
                <c:pt idx="363">
                  <c:v>0.45300000000000001</c:v>
                </c:pt>
                <c:pt idx="364">
                  <c:v>0.40550000000000003</c:v>
                </c:pt>
                <c:pt idx="365">
                  <c:v>0.60650000000000004</c:v>
                </c:pt>
                <c:pt idx="366">
                  <c:v>0.12</c:v>
                </c:pt>
                <c:pt idx="367">
                  <c:v>4.4499999999999998E-2</c:v>
                </c:pt>
                <c:pt idx="368">
                  <c:v>0.11849999999999999</c:v>
                </c:pt>
                <c:pt idx="369">
                  <c:v>0.24399999999999999</c:v>
                </c:pt>
                <c:pt idx="370">
                  <c:v>7.0499999999999993E-2</c:v>
                </c:pt>
                <c:pt idx="371">
                  <c:v>0.44950000000000001</c:v>
                </c:pt>
                <c:pt idx="372">
                  <c:v>0.59750000000000003</c:v>
                </c:pt>
                <c:pt idx="373">
                  <c:v>0.32150000000000001</c:v>
                </c:pt>
                <c:pt idx="374">
                  <c:v>9.7000000000000003E-2</c:v>
                </c:pt>
                <c:pt idx="375">
                  <c:v>0.33250000000000002</c:v>
                </c:pt>
                <c:pt idx="376">
                  <c:v>0.19550000000000001</c:v>
                </c:pt>
                <c:pt idx="377">
                  <c:v>0.104</c:v>
                </c:pt>
                <c:pt idx="378">
                  <c:v>0.32700000000000001</c:v>
                </c:pt>
                <c:pt idx="379">
                  <c:v>0.3695</c:v>
                </c:pt>
                <c:pt idx="380">
                  <c:v>0.38700000000000001</c:v>
                </c:pt>
                <c:pt idx="381">
                  <c:v>0.29699999999999999</c:v>
                </c:pt>
                <c:pt idx="382">
                  <c:v>0.41599999999999998</c:v>
                </c:pt>
                <c:pt idx="383">
                  <c:v>0.57350000000000001</c:v>
                </c:pt>
                <c:pt idx="384">
                  <c:v>0.1915</c:v>
                </c:pt>
                <c:pt idx="385">
                  <c:v>0.151</c:v>
                </c:pt>
                <c:pt idx="386">
                  <c:v>0.28649999999999998</c:v>
                </c:pt>
                <c:pt idx="387">
                  <c:v>0.54500000000000004</c:v>
                </c:pt>
                <c:pt idx="388">
                  <c:v>8.7999999999999995E-2</c:v>
                </c:pt>
                <c:pt idx="389">
                  <c:v>2.6499999999999999E-2</c:v>
                </c:pt>
                <c:pt idx="390">
                  <c:v>0.44650000000000001</c:v>
                </c:pt>
                <c:pt idx="391">
                  <c:v>0.14649999999999999</c:v>
                </c:pt>
                <c:pt idx="392">
                  <c:v>0.65349999999999997</c:v>
                </c:pt>
                <c:pt idx="393">
                  <c:v>0.13400000000000001</c:v>
                </c:pt>
                <c:pt idx="394">
                  <c:v>0.39450000000000002</c:v>
                </c:pt>
                <c:pt idx="395">
                  <c:v>0.60599999999999998</c:v>
                </c:pt>
                <c:pt idx="396">
                  <c:v>0.38</c:v>
                </c:pt>
                <c:pt idx="397">
                  <c:v>0.24199999999999999</c:v>
                </c:pt>
                <c:pt idx="398">
                  <c:v>0.64200000000000002</c:v>
                </c:pt>
                <c:pt idx="399">
                  <c:v>0.35349999999999998</c:v>
                </c:pt>
                <c:pt idx="400">
                  <c:v>0.88500000000000001</c:v>
                </c:pt>
                <c:pt idx="401">
                  <c:v>0.3695</c:v>
                </c:pt>
                <c:pt idx="402">
                  <c:v>0.18</c:v>
                </c:pt>
                <c:pt idx="403">
                  <c:v>0.11799999999999999</c:v>
                </c:pt>
                <c:pt idx="404">
                  <c:v>0.3155</c:v>
                </c:pt>
                <c:pt idx="405">
                  <c:v>0.374</c:v>
                </c:pt>
                <c:pt idx="406">
                  <c:v>0.47199999999999998</c:v>
                </c:pt>
                <c:pt idx="407">
                  <c:v>0.52</c:v>
                </c:pt>
                <c:pt idx="408">
                  <c:v>5.0999999999999997E-2</c:v>
                </c:pt>
                <c:pt idx="409">
                  <c:v>0.2205</c:v>
                </c:pt>
                <c:pt idx="410">
                  <c:v>0.66749999999999998</c:v>
                </c:pt>
                <c:pt idx="411">
                  <c:v>0.372</c:v>
                </c:pt>
                <c:pt idx="412">
                  <c:v>0.60699999999999998</c:v>
                </c:pt>
                <c:pt idx="413">
                  <c:v>0.2175</c:v>
                </c:pt>
                <c:pt idx="414">
                  <c:v>0.50049999999999994</c:v>
                </c:pt>
                <c:pt idx="415">
                  <c:v>0.2235</c:v>
                </c:pt>
                <c:pt idx="416">
                  <c:v>0.32250000000000001</c:v>
                </c:pt>
                <c:pt idx="417">
                  <c:v>0.79249999999999998</c:v>
                </c:pt>
                <c:pt idx="418">
                  <c:v>0.2</c:v>
                </c:pt>
                <c:pt idx="419">
                  <c:v>0.49099999999999999</c:v>
                </c:pt>
                <c:pt idx="420">
                  <c:v>4.7500000000000001E-2</c:v>
                </c:pt>
                <c:pt idx="421">
                  <c:v>0.4</c:v>
                </c:pt>
                <c:pt idx="422">
                  <c:v>0.40799999999999997</c:v>
                </c:pt>
                <c:pt idx="423">
                  <c:v>0.64400000000000002</c:v>
                </c:pt>
                <c:pt idx="424">
                  <c:v>0.59450000000000003</c:v>
                </c:pt>
                <c:pt idx="425">
                  <c:v>0.30199999999999999</c:v>
                </c:pt>
                <c:pt idx="426">
                  <c:v>0.47399999999999998</c:v>
                </c:pt>
                <c:pt idx="427">
                  <c:v>0.52400000000000002</c:v>
                </c:pt>
                <c:pt idx="428">
                  <c:v>0.108</c:v>
                </c:pt>
                <c:pt idx="429">
                  <c:v>0.22900000000000001</c:v>
                </c:pt>
                <c:pt idx="430">
                  <c:v>0.23150000000000001</c:v>
                </c:pt>
                <c:pt idx="431">
                  <c:v>0.378</c:v>
                </c:pt>
                <c:pt idx="432">
                  <c:v>0.17399999999999999</c:v>
                </c:pt>
                <c:pt idx="433">
                  <c:v>0.20250000000000001</c:v>
                </c:pt>
                <c:pt idx="434">
                  <c:v>0.3155</c:v>
                </c:pt>
                <c:pt idx="435">
                  <c:v>6.6000000000000003E-2</c:v>
                </c:pt>
                <c:pt idx="436">
                  <c:v>0.34100000000000003</c:v>
                </c:pt>
                <c:pt idx="437">
                  <c:v>0.35799999999999998</c:v>
                </c:pt>
                <c:pt idx="438">
                  <c:v>0.45650000000000002</c:v>
                </c:pt>
                <c:pt idx="439">
                  <c:v>0.38950000000000001</c:v>
                </c:pt>
                <c:pt idx="440">
                  <c:v>0.32650000000000001</c:v>
                </c:pt>
                <c:pt idx="441">
                  <c:v>0.25650000000000001</c:v>
                </c:pt>
                <c:pt idx="442">
                  <c:v>0.27600000000000002</c:v>
                </c:pt>
                <c:pt idx="443">
                  <c:v>0.55149999999999999</c:v>
                </c:pt>
                <c:pt idx="444">
                  <c:v>7.4499999999999997E-2</c:v>
                </c:pt>
                <c:pt idx="445">
                  <c:v>0.43049999999999999</c:v>
                </c:pt>
                <c:pt idx="446">
                  <c:v>0.2155</c:v>
                </c:pt>
                <c:pt idx="447">
                  <c:v>0.49049999999999999</c:v>
                </c:pt>
                <c:pt idx="448">
                  <c:v>0.629</c:v>
                </c:pt>
                <c:pt idx="449">
                  <c:v>7.5999999999999998E-2</c:v>
                </c:pt>
                <c:pt idx="450">
                  <c:v>0.22900000000000001</c:v>
                </c:pt>
                <c:pt idx="451">
                  <c:v>0.52600000000000002</c:v>
                </c:pt>
                <c:pt idx="452">
                  <c:v>0.3145</c:v>
                </c:pt>
                <c:pt idx="453">
                  <c:v>0.39100000000000001</c:v>
                </c:pt>
                <c:pt idx="454">
                  <c:v>0.46250000000000002</c:v>
                </c:pt>
                <c:pt idx="455">
                  <c:v>1.9E-2</c:v>
                </c:pt>
                <c:pt idx="456">
                  <c:v>0.497</c:v>
                </c:pt>
                <c:pt idx="457">
                  <c:v>0.44900000000000001</c:v>
                </c:pt>
                <c:pt idx="458">
                  <c:v>0.26150000000000001</c:v>
                </c:pt>
                <c:pt idx="459">
                  <c:v>0.26100000000000001</c:v>
                </c:pt>
                <c:pt idx="460">
                  <c:v>0.66649999999999998</c:v>
                </c:pt>
                <c:pt idx="461">
                  <c:v>0.27</c:v>
                </c:pt>
                <c:pt idx="462">
                  <c:v>0.5625</c:v>
                </c:pt>
                <c:pt idx="463">
                  <c:v>0.30449999999999999</c:v>
                </c:pt>
                <c:pt idx="464">
                  <c:v>0.185</c:v>
                </c:pt>
                <c:pt idx="465">
                  <c:v>0.192</c:v>
                </c:pt>
                <c:pt idx="466">
                  <c:v>0.46700000000000003</c:v>
                </c:pt>
                <c:pt idx="467">
                  <c:v>0.34849999999999998</c:v>
                </c:pt>
                <c:pt idx="468">
                  <c:v>0.42499999999999999</c:v>
                </c:pt>
                <c:pt idx="469">
                  <c:v>7.1999999999999995E-2</c:v>
                </c:pt>
                <c:pt idx="470">
                  <c:v>0.27150000000000002</c:v>
                </c:pt>
                <c:pt idx="471">
                  <c:v>0.20150000000000001</c:v>
                </c:pt>
                <c:pt idx="472">
                  <c:v>0.42599999999999999</c:v>
                </c:pt>
                <c:pt idx="473">
                  <c:v>0.23050000000000001</c:v>
                </c:pt>
                <c:pt idx="474">
                  <c:v>0.56399999999999995</c:v>
                </c:pt>
                <c:pt idx="475">
                  <c:v>0.45800000000000002</c:v>
                </c:pt>
                <c:pt idx="476">
                  <c:v>0.35599999999999998</c:v>
                </c:pt>
                <c:pt idx="477">
                  <c:v>0.83650000000000002</c:v>
                </c:pt>
                <c:pt idx="478">
                  <c:v>9.5000000000000001E-2</c:v>
                </c:pt>
                <c:pt idx="479">
                  <c:v>0.26450000000000001</c:v>
                </c:pt>
                <c:pt idx="480">
                  <c:v>0.442</c:v>
                </c:pt>
                <c:pt idx="481">
                  <c:v>0.105</c:v>
                </c:pt>
                <c:pt idx="482">
                  <c:v>0.45300000000000001</c:v>
                </c:pt>
                <c:pt idx="483">
                  <c:v>0.36699999999999999</c:v>
                </c:pt>
                <c:pt idx="484">
                  <c:v>0.27600000000000002</c:v>
                </c:pt>
                <c:pt idx="485">
                  <c:v>0.19650000000000001</c:v>
                </c:pt>
                <c:pt idx="486">
                  <c:v>0.128</c:v>
                </c:pt>
                <c:pt idx="487">
                  <c:v>0.88900000000000001</c:v>
                </c:pt>
                <c:pt idx="488">
                  <c:v>0.34549999999999997</c:v>
                </c:pt>
                <c:pt idx="489">
                  <c:v>0.27100000000000002</c:v>
                </c:pt>
                <c:pt idx="490">
                  <c:v>0.62749999999999995</c:v>
                </c:pt>
                <c:pt idx="491">
                  <c:v>0.1255</c:v>
                </c:pt>
                <c:pt idx="492">
                  <c:v>0.13350000000000001</c:v>
                </c:pt>
                <c:pt idx="493">
                  <c:v>0.57699999999999996</c:v>
                </c:pt>
                <c:pt idx="494">
                  <c:v>0.95</c:v>
                </c:pt>
                <c:pt idx="495">
                  <c:v>0.34649999999999997</c:v>
                </c:pt>
                <c:pt idx="496">
                  <c:v>0.54749999999999999</c:v>
                </c:pt>
                <c:pt idx="497">
                  <c:v>0.39900000000000002</c:v>
                </c:pt>
                <c:pt idx="498">
                  <c:v>0.63700000000000001</c:v>
                </c:pt>
                <c:pt idx="499">
                  <c:v>0.51249999999999996</c:v>
                </c:pt>
                <c:pt idx="500">
                  <c:v>1.2529999999999999</c:v>
                </c:pt>
                <c:pt idx="501">
                  <c:v>0.221</c:v>
                </c:pt>
                <c:pt idx="502">
                  <c:v>0.61799999999999999</c:v>
                </c:pt>
                <c:pt idx="503">
                  <c:v>0.46450000000000002</c:v>
                </c:pt>
                <c:pt idx="504">
                  <c:v>0.19700000000000001</c:v>
                </c:pt>
                <c:pt idx="505">
                  <c:v>0.34599999999999997</c:v>
                </c:pt>
                <c:pt idx="506">
                  <c:v>0.16550000000000001</c:v>
                </c:pt>
                <c:pt idx="507">
                  <c:v>0.51749999999999996</c:v>
                </c:pt>
                <c:pt idx="508">
                  <c:v>0.39400000000000002</c:v>
                </c:pt>
                <c:pt idx="509">
                  <c:v>0.14199999999999999</c:v>
                </c:pt>
                <c:pt idx="510">
                  <c:v>0.22</c:v>
                </c:pt>
                <c:pt idx="511">
                  <c:v>0.16300000000000001</c:v>
                </c:pt>
                <c:pt idx="512">
                  <c:v>0.16350000000000001</c:v>
                </c:pt>
                <c:pt idx="513">
                  <c:v>0.34749999999999998</c:v>
                </c:pt>
                <c:pt idx="514">
                  <c:v>0.36549999999999999</c:v>
                </c:pt>
                <c:pt idx="515">
                  <c:v>0.53</c:v>
                </c:pt>
                <c:pt idx="516">
                  <c:v>0.38450000000000001</c:v>
                </c:pt>
                <c:pt idx="517">
                  <c:v>0.55700000000000005</c:v>
                </c:pt>
                <c:pt idx="518">
                  <c:v>0.41499999999999998</c:v>
                </c:pt>
                <c:pt idx="519">
                  <c:v>0.37</c:v>
                </c:pt>
                <c:pt idx="520">
                  <c:v>0.64649999999999996</c:v>
                </c:pt>
                <c:pt idx="521">
                  <c:v>8.3500000000000005E-2</c:v>
                </c:pt>
                <c:pt idx="522">
                  <c:v>0.32450000000000001</c:v>
                </c:pt>
                <c:pt idx="523">
                  <c:v>0.372</c:v>
                </c:pt>
                <c:pt idx="524">
                  <c:v>0.57150000000000001</c:v>
                </c:pt>
                <c:pt idx="525">
                  <c:v>0.30049999999999999</c:v>
                </c:pt>
                <c:pt idx="526">
                  <c:v>0.23300000000000001</c:v>
                </c:pt>
                <c:pt idx="527">
                  <c:v>0.80449999999999999</c:v>
                </c:pt>
                <c:pt idx="528">
                  <c:v>0.35799999999999998</c:v>
                </c:pt>
                <c:pt idx="529">
                  <c:v>0.61650000000000005</c:v>
                </c:pt>
                <c:pt idx="530">
                  <c:v>0.46700000000000003</c:v>
                </c:pt>
                <c:pt idx="531">
                  <c:v>0.3695</c:v>
                </c:pt>
                <c:pt idx="532">
                  <c:v>9.2499999999999999E-2</c:v>
                </c:pt>
                <c:pt idx="533">
                  <c:v>0.33650000000000002</c:v>
                </c:pt>
                <c:pt idx="534">
                  <c:v>0.55500000000000005</c:v>
                </c:pt>
                <c:pt idx="535">
                  <c:v>0.53500000000000003</c:v>
                </c:pt>
                <c:pt idx="536">
                  <c:v>5.5E-2</c:v>
                </c:pt>
                <c:pt idx="537">
                  <c:v>0.36849999999999999</c:v>
                </c:pt>
                <c:pt idx="538">
                  <c:v>3.5999999999999997E-2</c:v>
                </c:pt>
                <c:pt idx="539">
                  <c:v>0.50349999999999995</c:v>
                </c:pt>
                <c:pt idx="540">
                  <c:v>0.33950000000000002</c:v>
                </c:pt>
                <c:pt idx="541">
                  <c:v>0.53900000000000003</c:v>
                </c:pt>
                <c:pt idx="542">
                  <c:v>0.40400000000000003</c:v>
                </c:pt>
                <c:pt idx="543">
                  <c:v>0.16850000000000001</c:v>
                </c:pt>
                <c:pt idx="544">
                  <c:v>0.30199999999999999</c:v>
                </c:pt>
                <c:pt idx="545">
                  <c:v>0.89049999999999996</c:v>
                </c:pt>
                <c:pt idx="546">
                  <c:v>7.85E-2</c:v>
                </c:pt>
                <c:pt idx="547">
                  <c:v>0.14050000000000001</c:v>
                </c:pt>
                <c:pt idx="548">
                  <c:v>0.09</c:v>
                </c:pt>
                <c:pt idx="549">
                  <c:v>0.4</c:v>
                </c:pt>
                <c:pt idx="550">
                  <c:v>0.54</c:v>
                </c:pt>
                <c:pt idx="551">
                  <c:v>0.54400000000000004</c:v>
                </c:pt>
                <c:pt idx="552">
                  <c:v>0.66449999999999998</c:v>
                </c:pt>
                <c:pt idx="553">
                  <c:v>5.7500000000000002E-2</c:v>
                </c:pt>
                <c:pt idx="554">
                  <c:v>0.44700000000000001</c:v>
                </c:pt>
                <c:pt idx="555">
                  <c:v>0.2165</c:v>
                </c:pt>
                <c:pt idx="556">
                  <c:v>0.40799999999999997</c:v>
                </c:pt>
                <c:pt idx="557">
                  <c:v>0.17349999999999999</c:v>
                </c:pt>
                <c:pt idx="558">
                  <c:v>0.92900000000000005</c:v>
                </c:pt>
                <c:pt idx="559">
                  <c:v>0.24349999999999999</c:v>
                </c:pt>
                <c:pt idx="560">
                  <c:v>0.53949999999999998</c:v>
                </c:pt>
                <c:pt idx="561">
                  <c:v>0.51349999999999996</c:v>
                </c:pt>
                <c:pt idx="562">
                  <c:v>0.56699999999999995</c:v>
                </c:pt>
                <c:pt idx="563">
                  <c:v>0.66049999999999998</c:v>
                </c:pt>
                <c:pt idx="564">
                  <c:v>0.1575</c:v>
                </c:pt>
                <c:pt idx="565">
                  <c:v>0.13400000000000001</c:v>
                </c:pt>
                <c:pt idx="566">
                  <c:v>0.13400000000000001</c:v>
                </c:pt>
                <c:pt idx="567">
                  <c:v>0.3755</c:v>
                </c:pt>
                <c:pt idx="568">
                  <c:v>0.33150000000000002</c:v>
                </c:pt>
                <c:pt idx="569">
                  <c:v>0.34150000000000003</c:v>
                </c:pt>
                <c:pt idx="570">
                  <c:v>0.39800000000000002</c:v>
                </c:pt>
                <c:pt idx="571">
                  <c:v>0.18149999999999999</c:v>
                </c:pt>
                <c:pt idx="572">
                  <c:v>0.13150000000000001</c:v>
                </c:pt>
                <c:pt idx="573">
                  <c:v>0.53949999999999998</c:v>
                </c:pt>
                <c:pt idx="574">
                  <c:v>0.11799999999999999</c:v>
                </c:pt>
                <c:pt idx="575">
                  <c:v>0.2</c:v>
                </c:pt>
                <c:pt idx="576">
                  <c:v>0.28100000000000003</c:v>
                </c:pt>
                <c:pt idx="577">
                  <c:v>0.17499999999999999</c:v>
                </c:pt>
                <c:pt idx="578">
                  <c:v>0.52800000000000002</c:v>
                </c:pt>
                <c:pt idx="579">
                  <c:v>0.19450000000000001</c:v>
                </c:pt>
                <c:pt idx="580">
                  <c:v>0.39100000000000001</c:v>
                </c:pt>
                <c:pt idx="581">
                  <c:v>0.17100000000000001</c:v>
                </c:pt>
                <c:pt idx="582">
                  <c:v>0.31</c:v>
                </c:pt>
                <c:pt idx="583">
                  <c:v>0.51300000000000001</c:v>
                </c:pt>
                <c:pt idx="584">
                  <c:v>0.17299999999999999</c:v>
                </c:pt>
                <c:pt idx="585">
                  <c:v>0.29349999999999998</c:v>
                </c:pt>
                <c:pt idx="586">
                  <c:v>0.47149999999999997</c:v>
                </c:pt>
                <c:pt idx="587">
                  <c:v>1.0169999999999999</c:v>
                </c:pt>
                <c:pt idx="588">
                  <c:v>0.09</c:v>
                </c:pt>
                <c:pt idx="589">
                  <c:v>0.1845</c:v>
                </c:pt>
                <c:pt idx="590">
                  <c:v>4.4999999999999997E-3</c:v>
                </c:pt>
                <c:pt idx="591">
                  <c:v>0.109</c:v>
                </c:pt>
                <c:pt idx="592">
                  <c:v>0.27400000000000002</c:v>
                </c:pt>
                <c:pt idx="593">
                  <c:v>0.19850000000000001</c:v>
                </c:pt>
                <c:pt idx="594">
                  <c:v>0.44900000000000001</c:v>
                </c:pt>
                <c:pt idx="595">
                  <c:v>0.48199999999999998</c:v>
                </c:pt>
                <c:pt idx="596">
                  <c:v>0.47549999999999998</c:v>
                </c:pt>
                <c:pt idx="597">
                  <c:v>0.36049999999999999</c:v>
                </c:pt>
                <c:pt idx="598">
                  <c:v>0.29349999999999998</c:v>
                </c:pt>
                <c:pt idx="599">
                  <c:v>0.29849999999999999</c:v>
                </c:pt>
                <c:pt idx="600">
                  <c:v>0.755</c:v>
                </c:pt>
                <c:pt idx="601">
                  <c:v>0.28199999999999997</c:v>
                </c:pt>
                <c:pt idx="602">
                  <c:v>0.32500000000000001</c:v>
                </c:pt>
                <c:pt idx="603">
                  <c:v>0.38950000000000001</c:v>
                </c:pt>
                <c:pt idx="604">
                  <c:v>0.27300000000000002</c:v>
                </c:pt>
                <c:pt idx="605">
                  <c:v>0.50849999999999995</c:v>
                </c:pt>
                <c:pt idx="606">
                  <c:v>0.115</c:v>
                </c:pt>
                <c:pt idx="607">
                  <c:v>0.23549999999999999</c:v>
                </c:pt>
                <c:pt idx="608">
                  <c:v>6.6500000000000004E-2</c:v>
                </c:pt>
                <c:pt idx="609">
                  <c:v>0.67549999999999999</c:v>
                </c:pt>
                <c:pt idx="610">
                  <c:v>0.154</c:v>
                </c:pt>
                <c:pt idx="611">
                  <c:v>7.4999999999999997E-2</c:v>
                </c:pt>
                <c:pt idx="612">
                  <c:v>0.45050000000000001</c:v>
                </c:pt>
                <c:pt idx="613">
                  <c:v>0.41</c:v>
                </c:pt>
                <c:pt idx="614">
                  <c:v>0.40250000000000002</c:v>
                </c:pt>
                <c:pt idx="615">
                  <c:v>0.32500000000000001</c:v>
                </c:pt>
                <c:pt idx="616">
                  <c:v>0.251</c:v>
                </c:pt>
                <c:pt idx="617">
                  <c:v>0.35449999999999998</c:v>
                </c:pt>
                <c:pt idx="618">
                  <c:v>0.33150000000000002</c:v>
                </c:pt>
                <c:pt idx="619">
                  <c:v>0.34699999999999998</c:v>
                </c:pt>
                <c:pt idx="620">
                  <c:v>0.21049999999999999</c:v>
                </c:pt>
                <c:pt idx="621">
                  <c:v>0.42499999999999999</c:v>
                </c:pt>
                <c:pt idx="622">
                  <c:v>0.312</c:v>
                </c:pt>
                <c:pt idx="623">
                  <c:v>0.2535</c:v>
                </c:pt>
                <c:pt idx="624">
                  <c:v>0.75</c:v>
                </c:pt>
                <c:pt idx="625">
                  <c:v>0.39600000000000002</c:v>
                </c:pt>
                <c:pt idx="626">
                  <c:v>0.87450000000000006</c:v>
                </c:pt>
                <c:pt idx="627">
                  <c:v>0.62949999999999995</c:v>
                </c:pt>
                <c:pt idx="628">
                  <c:v>0.59699999999999998</c:v>
                </c:pt>
                <c:pt idx="629">
                  <c:v>0.58599999999999997</c:v>
                </c:pt>
                <c:pt idx="630">
                  <c:v>0.56999999999999995</c:v>
                </c:pt>
                <c:pt idx="631">
                  <c:v>0.72599999999999998</c:v>
                </c:pt>
                <c:pt idx="632">
                  <c:v>0.46100000000000002</c:v>
                </c:pt>
                <c:pt idx="633">
                  <c:v>6.8000000000000005E-2</c:v>
                </c:pt>
                <c:pt idx="634">
                  <c:v>0.215</c:v>
                </c:pt>
                <c:pt idx="635">
                  <c:v>0.29199999999999998</c:v>
                </c:pt>
                <c:pt idx="636">
                  <c:v>0.68600000000000005</c:v>
                </c:pt>
                <c:pt idx="637">
                  <c:v>0.36799999999999999</c:v>
                </c:pt>
                <c:pt idx="638">
                  <c:v>0.28999999999999998</c:v>
                </c:pt>
                <c:pt idx="639">
                  <c:v>0.29249999999999998</c:v>
                </c:pt>
                <c:pt idx="640">
                  <c:v>0.36449999999999999</c:v>
                </c:pt>
                <c:pt idx="641">
                  <c:v>0.65400000000000003</c:v>
                </c:pt>
                <c:pt idx="642">
                  <c:v>0.56699999999999995</c:v>
                </c:pt>
                <c:pt idx="643">
                  <c:v>0.316</c:v>
                </c:pt>
                <c:pt idx="644">
                  <c:v>0.245</c:v>
                </c:pt>
                <c:pt idx="645">
                  <c:v>0.21</c:v>
                </c:pt>
                <c:pt idx="646">
                  <c:v>0.19500000000000001</c:v>
                </c:pt>
                <c:pt idx="647">
                  <c:v>0.46949999999999997</c:v>
                </c:pt>
                <c:pt idx="648">
                  <c:v>0.38500000000000001</c:v>
                </c:pt>
                <c:pt idx="649">
                  <c:v>0.42849999999999999</c:v>
                </c:pt>
                <c:pt idx="650">
                  <c:v>0.57599999999999996</c:v>
                </c:pt>
                <c:pt idx="651">
                  <c:v>0.36449999999999999</c:v>
                </c:pt>
                <c:pt idx="652">
                  <c:v>0.16550000000000001</c:v>
                </c:pt>
                <c:pt idx="653">
                  <c:v>0.38900000000000001</c:v>
                </c:pt>
                <c:pt idx="654">
                  <c:v>7.0000000000000001E-3</c:v>
                </c:pt>
                <c:pt idx="655">
                  <c:v>0.39050000000000001</c:v>
                </c:pt>
                <c:pt idx="656">
                  <c:v>0.23549999999999999</c:v>
                </c:pt>
                <c:pt idx="657">
                  <c:v>0.65649999999999997</c:v>
                </c:pt>
                <c:pt idx="658">
                  <c:v>0.51749999999999996</c:v>
                </c:pt>
                <c:pt idx="659">
                  <c:v>0.20150000000000001</c:v>
                </c:pt>
                <c:pt idx="660">
                  <c:v>0.61450000000000005</c:v>
                </c:pt>
                <c:pt idx="661">
                  <c:v>0.23849999999999999</c:v>
                </c:pt>
                <c:pt idx="662">
                  <c:v>4.4999999999999998E-2</c:v>
                </c:pt>
                <c:pt idx="663">
                  <c:v>0.30199999999999999</c:v>
                </c:pt>
                <c:pt idx="664">
                  <c:v>0.30149999999999999</c:v>
                </c:pt>
                <c:pt idx="665">
                  <c:v>0.32750000000000001</c:v>
                </c:pt>
                <c:pt idx="666">
                  <c:v>9.4999999999999998E-3</c:v>
                </c:pt>
                <c:pt idx="667">
                  <c:v>0.23949999999999999</c:v>
                </c:pt>
                <c:pt idx="668">
                  <c:v>0.65749999999999997</c:v>
                </c:pt>
                <c:pt idx="669">
                  <c:v>0.16500000000000001</c:v>
                </c:pt>
                <c:pt idx="670">
                  <c:v>2.0500000000000001E-2</c:v>
                </c:pt>
                <c:pt idx="671">
                  <c:v>0.245</c:v>
                </c:pt>
                <c:pt idx="672">
                  <c:v>8.9999999999999993E-3</c:v>
                </c:pt>
                <c:pt idx="673">
                  <c:v>0.11899999999999999</c:v>
                </c:pt>
                <c:pt idx="674">
                  <c:v>0.53149999999999997</c:v>
                </c:pt>
                <c:pt idx="675">
                  <c:v>3.6999999999999998E-2</c:v>
                </c:pt>
                <c:pt idx="676">
                  <c:v>4.5499999999999999E-2</c:v>
                </c:pt>
                <c:pt idx="677">
                  <c:v>8.6499999999999994E-2</c:v>
                </c:pt>
                <c:pt idx="678">
                  <c:v>0.20549999999999999</c:v>
                </c:pt>
                <c:pt idx="679">
                  <c:v>0.70350000000000001</c:v>
                </c:pt>
                <c:pt idx="680">
                  <c:v>7.2499999999999995E-2</c:v>
                </c:pt>
                <c:pt idx="681">
                  <c:v>0.38200000000000001</c:v>
                </c:pt>
                <c:pt idx="682">
                  <c:v>0.313</c:v>
                </c:pt>
                <c:pt idx="683">
                  <c:v>0.26700000000000002</c:v>
                </c:pt>
                <c:pt idx="684">
                  <c:v>0.53100000000000003</c:v>
                </c:pt>
                <c:pt idx="685">
                  <c:v>0.3155</c:v>
                </c:pt>
                <c:pt idx="686">
                  <c:v>0.75349999999999995</c:v>
                </c:pt>
                <c:pt idx="687">
                  <c:v>0.45350000000000001</c:v>
                </c:pt>
                <c:pt idx="688">
                  <c:v>0.42549999999999999</c:v>
                </c:pt>
                <c:pt idx="689">
                  <c:v>0.54549999999999998</c:v>
                </c:pt>
                <c:pt idx="690">
                  <c:v>4.9000000000000002E-2</c:v>
                </c:pt>
                <c:pt idx="691">
                  <c:v>0.73499999999999999</c:v>
                </c:pt>
                <c:pt idx="692">
                  <c:v>0.58450000000000002</c:v>
                </c:pt>
                <c:pt idx="693">
                  <c:v>0.26300000000000001</c:v>
                </c:pt>
                <c:pt idx="694">
                  <c:v>0.34849999999999998</c:v>
                </c:pt>
                <c:pt idx="695">
                  <c:v>0.29349999999999998</c:v>
                </c:pt>
                <c:pt idx="696">
                  <c:v>0.16900000000000001</c:v>
                </c:pt>
                <c:pt idx="697">
                  <c:v>0.2205</c:v>
                </c:pt>
                <c:pt idx="698">
                  <c:v>0.41249999999999998</c:v>
                </c:pt>
                <c:pt idx="699">
                  <c:v>0.63100000000000001</c:v>
                </c:pt>
                <c:pt idx="700">
                  <c:v>0.90900000000000003</c:v>
                </c:pt>
                <c:pt idx="701">
                  <c:v>0.29349999999999998</c:v>
                </c:pt>
                <c:pt idx="702">
                  <c:v>0.77549999999999997</c:v>
                </c:pt>
                <c:pt idx="703">
                  <c:v>0.58099999999999996</c:v>
                </c:pt>
                <c:pt idx="704">
                  <c:v>0.192</c:v>
                </c:pt>
                <c:pt idx="705">
                  <c:v>4.0500000000000001E-2</c:v>
                </c:pt>
                <c:pt idx="706">
                  <c:v>0.19950000000000001</c:v>
                </c:pt>
                <c:pt idx="707">
                  <c:v>2.5499999999999998E-2</c:v>
                </c:pt>
                <c:pt idx="708">
                  <c:v>0.41349999999999998</c:v>
                </c:pt>
                <c:pt idx="709">
                  <c:v>0.46050000000000002</c:v>
                </c:pt>
                <c:pt idx="710">
                  <c:v>0.1045</c:v>
                </c:pt>
                <c:pt idx="711">
                  <c:v>0.48049999999999998</c:v>
                </c:pt>
                <c:pt idx="712">
                  <c:v>0.16350000000000001</c:v>
                </c:pt>
                <c:pt idx="713">
                  <c:v>0.41499999999999998</c:v>
                </c:pt>
                <c:pt idx="714">
                  <c:v>0.13500000000000001</c:v>
                </c:pt>
                <c:pt idx="715">
                  <c:v>0.41199999999999998</c:v>
                </c:pt>
                <c:pt idx="716">
                  <c:v>0.67100000000000004</c:v>
                </c:pt>
                <c:pt idx="717">
                  <c:v>9.7500000000000003E-2</c:v>
                </c:pt>
                <c:pt idx="718">
                  <c:v>0.52349999999999997</c:v>
                </c:pt>
                <c:pt idx="719">
                  <c:v>0.59250000000000003</c:v>
                </c:pt>
                <c:pt idx="720">
                  <c:v>6.8500000000000005E-2</c:v>
                </c:pt>
                <c:pt idx="721">
                  <c:v>0.50649999999999995</c:v>
                </c:pt>
                <c:pt idx="722">
                  <c:v>0.28549999999999998</c:v>
                </c:pt>
                <c:pt idx="723">
                  <c:v>0.2455</c:v>
                </c:pt>
                <c:pt idx="724">
                  <c:v>0.72750000000000004</c:v>
                </c:pt>
                <c:pt idx="725">
                  <c:v>7.4999999999999997E-2</c:v>
                </c:pt>
                <c:pt idx="726">
                  <c:v>0.26400000000000001</c:v>
                </c:pt>
                <c:pt idx="727">
                  <c:v>0.49149999999999999</c:v>
                </c:pt>
                <c:pt idx="728">
                  <c:v>0.46750000000000003</c:v>
                </c:pt>
                <c:pt idx="729">
                  <c:v>0.28799999999999998</c:v>
                </c:pt>
                <c:pt idx="730">
                  <c:v>0.99250000000000005</c:v>
                </c:pt>
                <c:pt idx="731">
                  <c:v>0.22500000000000001</c:v>
                </c:pt>
                <c:pt idx="732">
                  <c:v>0.13800000000000001</c:v>
                </c:pt>
                <c:pt idx="733">
                  <c:v>7.8E-2</c:v>
                </c:pt>
                <c:pt idx="734">
                  <c:v>0.3765</c:v>
                </c:pt>
                <c:pt idx="735">
                  <c:v>0.34599999999999997</c:v>
                </c:pt>
                <c:pt idx="736">
                  <c:v>1.109</c:v>
                </c:pt>
                <c:pt idx="737">
                  <c:v>0.67149999999999999</c:v>
                </c:pt>
                <c:pt idx="738">
                  <c:v>0.40350000000000003</c:v>
                </c:pt>
                <c:pt idx="739">
                  <c:v>0.215</c:v>
                </c:pt>
                <c:pt idx="740">
                  <c:v>0.33400000000000002</c:v>
                </c:pt>
                <c:pt idx="741">
                  <c:v>0.20100000000000001</c:v>
                </c:pt>
                <c:pt idx="742">
                  <c:v>6.6000000000000003E-2</c:v>
                </c:pt>
                <c:pt idx="743">
                  <c:v>0.20349999999999999</c:v>
                </c:pt>
                <c:pt idx="744">
                  <c:v>0.4985</c:v>
                </c:pt>
                <c:pt idx="745">
                  <c:v>0.249</c:v>
                </c:pt>
                <c:pt idx="746">
                  <c:v>0.39350000000000002</c:v>
                </c:pt>
                <c:pt idx="747">
                  <c:v>0.45400000000000001</c:v>
                </c:pt>
                <c:pt idx="748">
                  <c:v>0.121</c:v>
                </c:pt>
                <c:pt idx="749">
                  <c:v>0.14849999999999999</c:v>
                </c:pt>
                <c:pt idx="750">
                  <c:v>0.1605</c:v>
                </c:pt>
                <c:pt idx="751">
                  <c:v>0.39450000000000002</c:v>
                </c:pt>
                <c:pt idx="752">
                  <c:v>0.37</c:v>
                </c:pt>
                <c:pt idx="753">
                  <c:v>0.41049999999999998</c:v>
                </c:pt>
                <c:pt idx="754">
                  <c:v>5.2999999999999999E-2</c:v>
                </c:pt>
                <c:pt idx="755">
                  <c:v>9.8000000000000004E-2</c:v>
                </c:pt>
                <c:pt idx="756">
                  <c:v>0.625</c:v>
                </c:pt>
                <c:pt idx="757">
                  <c:v>0.21</c:v>
                </c:pt>
                <c:pt idx="758">
                  <c:v>0.222</c:v>
                </c:pt>
                <c:pt idx="759">
                  <c:v>0.51800000000000002</c:v>
                </c:pt>
                <c:pt idx="760">
                  <c:v>0.45750000000000002</c:v>
                </c:pt>
                <c:pt idx="761">
                  <c:v>0.93300000000000005</c:v>
                </c:pt>
                <c:pt idx="762">
                  <c:v>0.191</c:v>
                </c:pt>
                <c:pt idx="763">
                  <c:v>0.11650000000000001</c:v>
                </c:pt>
                <c:pt idx="764">
                  <c:v>0.33050000000000002</c:v>
                </c:pt>
                <c:pt idx="765">
                  <c:v>9.4999999999999998E-3</c:v>
                </c:pt>
                <c:pt idx="766">
                  <c:v>0.35249999999999998</c:v>
                </c:pt>
                <c:pt idx="767">
                  <c:v>0.23599999999999999</c:v>
                </c:pt>
                <c:pt idx="768">
                  <c:v>0.73899999999999999</c:v>
                </c:pt>
                <c:pt idx="769">
                  <c:v>4.4999999999999998E-2</c:v>
                </c:pt>
                <c:pt idx="770">
                  <c:v>0.17949999999999999</c:v>
                </c:pt>
                <c:pt idx="771">
                  <c:v>0.11</c:v>
                </c:pt>
                <c:pt idx="772">
                  <c:v>0.378</c:v>
                </c:pt>
                <c:pt idx="773">
                  <c:v>7.1999999999999995E-2</c:v>
                </c:pt>
                <c:pt idx="774">
                  <c:v>0.17599999999999999</c:v>
                </c:pt>
                <c:pt idx="775">
                  <c:v>0.23400000000000001</c:v>
                </c:pt>
                <c:pt idx="776">
                  <c:v>0.62849999999999995</c:v>
                </c:pt>
                <c:pt idx="777">
                  <c:v>0.371</c:v>
                </c:pt>
                <c:pt idx="778">
                  <c:v>0.52549999999999997</c:v>
                </c:pt>
                <c:pt idx="779">
                  <c:v>4.4999999999999998E-2</c:v>
                </c:pt>
                <c:pt idx="780">
                  <c:v>0.48099999999999998</c:v>
                </c:pt>
                <c:pt idx="781">
                  <c:v>0.17249999999999999</c:v>
                </c:pt>
                <c:pt idx="782">
                  <c:v>0.1515</c:v>
                </c:pt>
                <c:pt idx="783">
                  <c:v>0.185</c:v>
                </c:pt>
                <c:pt idx="784">
                  <c:v>0.1265</c:v>
                </c:pt>
                <c:pt idx="785">
                  <c:v>0.14299999999999999</c:v>
                </c:pt>
                <c:pt idx="786">
                  <c:v>0.58250000000000002</c:v>
                </c:pt>
                <c:pt idx="787">
                  <c:v>6.3500000000000001E-2</c:v>
                </c:pt>
                <c:pt idx="788">
                  <c:v>0.45200000000000001</c:v>
                </c:pt>
                <c:pt idx="789">
                  <c:v>0.876</c:v>
                </c:pt>
                <c:pt idx="790">
                  <c:v>5.8500000000000003E-2</c:v>
                </c:pt>
                <c:pt idx="791">
                  <c:v>9.8500000000000004E-2</c:v>
                </c:pt>
                <c:pt idx="792">
                  <c:v>0.40250000000000002</c:v>
                </c:pt>
                <c:pt idx="793">
                  <c:v>6.5500000000000003E-2</c:v>
                </c:pt>
                <c:pt idx="794">
                  <c:v>0.29199999999999998</c:v>
                </c:pt>
                <c:pt idx="795">
                  <c:v>4.2999999999999997E-2</c:v>
                </c:pt>
                <c:pt idx="796">
                  <c:v>0.4985</c:v>
                </c:pt>
                <c:pt idx="797">
                  <c:v>0.47749999999999998</c:v>
                </c:pt>
                <c:pt idx="798">
                  <c:v>0.93100000000000005</c:v>
                </c:pt>
                <c:pt idx="799">
                  <c:v>4.2500000000000003E-2</c:v>
                </c:pt>
                <c:pt idx="800">
                  <c:v>0.20749999999999999</c:v>
                </c:pt>
                <c:pt idx="801">
                  <c:v>0.1525</c:v>
                </c:pt>
                <c:pt idx="802">
                  <c:v>0.315</c:v>
                </c:pt>
                <c:pt idx="803">
                  <c:v>0.2555</c:v>
                </c:pt>
                <c:pt idx="804">
                  <c:v>0.29249999999999998</c:v>
                </c:pt>
                <c:pt idx="805">
                  <c:v>0.53300000000000003</c:v>
                </c:pt>
                <c:pt idx="806">
                  <c:v>0.28000000000000003</c:v>
                </c:pt>
                <c:pt idx="807">
                  <c:v>0.44450000000000001</c:v>
                </c:pt>
                <c:pt idx="808">
                  <c:v>0.63</c:v>
                </c:pt>
                <c:pt idx="809">
                  <c:v>0.65749999999999997</c:v>
                </c:pt>
                <c:pt idx="810">
                  <c:v>0.24199999999999999</c:v>
                </c:pt>
                <c:pt idx="811">
                  <c:v>0.24049999999999999</c:v>
                </c:pt>
                <c:pt idx="812">
                  <c:v>0.54049999999999998</c:v>
                </c:pt>
                <c:pt idx="813">
                  <c:v>6.1499999999999999E-2</c:v>
                </c:pt>
                <c:pt idx="814">
                  <c:v>0.217</c:v>
                </c:pt>
                <c:pt idx="815">
                  <c:v>0.32</c:v>
                </c:pt>
                <c:pt idx="816">
                  <c:v>0.624</c:v>
                </c:pt>
                <c:pt idx="817">
                  <c:v>7.7499999999999999E-2</c:v>
                </c:pt>
                <c:pt idx="818">
                  <c:v>0.63149999999999995</c:v>
                </c:pt>
                <c:pt idx="819">
                  <c:v>0.23799999999999999</c:v>
                </c:pt>
                <c:pt idx="820">
                  <c:v>0.111</c:v>
                </c:pt>
                <c:pt idx="821">
                  <c:v>0.26900000000000002</c:v>
                </c:pt>
                <c:pt idx="822">
                  <c:v>0.57750000000000001</c:v>
                </c:pt>
                <c:pt idx="823">
                  <c:v>0.54249999999999998</c:v>
                </c:pt>
                <c:pt idx="824">
                  <c:v>0.49249999999999999</c:v>
                </c:pt>
                <c:pt idx="825">
                  <c:v>8.7999999999999995E-2</c:v>
                </c:pt>
                <c:pt idx="826">
                  <c:v>0.48299999999999998</c:v>
                </c:pt>
                <c:pt idx="827">
                  <c:v>0.24199999999999999</c:v>
                </c:pt>
                <c:pt idx="828">
                  <c:v>0.54</c:v>
                </c:pt>
                <c:pt idx="829">
                  <c:v>0.26250000000000001</c:v>
                </c:pt>
                <c:pt idx="830">
                  <c:v>0.23549999999999999</c:v>
                </c:pt>
                <c:pt idx="831">
                  <c:v>0.22500000000000001</c:v>
                </c:pt>
                <c:pt idx="832">
                  <c:v>0.3135</c:v>
                </c:pt>
                <c:pt idx="833">
                  <c:v>0.3755</c:v>
                </c:pt>
                <c:pt idx="834">
                  <c:v>0.501</c:v>
                </c:pt>
                <c:pt idx="835">
                  <c:v>0.1075</c:v>
                </c:pt>
                <c:pt idx="836">
                  <c:v>0.15</c:v>
                </c:pt>
                <c:pt idx="837">
                  <c:v>0.40150000000000002</c:v>
                </c:pt>
                <c:pt idx="838">
                  <c:v>0.2505</c:v>
                </c:pt>
                <c:pt idx="839">
                  <c:v>0.69299999999999995</c:v>
                </c:pt>
                <c:pt idx="840">
                  <c:v>0.53500000000000003</c:v>
                </c:pt>
                <c:pt idx="841">
                  <c:v>0.16450000000000001</c:v>
                </c:pt>
                <c:pt idx="842">
                  <c:v>0.39200000000000002</c:v>
                </c:pt>
                <c:pt idx="843">
                  <c:v>0.24299999999999999</c:v>
                </c:pt>
                <c:pt idx="844">
                  <c:v>4.65E-2</c:v>
                </c:pt>
                <c:pt idx="845">
                  <c:v>0.48599999999999999</c:v>
                </c:pt>
                <c:pt idx="846">
                  <c:v>4.2500000000000003E-2</c:v>
                </c:pt>
                <c:pt idx="847">
                  <c:v>0.873</c:v>
                </c:pt>
                <c:pt idx="848">
                  <c:v>0.35799999999999998</c:v>
                </c:pt>
                <c:pt idx="849">
                  <c:v>0.40899999999999997</c:v>
                </c:pt>
                <c:pt idx="850">
                  <c:v>0.28899999999999998</c:v>
                </c:pt>
                <c:pt idx="851">
                  <c:v>0.64500000000000002</c:v>
                </c:pt>
                <c:pt idx="852">
                  <c:v>0.59399999999999997</c:v>
                </c:pt>
                <c:pt idx="853">
                  <c:v>7.2999999999999995E-2</c:v>
                </c:pt>
                <c:pt idx="854">
                  <c:v>0.23549999999999999</c:v>
                </c:pt>
                <c:pt idx="855">
                  <c:v>0.38200000000000001</c:v>
                </c:pt>
                <c:pt idx="856">
                  <c:v>0.50600000000000001</c:v>
                </c:pt>
                <c:pt idx="857">
                  <c:v>0.224</c:v>
                </c:pt>
                <c:pt idx="858">
                  <c:v>0.35249999999999998</c:v>
                </c:pt>
                <c:pt idx="859">
                  <c:v>0.25950000000000001</c:v>
                </c:pt>
                <c:pt idx="860">
                  <c:v>0.32900000000000001</c:v>
                </c:pt>
                <c:pt idx="861">
                  <c:v>1.083</c:v>
                </c:pt>
                <c:pt idx="862">
                  <c:v>0.21149999999999999</c:v>
                </c:pt>
                <c:pt idx="863">
                  <c:v>0.33750000000000002</c:v>
                </c:pt>
                <c:pt idx="864">
                  <c:v>3.7999999999999999E-2</c:v>
                </c:pt>
                <c:pt idx="865">
                  <c:v>0.308</c:v>
                </c:pt>
                <c:pt idx="866">
                  <c:v>0.61950000000000005</c:v>
                </c:pt>
                <c:pt idx="867">
                  <c:v>0.70350000000000001</c:v>
                </c:pt>
                <c:pt idx="868">
                  <c:v>0.74250000000000005</c:v>
                </c:pt>
                <c:pt idx="869">
                  <c:v>0.155</c:v>
                </c:pt>
                <c:pt idx="870">
                  <c:v>0.3085</c:v>
                </c:pt>
                <c:pt idx="871">
                  <c:v>0.4955</c:v>
                </c:pt>
                <c:pt idx="872">
                  <c:v>0.60250000000000004</c:v>
                </c:pt>
                <c:pt idx="873">
                  <c:v>0.36649999999999999</c:v>
                </c:pt>
                <c:pt idx="874">
                  <c:v>0.29749999999999999</c:v>
                </c:pt>
                <c:pt idx="875">
                  <c:v>9.9500000000000005E-2</c:v>
                </c:pt>
                <c:pt idx="876">
                  <c:v>0.54149999999999998</c:v>
                </c:pt>
                <c:pt idx="877">
                  <c:v>0.307</c:v>
                </c:pt>
                <c:pt idx="878">
                  <c:v>0.67749999999999999</c:v>
                </c:pt>
                <c:pt idx="879">
                  <c:v>0.48499999999999999</c:v>
                </c:pt>
                <c:pt idx="880">
                  <c:v>0.8145</c:v>
                </c:pt>
                <c:pt idx="881">
                  <c:v>0.23300000000000001</c:v>
                </c:pt>
                <c:pt idx="882">
                  <c:v>0.17749999999999999</c:v>
                </c:pt>
                <c:pt idx="883">
                  <c:v>0.30499999999999999</c:v>
                </c:pt>
                <c:pt idx="884">
                  <c:v>9.4999999999999998E-3</c:v>
                </c:pt>
                <c:pt idx="885">
                  <c:v>0.69399999999999995</c:v>
                </c:pt>
                <c:pt idx="886">
                  <c:v>0.36849999999999999</c:v>
                </c:pt>
                <c:pt idx="887">
                  <c:v>0.32750000000000001</c:v>
                </c:pt>
                <c:pt idx="888">
                  <c:v>0.55600000000000005</c:v>
                </c:pt>
                <c:pt idx="889">
                  <c:v>0.23499999999999999</c:v>
                </c:pt>
                <c:pt idx="890">
                  <c:v>0.20349999999999999</c:v>
                </c:pt>
                <c:pt idx="891">
                  <c:v>0.18049999999999999</c:v>
                </c:pt>
                <c:pt idx="892">
                  <c:v>0.3705</c:v>
                </c:pt>
                <c:pt idx="893">
                  <c:v>0.17</c:v>
                </c:pt>
                <c:pt idx="894">
                  <c:v>0.501</c:v>
                </c:pt>
                <c:pt idx="895">
                  <c:v>1.2395</c:v>
                </c:pt>
                <c:pt idx="896">
                  <c:v>8.5500000000000007E-2</c:v>
                </c:pt>
                <c:pt idx="897">
                  <c:v>7.2999999999999995E-2</c:v>
                </c:pt>
                <c:pt idx="898">
                  <c:v>0.1905</c:v>
                </c:pt>
                <c:pt idx="899">
                  <c:v>0.3125</c:v>
                </c:pt>
                <c:pt idx="900">
                  <c:v>0.50549999999999995</c:v>
                </c:pt>
                <c:pt idx="901">
                  <c:v>0.34350000000000003</c:v>
                </c:pt>
                <c:pt idx="902">
                  <c:v>0.61</c:v>
                </c:pt>
                <c:pt idx="903">
                  <c:v>0.17</c:v>
                </c:pt>
                <c:pt idx="904">
                  <c:v>0.17749999999999999</c:v>
                </c:pt>
                <c:pt idx="905">
                  <c:v>0.42899999999999999</c:v>
                </c:pt>
                <c:pt idx="906">
                  <c:v>0.26300000000000001</c:v>
                </c:pt>
                <c:pt idx="907">
                  <c:v>0.45600000000000002</c:v>
                </c:pt>
                <c:pt idx="908">
                  <c:v>0.57199999999999995</c:v>
                </c:pt>
                <c:pt idx="909">
                  <c:v>0.20399999999999999</c:v>
                </c:pt>
                <c:pt idx="910">
                  <c:v>0.1525</c:v>
                </c:pt>
                <c:pt idx="911">
                  <c:v>0.38850000000000001</c:v>
                </c:pt>
                <c:pt idx="912">
                  <c:v>0.14099999999999999</c:v>
                </c:pt>
                <c:pt idx="913">
                  <c:v>0.3085</c:v>
                </c:pt>
                <c:pt idx="914">
                  <c:v>0.21049999999999999</c:v>
                </c:pt>
                <c:pt idx="915">
                  <c:v>0.66800000000000004</c:v>
                </c:pt>
                <c:pt idx="916">
                  <c:v>0.33250000000000002</c:v>
                </c:pt>
                <c:pt idx="917">
                  <c:v>0.34449999999999997</c:v>
                </c:pt>
                <c:pt idx="918">
                  <c:v>0.32750000000000001</c:v>
                </c:pt>
                <c:pt idx="919">
                  <c:v>0.64949999999999997</c:v>
                </c:pt>
                <c:pt idx="920">
                  <c:v>0.68899999999999995</c:v>
                </c:pt>
                <c:pt idx="921">
                  <c:v>3.3000000000000002E-2</c:v>
                </c:pt>
                <c:pt idx="922">
                  <c:v>0.437</c:v>
                </c:pt>
                <c:pt idx="923">
                  <c:v>0.18049999999999999</c:v>
                </c:pt>
                <c:pt idx="924">
                  <c:v>0.18099999999999999</c:v>
                </c:pt>
                <c:pt idx="925">
                  <c:v>0.42149999999999999</c:v>
                </c:pt>
                <c:pt idx="926">
                  <c:v>0.14399999999999999</c:v>
                </c:pt>
                <c:pt idx="927">
                  <c:v>0.34749999999999998</c:v>
                </c:pt>
                <c:pt idx="928">
                  <c:v>0.2505</c:v>
                </c:pt>
                <c:pt idx="929">
                  <c:v>0.45350000000000001</c:v>
                </c:pt>
                <c:pt idx="930">
                  <c:v>0.1535</c:v>
                </c:pt>
                <c:pt idx="931">
                  <c:v>0.311</c:v>
                </c:pt>
                <c:pt idx="932">
                  <c:v>0.2555</c:v>
                </c:pt>
                <c:pt idx="933">
                  <c:v>0.55900000000000005</c:v>
                </c:pt>
                <c:pt idx="934">
                  <c:v>0.72450000000000003</c:v>
                </c:pt>
                <c:pt idx="935">
                  <c:v>1.4999999999999999E-2</c:v>
                </c:pt>
                <c:pt idx="936">
                  <c:v>0.1605</c:v>
                </c:pt>
                <c:pt idx="937">
                  <c:v>0.67500000000000004</c:v>
                </c:pt>
                <c:pt idx="938">
                  <c:v>0.1235</c:v>
                </c:pt>
                <c:pt idx="939">
                  <c:v>0.42499999999999999</c:v>
                </c:pt>
                <c:pt idx="940">
                  <c:v>0.156</c:v>
                </c:pt>
                <c:pt idx="941">
                  <c:v>0.24299999999999999</c:v>
                </c:pt>
                <c:pt idx="942">
                  <c:v>0.26900000000000002</c:v>
                </c:pt>
                <c:pt idx="943">
                  <c:v>0.1145</c:v>
                </c:pt>
                <c:pt idx="944">
                  <c:v>0.11650000000000001</c:v>
                </c:pt>
                <c:pt idx="945">
                  <c:v>0.28449999999999998</c:v>
                </c:pt>
                <c:pt idx="946">
                  <c:v>0.58299999999999996</c:v>
                </c:pt>
                <c:pt idx="947">
                  <c:v>0.21299999999999999</c:v>
                </c:pt>
                <c:pt idx="948">
                  <c:v>5.8500000000000003E-2</c:v>
                </c:pt>
                <c:pt idx="949">
                  <c:v>0.34699999999999998</c:v>
                </c:pt>
                <c:pt idx="950">
                  <c:v>0.42349999999999999</c:v>
                </c:pt>
                <c:pt idx="951">
                  <c:v>0.53149999999999997</c:v>
                </c:pt>
                <c:pt idx="952">
                  <c:v>0.62549999999999994</c:v>
                </c:pt>
                <c:pt idx="953">
                  <c:v>0.218</c:v>
                </c:pt>
                <c:pt idx="954">
                  <c:v>0.437</c:v>
                </c:pt>
                <c:pt idx="955">
                  <c:v>0.20050000000000001</c:v>
                </c:pt>
                <c:pt idx="956">
                  <c:v>0.29449999999999998</c:v>
                </c:pt>
                <c:pt idx="957">
                  <c:v>5.1499999999999997E-2</c:v>
                </c:pt>
                <c:pt idx="958">
                  <c:v>0.1105</c:v>
                </c:pt>
                <c:pt idx="959">
                  <c:v>0.36499999999999999</c:v>
                </c:pt>
                <c:pt idx="960">
                  <c:v>0.2455</c:v>
                </c:pt>
                <c:pt idx="961">
                  <c:v>0.29449999999999998</c:v>
                </c:pt>
                <c:pt idx="962">
                  <c:v>0.26150000000000001</c:v>
                </c:pt>
                <c:pt idx="963">
                  <c:v>0.36799999999999999</c:v>
                </c:pt>
                <c:pt idx="964">
                  <c:v>0.08</c:v>
                </c:pt>
                <c:pt idx="965">
                  <c:v>0.158</c:v>
                </c:pt>
                <c:pt idx="966">
                  <c:v>5.0000000000000001E-3</c:v>
                </c:pt>
                <c:pt idx="967">
                  <c:v>0.224</c:v>
                </c:pt>
                <c:pt idx="968">
                  <c:v>0.58699999999999997</c:v>
                </c:pt>
                <c:pt idx="969">
                  <c:v>0.76349999999999996</c:v>
                </c:pt>
                <c:pt idx="970">
                  <c:v>0.11749999999999999</c:v>
                </c:pt>
                <c:pt idx="971">
                  <c:v>0.73350000000000004</c:v>
                </c:pt>
                <c:pt idx="972">
                  <c:v>0.46400000000000002</c:v>
                </c:pt>
                <c:pt idx="973">
                  <c:v>0.86550000000000005</c:v>
                </c:pt>
                <c:pt idx="974">
                  <c:v>0.77549999999999997</c:v>
                </c:pt>
                <c:pt idx="975">
                  <c:v>0.22950000000000001</c:v>
                </c:pt>
                <c:pt idx="976">
                  <c:v>0.5635</c:v>
                </c:pt>
                <c:pt idx="977">
                  <c:v>0.21049999999999999</c:v>
                </c:pt>
                <c:pt idx="978">
                  <c:v>0.17849999999999999</c:v>
                </c:pt>
                <c:pt idx="979">
                  <c:v>0.2185</c:v>
                </c:pt>
                <c:pt idx="980">
                  <c:v>0.69399999999999995</c:v>
                </c:pt>
                <c:pt idx="981">
                  <c:v>0.1255</c:v>
                </c:pt>
                <c:pt idx="982">
                  <c:v>0.45150000000000001</c:v>
                </c:pt>
                <c:pt idx="983">
                  <c:v>0.38700000000000001</c:v>
                </c:pt>
                <c:pt idx="984">
                  <c:v>0.5605</c:v>
                </c:pt>
                <c:pt idx="985">
                  <c:v>0.78500000000000003</c:v>
                </c:pt>
                <c:pt idx="986">
                  <c:v>0.47599999999999998</c:v>
                </c:pt>
                <c:pt idx="987">
                  <c:v>0.29299999999999998</c:v>
                </c:pt>
                <c:pt idx="988">
                  <c:v>0.13650000000000001</c:v>
                </c:pt>
                <c:pt idx="989">
                  <c:v>0.48299999999999998</c:v>
                </c:pt>
                <c:pt idx="990">
                  <c:v>7.9000000000000001E-2</c:v>
                </c:pt>
                <c:pt idx="991">
                  <c:v>5.1499999999999997E-2</c:v>
                </c:pt>
                <c:pt idx="992">
                  <c:v>0.52200000000000002</c:v>
                </c:pt>
                <c:pt idx="993">
                  <c:v>0.17150000000000001</c:v>
                </c:pt>
                <c:pt idx="994">
                  <c:v>0.71050000000000002</c:v>
                </c:pt>
                <c:pt idx="995">
                  <c:v>0.19500000000000001</c:v>
                </c:pt>
                <c:pt idx="996">
                  <c:v>0.127</c:v>
                </c:pt>
                <c:pt idx="997">
                  <c:v>0.26100000000000001</c:v>
                </c:pt>
                <c:pt idx="998">
                  <c:v>0.434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A3-0941-8FFE-64D654B43F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61043215"/>
        <c:axId val="61169967"/>
      </c:barChart>
      <c:catAx>
        <c:axId val="61043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69967"/>
        <c:crosses val="autoZero"/>
        <c:auto val="1"/>
        <c:lblAlgn val="ctr"/>
        <c:lblOffset val="100"/>
        <c:noMultiLvlLbl val="0"/>
      </c:catAx>
      <c:valAx>
        <c:axId val="61169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Weight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43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effectLst/>
              </a:rPr>
              <a:t>Distribution Of Diameter For Each Gender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'Personal Data'!$AD$1</c:f>
              <c:strCache>
                <c:ptCount val="1"/>
                <c:pt idx="0">
                  <c:v>Male2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'Personal Data'!$AD$2:$AD$1001</c:f>
              <c:numCache>
                <c:formatCode>General</c:formatCode>
                <c:ptCount val="10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0.53</c:v>
                </c:pt>
                <c:pt idx="5">
                  <c:v>0.52500000000000002</c:v>
                </c:pt>
                <c:pt idx="6">
                  <c:v>0.24</c:v>
                </c:pt>
                <c:pt idx="7">
                  <c:v>#N/A</c:v>
                </c:pt>
                <c:pt idx="8">
                  <c:v>#N/A</c:v>
                </c:pt>
                <c:pt idx="9">
                  <c:v>0.4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0.56000000000000005</c:v>
                </c:pt>
                <c:pt idx="14">
                  <c:v>0.47499999999999998</c:v>
                </c:pt>
                <c:pt idx="15">
                  <c:v>#N/A</c:v>
                </c:pt>
                <c:pt idx="16">
                  <c:v>#N/A</c:v>
                </c:pt>
                <c:pt idx="17">
                  <c:v>0.48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0.36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0.45</c:v>
                </c:pt>
                <c:pt idx="34">
                  <c:v>0.31</c:v>
                </c:pt>
                <c:pt idx="35">
                  <c:v>0.49</c:v>
                </c:pt>
                <c:pt idx="36">
                  <c:v>#N/A</c:v>
                </c:pt>
                <c:pt idx="37">
                  <c:v>0.37</c:v>
                </c:pt>
                <c:pt idx="38">
                  <c:v>#N/A</c:v>
                </c:pt>
                <c:pt idx="39">
                  <c:v>0.4</c:v>
                </c:pt>
                <c:pt idx="40">
                  <c:v>0.375</c:v>
                </c:pt>
                <c:pt idx="41">
                  <c:v>0.42</c:v>
                </c:pt>
                <c:pt idx="42">
                  <c:v>#N/A</c:v>
                </c:pt>
                <c:pt idx="43">
                  <c:v>#N/A</c:v>
                </c:pt>
                <c:pt idx="44">
                  <c:v>0.56999999999999995</c:v>
                </c:pt>
                <c:pt idx="45">
                  <c:v>#N/A</c:v>
                </c:pt>
                <c:pt idx="46">
                  <c:v>0.45</c:v>
                </c:pt>
                <c:pt idx="47">
                  <c:v>0.52500000000000002</c:v>
                </c:pt>
                <c:pt idx="48">
                  <c:v>0.44</c:v>
                </c:pt>
                <c:pt idx="49">
                  <c:v>0.45</c:v>
                </c:pt>
                <c:pt idx="50">
                  <c:v>0.55000000000000004</c:v>
                </c:pt>
                <c:pt idx="51">
                  <c:v>#N/A</c:v>
                </c:pt>
                <c:pt idx="52">
                  <c:v>#N/A</c:v>
                </c:pt>
                <c:pt idx="53">
                  <c:v>0.55500000000000005</c:v>
                </c:pt>
                <c:pt idx="54">
                  <c:v>#N/A</c:v>
                </c:pt>
                <c:pt idx="55">
                  <c:v>#N/A</c:v>
                </c:pt>
                <c:pt idx="56">
                  <c:v>0.45</c:v>
                </c:pt>
                <c:pt idx="57">
                  <c:v>#N/A</c:v>
                </c:pt>
                <c:pt idx="58">
                  <c:v>0.51</c:v>
                </c:pt>
                <c:pt idx="59">
                  <c:v>#N/A</c:v>
                </c:pt>
                <c:pt idx="60">
                  <c:v>#N/A</c:v>
                </c:pt>
                <c:pt idx="61">
                  <c:v>0.40500000000000003</c:v>
                </c:pt>
                <c:pt idx="62">
                  <c:v>#N/A</c:v>
                </c:pt>
                <c:pt idx="63">
                  <c:v>0.39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0.46</c:v>
                </c:pt>
                <c:pt idx="68">
                  <c:v>#N/A</c:v>
                </c:pt>
                <c:pt idx="69">
                  <c:v>0.51500000000000001</c:v>
                </c:pt>
                <c:pt idx="70">
                  <c:v>0.55000000000000004</c:v>
                </c:pt>
                <c:pt idx="71">
                  <c:v>#N/A</c:v>
                </c:pt>
                <c:pt idx="72">
                  <c:v>#N/A</c:v>
                </c:pt>
                <c:pt idx="73">
                  <c:v>0.4</c:v>
                </c:pt>
                <c:pt idx="74">
                  <c:v>#N/A</c:v>
                </c:pt>
                <c:pt idx="75">
                  <c:v>0.47499999999999998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0.42499999999999999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0.41499999999999998</c:v>
                </c:pt>
                <c:pt idx="84">
                  <c:v>#N/A</c:v>
                </c:pt>
                <c:pt idx="85">
                  <c:v>#N/A</c:v>
                </c:pt>
                <c:pt idx="86">
                  <c:v>0.49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0.51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0.55000000000000004</c:v>
                </c:pt>
                <c:pt idx="100">
                  <c:v>0.41</c:v>
                </c:pt>
                <c:pt idx="101">
                  <c:v>#N/A</c:v>
                </c:pt>
                <c:pt idx="102">
                  <c:v>0.42499999999999999</c:v>
                </c:pt>
                <c:pt idx="103">
                  <c:v>0.49</c:v>
                </c:pt>
                <c:pt idx="104">
                  <c:v>#N/A</c:v>
                </c:pt>
                <c:pt idx="105">
                  <c:v>0.53500000000000003</c:v>
                </c:pt>
                <c:pt idx="106">
                  <c:v>0.45</c:v>
                </c:pt>
                <c:pt idx="107">
                  <c:v>0.40500000000000003</c:v>
                </c:pt>
                <c:pt idx="108">
                  <c:v>0.505</c:v>
                </c:pt>
                <c:pt idx="109">
                  <c:v>#N/A</c:v>
                </c:pt>
                <c:pt idx="110">
                  <c:v>0.40500000000000003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0.48</c:v>
                </c:pt>
                <c:pt idx="121">
                  <c:v>#N/A</c:v>
                </c:pt>
                <c:pt idx="122">
                  <c:v>#N/A</c:v>
                </c:pt>
                <c:pt idx="123">
                  <c:v>0.43</c:v>
                </c:pt>
                <c:pt idx="124">
                  <c:v>0.47499999999999998</c:v>
                </c:pt>
                <c:pt idx="125">
                  <c:v>0.38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0.39</c:v>
                </c:pt>
                <c:pt idx="132">
                  <c:v>#N/A</c:v>
                </c:pt>
                <c:pt idx="133">
                  <c:v>0.35</c:v>
                </c:pt>
                <c:pt idx="134">
                  <c:v>#N/A</c:v>
                </c:pt>
                <c:pt idx="135">
                  <c:v>0.42</c:v>
                </c:pt>
                <c:pt idx="136">
                  <c:v>0.47</c:v>
                </c:pt>
                <c:pt idx="137">
                  <c:v>0.3</c:v>
                </c:pt>
                <c:pt idx="138">
                  <c:v>0.55000000000000004</c:v>
                </c:pt>
                <c:pt idx="139">
                  <c:v>#N/A</c:v>
                </c:pt>
                <c:pt idx="140">
                  <c:v>0.49</c:v>
                </c:pt>
                <c:pt idx="141">
                  <c:v>0.47499999999999998</c:v>
                </c:pt>
                <c:pt idx="142">
                  <c:v>0.52</c:v>
                </c:pt>
                <c:pt idx="143">
                  <c:v>0.54</c:v>
                </c:pt>
                <c:pt idx="144">
                  <c:v>0.35</c:v>
                </c:pt>
                <c:pt idx="145">
                  <c:v>0.47</c:v>
                </c:pt>
                <c:pt idx="146">
                  <c:v>#N/A</c:v>
                </c:pt>
                <c:pt idx="147">
                  <c:v>#N/A</c:v>
                </c:pt>
                <c:pt idx="148">
                  <c:v>0.47</c:v>
                </c:pt>
                <c:pt idx="149">
                  <c:v>0.52500000000000002</c:v>
                </c:pt>
                <c:pt idx="150">
                  <c:v>0.40500000000000003</c:v>
                </c:pt>
                <c:pt idx="151">
                  <c:v>#N/A</c:v>
                </c:pt>
                <c:pt idx="152">
                  <c:v>#N/A</c:v>
                </c:pt>
                <c:pt idx="153">
                  <c:v>0.51</c:v>
                </c:pt>
                <c:pt idx="154">
                  <c:v>#N/A</c:v>
                </c:pt>
                <c:pt idx="155">
                  <c:v>#N/A</c:v>
                </c:pt>
                <c:pt idx="156">
                  <c:v>0.5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0.51500000000000001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0.27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0.35</c:v>
                </c:pt>
                <c:pt idx="174">
                  <c:v>#N/A</c:v>
                </c:pt>
                <c:pt idx="175">
                  <c:v>0.5</c:v>
                </c:pt>
                <c:pt idx="176">
                  <c:v>#N/A</c:v>
                </c:pt>
                <c:pt idx="177">
                  <c:v>#N/A</c:v>
                </c:pt>
                <c:pt idx="178">
                  <c:v>0.44</c:v>
                </c:pt>
                <c:pt idx="179">
                  <c:v>#N/A</c:v>
                </c:pt>
                <c:pt idx="180">
                  <c:v>0.55500000000000005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0.4</c:v>
                </c:pt>
                <c:pt idx="186">
                  <c:v>0.47</c:v>
                </c:pt>
                <c:pt idx="187">
                  <c:v>0.49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0.51500000000000001</c:v>
                </c:pt>
                <c:pt idx="192">
                  <c:v>#N/A</c:v>
                </c:pt>
                <c:pt idx="193">
                  <c:v>0.41</c:v>
                </c:pt>
                <c:pt idx="194">
                  <c:v>#N/A</c:v>
                </c:pt>
                <c:pt idx="195">
                  <c:v>0.30499999999999999</c:v>
                </c:pt>
                <c:pt idx="196">
                  <c:v>#N/A</c:v>
                </c:pt>
                <c:pt idx="197">
                  <c:v>#N/A</c:v>
                </c:pt>
                <c:pt idx="198">
                  <c:v>0.35499999999999998</c:v>
                </c:pt>
                <c:pt idx="199">
                  <c:v>#N/A</c:v>
                </c:pt>
                <c:pt idx="200">
                  <c:v>0.56000000000000005</c:v>
                </c:pt>
                <c:pt idx="201">
                  <c:v>0.435</c:v>
                </c:pt>
                <c:pt idx="202">
                  <c:v>#N/A</c:v>
                </c:pt>
                <c:pt idx="203">
                  <c:v>#N/A</c:v>
                </c:pt>
                <c:pt idx="204">
                  <c:v>0.46500000000000002</c:v>
                </c:pt>
                <c:pt idx="205">
                  <c:v>0.35</c:v>
                </c:pt>
                <c:pt idx="206">
                  <c:v>0.59499999999999997</c:v>
                </c:pt>
                <c:pt idx="207">
                  <c:v>0.58499999999999996</c:v>
                </c:pt>
                <c:pt idx="208">
                  <c:v>#N/A</c:v>
                </c:pt>
                <c:pt idx="209">
                  <c:v>0.48499999999999999</c:v>
                </c:pt>
                <c:pt idx="210">
                  <c:v>0.52500000000000002</c:v>
                </c:pt>
                <c:pt idx="211">
                  <c:v>#N/A</c:v>
                </c:pt>
                <c:pt idx="212">
                  <c:v>0.375</c:v>
                </c:pt>
                <c:pt idx="213">
                  <c:v>#N/A</c:v>
                </c:pt>
                <c:pt idx="214">
                  <c:v>0.505</c:v>
                </c:pt>
                <c:pt idx="215">
                  <c:v>0.41499999999999998</c:v>
                </c:pt>
                <c:pt idx="216">
                  <c:v>0.36499999999999999</c:v>
                </c:pt>
                <c:pt idx="217">
                  <c:v>#N/A</c:v>
                </c:pt>
                <c:pt idx="218">
                  <c:v>0.47499999999999998</c:v>
                </c:pt>
                <c:pt idx="219">
                  <c:v>0.47499999999999998</c:v>
                </c:pt>
                <c:pt idx="220">
                  <c:v>0.51500000000000001</c:v>
                </c:pt>
                <c:pt idx="221">
                  <c:v>#N/A</c:v>
                </c:pt>
                <c:pt idx="222">
                  <c:v>#N/A</c:v>
                </c:pt>
                <c:pt idx="223">
                  <c:v>0.51500000000000001</c:v>
                </c:pt>
                <c:pt idx="224">
                  <c:v>0.37</c:v>
                </c:pt>
                <c:pt idx="225">
                  <c:v>0.55000000000000004</c:v>
                </c:pt>
                <c:pt idx="226">
                  <c:v>0.48</c:v>
                </c:pt>
                <c:pt idx="227">
                  <c:v>0.44</c:v>
                </c:pt>
                <c:pt idx="228">
                  <c:v>#N/A</c:v>
                </c:pt>
                <c:pt idx="229">
                  <c:v>#N/A</c:v>
                </c:pt>
                <c:pt idx="230">
                  <c:v>0.26500000000000001</c:v>
                </c:pt>
                <c:pt idx="231">
                  <c:v>#N/A</c:v>
                </c:pt>
                <c:pt idx="232">
                  <c:v>#N/A</c:v>
                </c:pt>
                <c:pt idx="233">
                  <c:v>0.45500000000000002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0.46</c:v>
                </c:pt>
                <c:pt idx="238">
                  <c:v>0.36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0.48499999999999999</c:v>
                </c:pt>
                <c:pt idx="246">
                  <c:v>0.375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0.53</c:v>
                </c:pt>
                <c:pt idx="251">
                  <c:v>#N/A</c:v>
                </c:pt>
                <c:pt idx="252">
                  <c:v>0.55000000000000004</c:v>
                </c:pt>
                <c:pt idx="253">
                  <c:v>0.45500000000000002</c:v>
                </c:pt>
                <c:pt idx="254">
                  <c:v>#N/A</c:v>
                </c:pt>
                <c:pt idx="255">
                  <c:v>#N/A</c:v>
                </c:pt>
                <c:pt idx="256">
                  <c:v>0.48</c:v>
                </c:pt>
                <c:pt idx="257">
                  <c:v>#N/A</c:v>
                </c:pt>
                <c:pt idx="258">
                  <c:v>#N/A</c:v>
                </c:pt>
                <c:pt idx="259">
                  <c:v>0.54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0.57499999999999996</c:v>
                </c:pt>
                <c:pt idx="269">
                  <c:v>0.45</c:v>
                </c:pt>
                <c:pt idx="270">
                  <c:v>0.49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0.4</c:v>
                </c:pt>
                <c:pt idx="275">
                  <c:v>0.42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0.53500000000000003</c:v>
                </c:pt>
                <c:pt idx="280">
                  <c:v>0.38500000000000001</c:v>
                </c:pt>
                <c:pt idx="281">
                  <c:v>0.59</c:v>
                </c:pt>
                <c:pt idx="282">
                  <c:v>0.39500000000000002</c:v>
                </c:pt>
                <c:pt idx="283">
                  <c:v>0.38</c:v>
                </c:pt>
                <c:pt idx="284">
                  <c:v>0.51</c:v>
                </c:pt>
                <c:pt idx="285">
                  <c:v>0.3</c:v>
                </c:pt>
                <c:pt idx="286">
                  <c:v>#N/A</c:v>
                </c:pt>
                <c:pt idx="287">
                  <c:v>0.435</c:v>
                </c:pt>
                <c:pt idx="288">
                  <c:v>0.56499999999999995</c:v>
                </c:pt>
                <c:pt idx="289">
                  <c:v>#N/A</c:v>
                </c:pt>
                <c:pt idx="290">
                  <c:v>#N/A</c:v>
                </c:pt>
                <c:pt idx="291">
                  <c:v>0.505</c:v>
                </c:pt>
                <c:pt idx="292">
                  <c:v>#N/A</c:v>
                </c:pt>
                <c:pt idx="293">
                  <c:v>#N/A</c:v>
                </c:pt>
                <c:pt idx="294">
                  <c:v>0.39</c:v>
                </c:pt>
                <c:pt idx="295">
                  <c:v>#N/A</c:v>
                </c:pt>
                <c:pt idx="296">
                  <c:v>0.39500000000000002</c:v>
                </c:pt>
                <c:pt idx="297">
                  <c:v>0.49</c:v>
                </c:pt>
                <c:pt idx="298">
                  <c:v>0.38500000000000001</c:v>
                </c:pt>
                <c:pt idx="299">
                  <c:v>#N/A</c:v>
                </c:pt>
                <c:pt idx="300">
                  <c:v>0.38500000000000001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0.36</c:v>
                </c:pt>
                <c:pt idx="306">
                  <c:v>0.38</c:v>
                </c:pt>
                <c:pt idx="307">
                  <c:v>#N/A</c:v>
                </c:pt>
                <c:pt idx="308">
                  <c:v>0.47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0.435</c:v>
                </c:pt>
                <c:pt idx="316">
                  <c:v>#N/A</c:v>
                </c:pt>
                <c:pt idx="317">
                  <c:v>#N/A</c:v>
                </c:pt>
                <c:pt idx="318">
                  <c:v>0.38</c:v>
                </c:pt>
                <c:pt idx="319">
                  <c:v>#N/A</c:v>
                </c:pt>
                <c:pt idx="320">
                  <c:v>#N/A</c:v>
                </c:pt>
                <c:pt idx="321">
                  <c:v>0.53</c:v>
                </c:pt>
                <c:pt idx="322">
                  <c:v>0.215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0.32500000000000001</c:v>
                </c:pt>
                <c:pt idx="327">
                  <c:v>#N/A</c:v>
                </c:pt>
                <c:pt idx="328">
                  <c:v>0.495</c:v>
                </c:pt>
                <c:pt idx="329">
                  <c:v>#N/A</c:v>
                </c:pt>
                <c:pt idx="330">
                  <c:v>0.32500000000000001</c:v>
                </c:pt>
                <c:pt idx="331">
                  <c:v>0.44500000000000001</c:v>
                </c:pt>
                <c:pt idx="332">
                  <c:v>#N/A</c:v>
                </c:pt>
                <c:pt idx="333">
                  <c:v>#N/A</c:v>
                </c:pt>
                <c:pt idx="334">
                  <c:v>0.51500000000000001</c:v>
                </c:pt>
                <c:pt idx="335">
                  <c:v>0.40500000000000003</c:v>
                </c:pt>
                <c:pt idx="336">
                  <c:v>#N/A</c:v>
                </c:pt>
                <c:pt idx="337">
                  <c:v>#N/A</c:v>
                </c:pt>
                <c:pt idx="338">
                  <c:v>0.49</c:v>
                </c:pt>
                <c:pt idx="339">
                  <c:v>#N/A</c:v>
                </c:pt>
                <c:pt idx="340">
                  <c:v>0.495</c:v>
                </c:pt>
                <c:pt idx="341">
                  <c:v>#N/A</c:v>
                </c:pt>
                <c:pt idx="342">
                  <c:v>#N/A</c:v>
                </c:pt>
                <c:pt idx="343">
                  <c:v>0.46500000000000002</c:v>
                </c:pt>
                <c:pt idx="344">
                  <c:v>#N/A</c:v>
                </c:pt>
                <c:pt idx="345">
                  <c:v>0.37</c:v>
                </c:pt>
                <c:pt idx="346">
                  <c:v>0.36</c:v>
                </c:pt>
                <c:pt idx="347">
                  <c:v>#N/A</c:v>
                </c:pt>
                <c:pt idx="348">
                  <c:v>0.30499999999999999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0.47499999999999998</c:v>
                </c:pt>
                <c:pt idx="353">
                  <c:v>#N/A</c:v>
                </c:pt>
                <c:pt idx="354">
                  <c:v>0.49</c:v>
                </c:pt>
                <c:pt idx="355">
                  <c:v>#N/A</c:v>
                </c:pt>
                <c:pt idx="356">
                  <c:v>#N/A</c:v>
                </c:pt>
                <c:pt idx="357">
                  <c:v>0.48</c:v>
                </c:pt>
                <c:pt idx="358">
                  <c:v>#N/A</c:v>
                </c:pt>
                <c:pt idx="359">
                  <c:v>0.435</c:v>
                </c:pt>
                <c:pt idx="360">
                  <c:v>#N/A</c:v>
                </c:pt>
                <c:pt idx="361">
                  <c:v>#N/A</c:v>
                </c:pt>
                <c:pt idx="362">
                  <c:v>0.44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0.39500000000000002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0.47</c:v>
                </c:pt>
                <c:pt idx="375">
                  <c:v>#N/A</c:v>
                </c:pt>
                <c:pt idx="376">
                  <c:v>0.39500000000000002</c:v>
                </c:pt>
                <c:pt idx="377">
                  <c:v>#N/A</c:v>
                </c:pt>
                <c:pt idx="378">
                  <c:v>#N/A</c:v>
                </c:pt>
                <c:pt idx="379">
                  <c:v>0.46</c:v>
                </c:pt>
                <c:pt idx="380">
                  <c:v>#N/A</c:v>
                </c:pt>
                <c:pt idx="381">
                  <c:v>0.44</c:v>
                </c:pt>
                <c:pt idx="382">
                  <c:v>0.42499999999999999</c:v>
                </c:pt>
                <c:pt idx="383">
                  <c:v>0.44</c:v>
                </c:pt>
                <c:pt idx="384">
                  <c:v>#N/A</c:v>
                </c:pt>
                <c:pt idx="385">
                  <c:v>0.37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0.16</c:v>
                </c:pt>
                <c:pt idx="391">
                  <c:v>0.46</c:v>
                </c:pt>
                <c:pt idx="392">
                  <c:v>0.35</c:v>
                </c:pt>
                <c:pt idx="393">
                  <c:v>0.51</c:v>
                </c:pt>
                <c:pt idx="394">
                  <c:v>#N/A</c:v>
                </c:pt>
                <c:pt idx="395">
                  <c:v>0.44</c:v>
                </c:pt>
                <c:pt idx="396">
                  <c:v>0.52</c:v>
                </c:pt>
                <c:pt idx="397">
                  <c:v>#N/A</c:v>
                </c:pt>
                <c:pt idx="398">
                  <c:v>#N/A</c:v>
                </c:pt>
                <c:pt idx="399">
                  <c:v>0.5</c:v>
                </c:pt>
                <c:pt idx="400">
                  <c:v>#N/A</c:v>
                </c:pt>
                <c:pt idx="401">
                  <c:v>0.56000000000000005</c:v>
                </c:pt>
                <c:pt idx="402">
                  <c:v>#N/A</c:v>
                </c:pt>
                <c:pt idx="403">
                  <c:v>0.34499999999999997</c:v>
                </c:pt>
                <c:pt idx="404">
                  <c:v>#N/A</c:v>
                </c:pt>
                <c:pt idx="405">
                  <c:v>0.46</c:v>
                </c:pt>
                <c:pt idx="406">
                  <c:v>0.42</c:v>
                </c:pt>
                <c:pt idx="407">
                  <c:v>0.45</c:v>
                </c:pt>
                <c:pt idx="408">
                  <c:v>0.47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0.35</c:v>
                </c:pt>
                <c:pt idx="420">
                  <c:v>#N/A</c:v>
                </c:pt>
                <c:pt idx="421">
                  <c:v>#N/A</c:v>
                </c:pt>
                <c:pt idx="422">
                  <c:v>0.45</c:v>
                </c:pt>
                <c:pt idx="423">
                  <c:v>0.47499999999999998</c:v>
                </c:pt>
                <c:pt idx="424">
                  <c:v>0.56499999999999995</c:v>
                </c:pt>
                <c:pt idx="425">
                  <c:v>#N/A</c:v>
                </c:pt>
                <c:pt idx="426">
                  <c:v>0.41499999999999998</c:v>
                </c:pt>
                <c:pt idx="427">
                  <c:v>0.47499999999999998</c:v>
                </c:pt>
                <c:pt idx="428">
                  <c:v>0.5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0.45</c:v>
                </c:pt>
                <c:pt idx="433">
                  <c:v>#N/A</c:v>
                </c:pt>
                <c:pt idx="434">
                  <c:v>0.37</c:v>
                </c:pt>
                <c:pt idx="435">
                  <c:v>#N/A</c:v>
                </c:pt>
                <c:pt idx="436">
                  <c:v>0.29499999999999998</c:v>
                </c:pt>
                <c:pt idx="437">
                  <c:v>0.4</c:v>
                </c:pt>
                <c:pt idx="438">
                  <c:v>#N/A</c:v>
                </c:pt>
                <c:pt idx="439">
                  <c:v>0.47499999999999998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0.45500000000000002</c:v>
                </c:pt>
                <c:pt idx="445">
                  <c:v>#N/A</c:v>
                </c:pt>
                <c:pt idx="446">
                  <c:v>#N/A</c:v>
                </c:pt>
                <c:pt idx="447">
                  <c:v>0.36499999999999999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0.42499999999999999</c:v>
                </c:pt>
                <c:pt idx="456">
                  <c:v>#N/A</c:v>
                </c:pt>
                <c:pt idx="457">
                  <c:v>0.47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0.51</c:v>
                </c:pt>
                <c:pt idx="462">
                  <c:v>0.4</c:v>
                </c:pt>
                <c:pt idx="463">
                  <c:v>0.47</c:v>
                </c:pt>
                <c:pt idx="464">
                  <c:v>#N/A</c:v>
                </c:pt>
                <c:pt idx="465">
                  <c:v>#N/A</c:v>
                </c:pt>
                <c:pt idx="466">
                  <c:v>0.35</c:v>
                </c:pt>
                <c:pt idx="467">
                  <c:v>#N/A</c:v>
                </c:pt>
                <c:pt idx="468">
                  <c:v>#N/A</c:v>
                </c:pt>
                <c:pt idx="469">
                  <c:v>0.49</c:v>
                </c:pt>
                <c:pt idx="470">
                  <c:v>#N/A</c:v>
                </c:pt>
                <c:pt idx="471">
                  <c:v>0.4</c:v>
                </c:pt>
                <c:pt idx="472">
                  <c:v>#N/A</c:v>
                </c:pt>
                <c:pt idx="473">
                  <c:v>#N/A</c:v>
                </c:pt>
                <c:pt idx="474">
                  <c:v>0.38</c:v>
                </c:pt>
                <c:pt idx="475">
                  <c:v>0.495</c:v>
                </c:pt>
                <c:pt idx="476">
                  <c:v>#N/A</c:v>
                </c:pt>
                <c:pt idx="477">
                  <c:v>0.44500000000000001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0.53500000000000003</c:v>
                </c:pt>
                <c:pt idx="489">
                  <c:v>#N/A</c:v>
                </c:pt>
                <c:pt idx="490">
                  <c:v>#N/A</c:v>
                </c:pt>
                <c:pt idx="491">
                  <c:v>0.52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0.52500000000000002</c:v>
                </c:pt>
                <c:pt idx="496">
                  <c:v>0.45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0.56999999999999995</c:v>
                </c:pt>
                <c:pt idx="502">
                  <c:v>0.35499999999999998</c:v>
                </c:pt>
                <c:pt idx="503">
                  <c:v>0.53</c:v>
                </c:pt>
                <c:pt idx="504">
                  <c:v>0.5</c:v>
                </c:pt>
                <c:pt idx="505">
                  <c:v>#N/A</c:v>
                </c:pt>
                <c:pt idx="506">
                  <c:v>0.41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0.32500000000000001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0.435</c:v>
                </c:pt>
                <c:pt idx="515">
                  <c:v>#N/A</c:v>
                </c:pt>
                <c:pt idx="516">
                  <c:v>0.48</c:v>
                </c:pt>
                <c:pt idx="517">
                  <c:v>#N/A</c:v>
                </c:pt>
                <c:pt idx="518">
                  <c:v>0.52</c:v>
                </c:pt>
                <c:pt idx="519">
                  <c:v>0.44500000000000001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0.51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0.5</c:v>
                </c:pt>
                <c:pt idx="531">
                  <c:v>#N/A</c:v>
                </c:pt>
                <c:pt idx="532">
                  <c:v>0.45</c:v>
                </c:pt>
                <c:pt idx="533">
                  <c:v>#N/A</c:v>
                </c:pt>
                <c:pt idx="534">
                  <c:v>0.45</c:v>
                </c:pt>
                <c:pt idx="535">
                  <c:v>0.47499999999999998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0.435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0.43</c:v>
                </c:pt>
                <c:pt idx="551">
                  <c:v>#N/A</c:v>
                </c:pt>
                <c:pt idx="552">
                  <c:v>0.48499999999999999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0.33500000000000002</c:v>
                </c:pt>
                <c:pt idx="557">
                  <c:v>0.45500000000000002</c:v>
                </c:pt>
                <c:pt idx="558">
                  <c:v>#N/A</c:v>
                </c:pt>
                <c:pt idx="559">
                  <c:v>#N/A</c:v>
                </c:pt>
                <c:pt idx="560">
                  <c:v>0.32</c:v>
                </c:pt>
                <c:pt idx="561">
                  <c:v>0.495</c:v>
                </c:pt>
                <c:pt idx="562">
                  <c:v>#N/A</c:v>
                </c:pt>
                <c:pt idx="563">
                  <c:v>0.53</c:v>
                </c:pt>
                <c:pt idx="564">
                  <c:v>#N/A</c:v>
                </c:pt>
                <c:pt idx="565">
                  <c:v>0.35</c:v>
                </c:pt>
                <c:pt idx="566">
                  <c:v>0.28999999999999998</c:v>
                </c:pt>
                <c:pt idx="567">
                  <c:v>#N/A</c:v>
                </c:pt>
                <c:pt idx="568">
                  <c:v>#N/A</c:v>
                </c:pt>
                <c:pt idx="569">
                  <c:v>0.39</c:v>
                </c:pt>
                <c:pt idx="570">
                  <c:v>0.44</c:v>
                </c:pt>
                <c:pt idx="571">
                  <c:v>0.45</c:v>
                </c:pt>
                <c:pt idx="572">
                  <c:v>#N/A</c:v>
                </c:pt>
                <c:pt idx="573">
                  <c:v>#N/A</c:v>
                </c:pt>
                <c:pt idx="574">
                  <c:v>0.47499999999999998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0.44</c:v>
                </c:pt>
                <c:pt idx="584">
                  <c:v>#N/A</c:v>
                </c:pt>
                <c:pt idx="585">
                  <c:v>0.31</c:v>
                </c:pt>
                <c:pt idx="586">
                  <c:v>#N/A</c:v>
                </c:pt>
                <c:pt idx="587">
                  <c:v>#N/A</c:v>
                </c:pt>
                <c:pt idx="588">
                  <c:v>0.56499999999999995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0.47</c:v>
                </c:pt>
                <c:pt idx="596">
                  <c:v>#N/A</c:v>
                </c:pt>
                <c:pt idx="597">
                  <c:v>#N/A</c:v>
                </c:pt>
                <c:pt idx="598">
                  <c:v>0.45</c:v>
                </c:pt>
                <c:pt idx="599">
                  <c:v>#N/A</c:v>
                </c:pt>
                <c:pt idx="600">
                  <c:v>#N/A</c:v>
                </c:pt>
                <c:pt idx="601">
                  <c:v>0.52</c:v>
                </c:pt>
                <c:pt idx="602">
                  <c:v>#N/A</c:v>
                </c:pt>
                <c:pt idx="603">
                  <c:v>#N/A</c:v>
                </c:pt>
                <c:pt idx="604">
                  <c:v>0.45500000000000002</c:v>
                </c:pt>
                <c:pt idx="605">
                  <c:v>0.38</c:v>
                </c:pt>
                <c:pt idx="606">
                  <c:v>0.47</c:v>
                </c:pt>
                <c:pt idx="607">
                  <c:v>#N/A</c:v>
                </c:pt>
                <c:pt idx="608">
                  <c:v>#N/A</c:v>
                </c:pt>
                <c:pt idx="609">
                  <c:v>0.27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0.46500000000000002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0.37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0.375</c:v>
                </c:pt>
                <c:pt idx="625">
                  <c:v>0.54500000000000004</c:v>
                </c:pt>
                <c:pt idx="626">
                  <c:v>#N/A</c:v>
                </c:pt>
                <c:pt idx="627">
                  <c:v>0.52500000000000002</c:v>
                </c:pt>
                <c:pt idx="628">
                  <c:v>#N/A</c:v>
                </c:pt>
                <c:pt idx="629">
                  <c:v>0.49</c:v>
                </c:pt>
                <c:pt idx="630">
                  <c:v>0.52</c:v>
                </c:pt>
                <c:pt idx="631">
                  <c:v>#N/A</c:v>
                </c:pt>
                <c:pt idx="632">
                  <c:v>0.5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0.435</c:v>
                </c:pt>
                <c:pt idx="637">
                  <c:v>0.51</c:v>
                </c:pt>
                <c:pt idx="638">
                  <c:v>0.44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0.59</c:v>
                </c:pt>
                <c:pt idx="643">
                  <c:v>#N/A</c:v>
                </c:pt>
                <c:pt idx="644">
                  <c:v>0.435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0.47499999999999998</c:v>
                </c:pt>
                <c:pt idx="650">
                  <c:v>#N/A</c:v>
                </c:pt>
                <c:pt idx="651">
                  <c:v>0.5</c:v>
                </c:pt>
                <c:pt idx="652">
                  <c:v>0.44</c:v>
                </c:pt>
                <c:pt idx="653">
                  <c:v>0.34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0.48499999999999999</c:v>
                </c:pt>
                <c:pt idx="660">
                  <c:v>0.4</c:v>
                </c:pt>
                <c:pt idx="661">
                  <c:v>0.505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0.435</c:v>
                </c:pt>
                <c:pt idx="667">
                  <c:v>#N/A</c:v>
                </c:pt>
                <c:pt idx="668">
                  <c:v>#N/A</c:v>
                </c:pt>
                <c:pt idx="669">
                  <c:v>0.48</c:v>
                </c:pt>
                <c:pt idx="670">
                  <c:v>#N/A</c:v>
                </c:pt>
                <c:pt idx="671">
                  <c:v>#N/A</c:v>
                </c:pt>
                <c:pt idx="672">
                  <c:v>0.38</c:v>
                </c:pt>
                <c:pt idx="673">
                  <c:v>0.115</c:v>
                </c:pt>
                <c:pt idx="674">
                  <c:v>#N/A</c:v>
                </c:pt>
                <c:pt idx="675">
                  <c:v>0.505</c:v>
                </c:pt>
                <c:pt idx="676">
                  <c:v>#N/A</c:v>
                </c:pt>
                <c:pt idx="677">
                  <c:v>0.22500000000000001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0.4</c:v>
                </c:pt>
                <c:pt idx="684">
                  <c:v>#N/A</c:v>
                </c:pt>
                <c:pt idx="685">
                  <c:v>#N/A</c:v>
                </c:pt>
                <c:pt idx="686">
                  <c:v>0.43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0.56999999999999995</c:v>
                </c:pt>
                <c:pt idx="693">
                  <c:v>0.49</c:v>
                </c:pt>
                <c:pt idx="694">
                  <c:v>0.38</c:v>
                </c:pt>
                <c:pt idx="695">
                  <c:v>0.47</c:v>
                </c:pt>
                <c:pt idx="696">
                  <c:v>#N/A</c:v>
                </c:pt>
                <c:pt idx="697">
                  <c:v>0.34499999999999997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0.59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0.45</c:v>
                </c:pt>
                <c:pt idx="715">
                  <c:v>#N/A</c:v>
                </c:pt>
                <c:pt idx="716">
                  <c:v>#N/A</c:v>
                </c:pt>
                <c:pt idx="717">
                  <c:v>0.54</c:v>
                </c:pt>
                <c:pt idx="718">
                  <c:v>0.30499999999999999</c:v>
                </c:pt>
                <c:pt idx="719">
                  <c:v>0.48499999999999999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0.59</c:v>
                </c:pt>
                <c:pt idx="726">
                  <c:v>#N/A</c:v>
                </c:pt>
                <c:pt idx="727">
                  <c:v>#N/A</c:v>
                </c:pt>
                <c:pt idx="728">
                  <c:v>0.5</c:v>
                </c:pt>
                <c:pt idx="729">
                  <c:v>#N/A</c:v>
                </c:pt>
                <c:pt idx="730">
                  <c:v>0.435</c:v>
                </c:pt>
                <c:pt idx="731">
                  <c:v>#N/A</c:v>
                </c:pt>
                <c:pt idx="732">
                  <c:v>0.39</c:v>
                </c:pt>
                <c:pt idx="733">
                  <c:v>#N/A</c:v>
                </c:pt>
                <c:pt idx="734">
                  <c:v>#N/A</c:v>
                </c:pt>
                <c:pt idx="735">
                  <c:v>0.45500000000000002</c:v>
                </c:pt>
                <c:pt idx="736">
                  <c:v>#N/A</c:v>
                </c:pt>
                <c:pt idx="737">
                  <c:v>#N/A</c:v>
                </c:pt>
                <c:pt idx="738">
                  <c:v>0.46</c:v>
                </c:pt>
                <c:pt idx="739">
                  <c:v>#N/A</c:v>
                </c:pt>
                <c:pt idx="740">
                  <c:v>0.40500000000000003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0.435</c:v>
                </c:pt>
                <c:pt idx="746">
                  <c:v>0.41499999999999998</c:v>
                </c:pt>
                <c:pt idx="747">
                  <c:v>#N/A</c:v>
                </c:pt>
                <c:pt idx="748">
                  <c:v>0.46</c:v>
                </c:pt>
                <c:pt idx="749">
                  <c:v>#N/A</c:v>
                </c:pt>
                <c:pt idx="750">
                  <c:v>#N/A</c:v>
                </c:pt>
                <c:pt idx="751">
                  <c:v>0.34</c:v>
                </c:pt>
                <c:pt idx="752">
                  <c:v>#N/A</c:v>
                </c:pt>
                <c:pt idx="753">
                  <c:v>#N/A</c:v>
                </c:pt>
                <c:pt idx="754">
                  <c:v>0.51500000000000001</c:v>
                </c:pt>
                <c:pt idx="755">
                  <c:v>#N/A</c:v>
                </c:pt>
                <c:pt idx="756">
                  <c:v>#N/A</c:v>
                </c:pt>
                <c:pt idx="757">
                  <c:v>0.57499999999999996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0.125</c:v>
                </c:pt>
                <c:pt idx="767">
                  <c:v>#N/A</c:v>
                </c:pt>
                <c:pt idx="768">
                  <c:v>0.38500000000000001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0.4</c:v>
                </c:pt>
                <c:pt idx="777">
                  <c:v>0.48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0.47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0.53</c:v>
                </c:pt>
                <c:pt idx="788">
                  <c:v>#N/A</c:v>
                </c:pt>
                <c:pt idx="789">
                  <c:v>#N/A</c:v>
                </c:pt>
                <c:pt idx="790">
                  <c:v>0.54500000000000004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0.245</c:v>
                </c:pt>
                <c:pt idx="795">
                  <c:v>0.47</c:v>
                </c:pt>
                <c:pt idx="796">
                  <c:v>#N/A</c:v>
                </c:pt>
                <c:pt idx="797">
                  <c:v>0.45500000000000002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0.54</c:v>
                </c:pt>
                <c:pt idx="807">
                  <c:v>#N/A</c:v>
                </c:pt>
                <c:pt idx="808">
                  <c:v>0.5</c:v>
                </c:pt>
                <c:pt idx="809">
                  <c:v>0.49</c:v>
                </c:pt>
                <c:pt idx="810">
                  <c:v>0.51</c:v>
                </c:pt>
                <c:pt idx="811">
                  <c:v>#N/A</c:v>
                </c:pt>
                <c:pt idx="812">
                  <c:v>0.36499999999999999</c:v>
                </c:pt>
                <c:pt idx="813">
                  <c:v>0.44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0.52500000000000002</c:v>
                </c:pt>
                <c:pt idx="818">
                  <c:v>#N/A</c:v>
                </c:pt>
                <c:pt idx="819">
                  <c:v>0.51</c:v>
                </c:pt>
                <c:pt idx="820">
                  <c:v>#N/A</c:v>
                </c:pt>
                <c:pt idx="821">
                  <c:v>#N/A</c:v>
                </c:pt>
                <c:pt idx="822">
                  <c:v>0.38</c:v>
                </c:pt>
                <c:pt idx="823">
                  <c:v>#N/A</c:v>
                </c:pt>
                <c:pt idx="824">
                  <c:v>#N/A</c:v>
                </c:pt>
                <c:pt idx="825">
                  <c:v>0.45</c:v>
                </c:pt>
                <c:pt idx="826">
                  <c:v>#N/A</c:v>
                </c:pt>
                <c:pt idx="827">
                  <c:v>0.44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0.38500000000000001</c:v>
                </c:pt>
                <c:pt idx="834">
                  <c:v>0.47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0.375</c:v>
                </c:pt>
                <c:pt idx="840">
                  <c:v>#N/A</c:v>
                </c:pt>
                <c:pt idx="841">
                  <c:v>0.46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0.19500000000000001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0.43</c:v>
                </c:pt>
                <c:pt idx="851">
                  <c:v>#N/A</c:v>
                </c:pt>
                <c:pt idx="852">
                  <c:v>0.5</c:v>
                </c:pt>
                <c:pt idx="853">
                  <c:v>#N/A</c:v>
                </c:pt>
                <c:pt idx="854">
                  <c:v>0.26500000000000001</c:v>
                </c:pt>
                <c:pt idx="855">
                  <c:v>#N/A</c:v>
                </c:pt>
                <c:pt idx="856">
                  <c:v>0.45500000000000002</c:v>
                </c:pt>
                <c:pt idx="857">
                  <c:v>#N/A</c:v>
                </c:pt>
                <c:pt idx="858">
                  <c:v>0.35</c:v>
                </c:pt>
                <c:pt idx="859">
                  <c:v>0.4</c:v>
                </c:pt>
                <c:pt idx="860">
                  <c:v>#N/A</c:v>
                </c:pt>
                <c:pt idx="861">
                  <c:v>0.435</c:v>
                </c:pt>
                <c:pt idx="862">
                  <c:v>0.59499999999999997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0.54</c:v>
                </c:pt>
                <c:pt idx="870">
                  <c:v>#N/A</c:v>
                </c:pt>
                <c:pt idx="871">
                  <c:v>#N/A</c:v>
                </c:pt>
                <c:pt idx="872">
                  <c:v>0.47499999999999998</c:v>
                </c:pt>
                <c:pt idx="873">
                  <c:v>#N/A</c:v>
                </c:pt>
                <c:pt idx="874">
                  <c:v>0.47499999999999998</c:v>
                </c:pt>
                <c:pt idx="875">
                  <c:v>0.42499999999999999</c:v>
                </c:pt>
                <c:pt idx="876">
                  <c:v>#N/A</c:v>
                </c:pt>
                <c:pt idx="877">
                  <c:v>#N/A</c:v>
                </c:pt>
                <c:pt idx="878">
                  <c:v>0.44</c:v>
                </c:pt>
                <c:pt idx="879">
                  <c:v>#N/A</c:v>
                </c:pt>
                <c:pt idx="880">
                  <c:v>#N/A</c:v>
                </c:pt>
                <c:pt idx="881">
                  <c:v>0.54500000000000004</c:v>
                </c:pt>
                <c:pt idx="882">
                  <c:v>#N/A</c:v>
                </c:pt>
                <c:pt idx="883">
                  <c:v>#N/A</c:v>
                </c:pt>
                <c:pt idx="884">
                  <c:v>0.40500000000000003</c:v>
                </c:pt>
                <c:pt idx="885">
                  <c:v>0.125</c:v>
                </c:pt>
                <c:pt idx="886">
                  <c:v>0.51500000000000001</c:v>
                </c:pt>
                <c:pt idx="887">
                  <c:v>#N/A</c:v>
                </c:pt>
                <c:pt idx="888">
                  <c:v>0.45</c:v>
                </c:pt>
                <c:pt idx="889">
                  <c:v>0.51</c:v>
                </c:pt>
                <c:pt idx="890">
                  <c:v>0.46500000000000002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0.58499999999999996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0.41</c:v>
                </c:pt>
                <c:pt idx="901">
                  <c:v>0.495</c:v>
                </c:pt>
                <c:pt idx="902">
                  <c:v>0.41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0.45</c:v>
                </c:pt>
                <c:pt idx="907">
                  <c:v>0.41</c:v>
                </c:pt>
                <c:pt idx="908">
                  <c:v>0.48499999999999999</c:v>
                </c:pt>
                <c:pt idx="909">
                  <c:v>0.52500000000000002</c:v>
                </c:pt>
                <c:pt idx="910">
                  <c:v>0.37</c:v>
                </c:pt>
                <c:pt idx="911">
                  <c:v>#N/A</c:v>
                </c:pt>
                <c:pt idx="912">
                  <c:v>0.45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0.46</c:v>
                </c:pt>
                <c:pt idx="918">
                  <c:v>#N/A</c:v>
                </c:pt>
                <c:pt idx="919">
                  <c:v>0.45</c:v>
                </c:pt>
                <c:pt idx="920">
                  <c:v>#N/A</c:v>
                </c:pt>
                <c:pt idx="921">
                  <c:v>#N/A</c:v>
                </c:pt>
                <c:pt idx="922">
                  <c:v>0.2</c:v>
                </c:pt>
                <c:pt idx="923">
                  <c:v>#N/A</c:v>
                </c:pt>
                <c:pt idx="924">
                  <c:v>0.35499999999999998</c:v>
                </c:pt>
                <c:pt idx="925">
                  <c:v>#N/A</c:v>
                </c:pt>
                <c:pt idx="926">
                  <c:v>0.51500000000000001</c:v>
                </c:pt>
                <c:pt idx="927">
                  <c:v>0.32500000000000001</c:v>
                </c:pt>
                <c:pt idx="928">
                  <c:v>0.44</c:v>
                </c:pt>
                <c:pt idx="929">
                  <c:v>0.38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0.53500000000000003</c:v>
                </c:pt>
                <c:pt idx="936">
                  <c:v>#N/A</c:v>
                </c:pt>
                <c:pt idx="937">
                  <c:v>#N/A</c:v>
                </c:pt>
                <c:pt idx="938">
                  <c:v>0.55000000000000004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0.37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0.40500000000000003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0.46500000000000002</c:v>
                </c:pt>
                <c:pt idx="952">
                  <c:v>0.48499999999999999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0.43</c:v>
                </c:pt>
                <c:pt idx="961">
                  <c:v>0.4</c:v>
                </c:pt>
                <c:pt idx="962">
                  <c:v>0.39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0.32500000000000001</c:v>
                </c:pt>
                <c:pt idx="967">
                  <c:v>#N/A</c:v>
                </c:pt>
                <c:pt idx="968">
                  <c:v>0.39500000000000002</c:v>
                </c:pt>
                <c:pt idx="969">
                  <c:v>#N/A</c:v>
                </c:pt>
                <c:pt idx="970">
                  <c:v>0.53</c:v>
                </c:pt>
                <c:pt idx="971">
                  <c:v>0.28999999999999998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0.4</c:v>
                </c:pt>
                <c:pt idx="984">
                  <c:v>0.45500000000000002</c:v>
                </c:pt>
                <c:pt idx="985">
                  <c:v>#N/A</c:v>
                </c:pt>
                <c:pt idx="986">
                  <c:v>#N/A</c:v>
                </c:pt>
                <c:pt idx="987">
                  <c:v>0.47499999999999998</c:v>
                </c:pt>
                <c:pt idx="988">
                  <c:v>0.42</c:v>
                </c:pt>
                <c:pt idx="989">
                  <c:v>#N/A</c:v>
                </c:pt>
                <c:pt idx="990">
                  <c:v>0.52500000000000002</c:v>
                </c:pt>
                <c:pt idx="991">
                  <c:v>#N/A</c:v>
                </c:pt>
                <c:pt idx="992">
                  <c:v>#N/A</c:v>
                </c:pt>
                <c:pt idx="993">
                  <c:v>0.47499999999999998</c:v>
                </c:pt>
                <c:pt idx="994">
                  <c:v>#N/A</c:v>
                </c:pt>
                <c:pt idx="995">
                  <c:v>0.495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3B-834D-9DE9-4F52878C16FC}"/>
            </c:ext>
          </c:extLst>
        </c:ser>
        <c:ser>
          <c:idx val="1"/>
          <c:order val="1"/>
          <c:tx>
            <c:strRef>
              <c:f>'Personal Data'!$AE$1</c:f>
              <c:strCache>
                <c:ptCount val="1"/>
                <c:pt idx="0">
                  <c:v>Female2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'Personal Data'!$AE$2:$AE$1001</c:f>
              <c:numCache>
                <c:formatCode>General</c:formatCode>
                <c:ptCount val="1000"/>
                <c:pt idx="0">
                  <c:v>0.5</c:v>
                </c:pt>
                <c:pt idx="1">
                  <c:v>0.36499999999999999</c:v>
                </c:pt>
                <c:pt idx="2">
                  <c:v>0.6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0.57499999999999996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0.36</c:v>
                </c:pt>
                <c:pt idx="16">
                  <c:v>#N/A</c:v>
                </c:pt>
                <c:pt idx="17">
                  <c:v>#N/A</c:v>
                </c:pt>
                <c:pt idx="18">
                  <c:v>0.39500000000000002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0.42499999999999999</c:v>
                </c:pt>
                <c:pt idx="23">
                  <c:v>#N/A</c:v>
                </c:pt>
                <c:pt idx="24">
                  <c:v>0.46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0.37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0.39500000000000002</c:v>
                </c:pt>
                <c:pt idx="37">
                  <c:v>#N/A</c:v>
                </c:pt>
                <c:pt idx="38">
                  <c:v>0.495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0.495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0.52500000000000002</c:v>
                </c:pt>
                <c:pt idx="58">
                  <c:v>#N/A</c:v>
                </c:pt>
                <c:pt idx="59">
                  <c:v>#N/A</c:v>
                </c:pt>
                <c:pt idx="60">
                  <c:v>0.35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0.58499999999999996</c:v>
                </c:pt>
                <c:pt idx="65">
                  <c:v>0.52500000000000002</c:v>
                </c:pt>
                <c:pt idx="66">
                  <c:v>0.46</c:v>
                </c:pt>
                <c:pt idx="67">
                  <c:v>#N/A</c:v>
                </c:pt>
                <c:pt idx="68">
                  <c:v>0.35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0.51</c:v>
                </c:pt>
                <c:pt idx="78">
                  <c:v>0.44</c:v>
                </c:pt>
                <c:pt idx="79">
                  <c:v>#N/A</c:v>
                </c:pt>
                <c:pt idx="80">
                  <c:v>0.47499999999999998</c:v>
                </c:pt>
                <c:pt idx="81">
                  <c:v>#N/A</c:v>
                </c:pt>
                <c:pt idx="82">
                  <c:v>0.41</c:v>
                </c:pt>
                <c:pt idx="83">
                  <c:v>#N/A</c:v>
                </c:pt>
                <c:pt idx="84">
                  <c:v>0.42499999999999999</c:v>
                </c:pt>
                <c:pt idx="85">
                  <c:v>0.435</c:v>
                </c:pt>
                <c:pt idx="86">
                  <c:v>#N/A</c:v>
                </c:pt>
                <c:pt idx="87">
                  <c:v>0.48499999999999999</c:v>
                </c:pt>
                <c:pt idx="88">
                  <c:v>#N/A</c:v>
                </c:pt>
                <c:pt idx="89">
                  <c:v>0.38</c:v>
                </c:pt>
                <c:pt idx="90">
                  <c:v>0.49</c:v>
                </c:pt>
                <c:pt idx="91">
                  <c:v>0.5</c:v>
                </c:pt>
                <c:pt idx="92">
                  <c:v>#N/A</c:v>
                </c:pt>
                <c:pt idx="93">
                  <c:v>0.56499999999999995</c:v>
                </c:pt>
                <c:pt idx="94">
                  <c:v>0.36499999999999999</c:v>
                </c:pt>
                <c:pt idx="95">
                  <c:v>#N/A</c:v>
                </c:pt>
                <c:pt idx="96">
                  <c:v>0.51500000000000001</c:v>
                </c:pt>
                <c:pt idx="97">
                  <c:v>0.23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0.47499999999999998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0.46500000000000002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0.45</c:v>
                </c:pt>
                <c:pt idx="116">
                  <c:v>0.46</c:v>
                </c:pt>
                <c:pt idx="117">
                  <c:v>#N/A</c:v>
                </c:pt>
                <c:pt idx="118">
                  <c:v>0.55000000000000004</c:v>
                </c:pt>
                <c:pt idx="119">
                  <c:v>#N/A</c:v>
                </c:pt>
                <c:pt idx="120">
                  <c:v>#N/A</c:v>
                </c:pt>
                <c:pt idx="121">
                  <c:v>0.5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0.5</c:v>
                </c:pt>
                <c:pt idx="127">
                  <c:v>0.4</c:v>
                </c:pt>
                <c:pt idx="128">
                  <c:v>0.32</c:v>
                </c:pt>
                <c:pt idx="129">
                  <c:v>0.47499999999999998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0.55000000000000004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0.39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0.40500000000000003</c:v>
                </c:pt>
                <c:pt idx="147">
                  <c:v>0.48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0.42</c:v>
                </c:pt>
                <c:pt idx="152">
                  <c:v>0.47</c:v>
                </c:pt>
                <c:pt idx="153">
                  <c:v>#N/A</c:v>
                </c:pt>
                <c:pt idx="154">
                  <c:v>0.44</c:v>
                </c:pt>
                <c:pt idx="155">
                  <c:v>0.495</c:v>
                </c:pt>
                <c:pt idx="156">
                  <c:v>#N/A</c:v>
                </c:pt>
                <c:pt idx="157">
                  <c:v>#N/A</c:v>
                </c:pt>
                <c:pt idx="158">
                  <c:v>0.46</c:v>
                </c:pt>
                <c:pt idx="159">
                  <c:v>#N/A</c:v>
                </c:pt>
                <c:pt idx="160">
                  <c:v>0.47499999999999998</c:v>
                </c:pt>
                <c:pt idx="161">
                  <c:v>#N/A</c:v>
                </c:pt>
                <c:pt idx="162">
                  <c:v>#N/A</c:v>
                </c:pt>
                <c:pt idx="163">
                  <c:v>0.47499999999999998</c:v>
                </c:pt>
                <c:pt idx="164">
                  <c:v>0.53500000000000003</c:v>
                </c:pt>
                <c:pt idx="165">
                  <c:v>0.44</c:v>
                </c:pt>
                <c:pt idx="166">
                  <c:v>0.5</c:v>
                </c:pt>
                <c:pt idx="167">
                  <c:v>0.44</c:v>
                </c:pt>
                <c:pt idx="168">
                  <c:v>#N/A</c:v>
                </c:pt>
                <c:pt idx="169">
                  <c:v>0.46500000000000002</c:v>
                </c:pt>
                <c:pt idx="170">
                  <c:v>0.39</c:v>
                </c:pt>
                <c:pt idx="171">
                  <c:v>#N/A</c:v>
                </c:pt>
                <c:pt idx="172">
                  <c:v>0.47499999999999998</c:v>
                </c:pt>
                <c:pt idx="173">
                  <c:v>#N/A</c:v>
                </c:pt>
                <c:pt idx="174">
                  <c:v>0.5</c:v>
                </c:pt>
                <c:pt idx="175">
                  <c:v>#N/A</c:v>
                </c:pt>
                <c:pt idx="176">
                  <c:v>0.42499999999999999</c:v>
                </c:pt>
                <c:pt idx="177">
                  <c:v>#N/A</c:v>
                </c:pt>
                <c:pt idx="178">
                  <c:v>#N/A</c:v>
                </c:pt>
                <c:pt idx="179">
                  <c:v>0.4</c:v>
                </c:pt>
                <c:pt idx="180">
                  <c:v>#N/A</c:v>
                </c:pt>
                <c:pt idx="181">
                  <c:v>0.51</c:v>
                </c:pt>
                <c:pt idx="182">
                  <c:v>#N/A</c:v>
                </c:pt>
                <c:pt idx="183">
                  <c:v>#N/A</c:v>
                </c:pt>
                <c:pt idx="184">
                  <c:v>0.48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0.45</c:v>
                </c:pt>
                <c:pt idx="190">
                  <c:v>0.32500000000000001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0.44</c:v>
                </c:pt>
                <c:pt idx="195">
                  <c:v>#N/A</c:v>
                </c:pt>
                <c:pt idx="196">
                  <c:v>0.34</c:v>
                </c:pt>
                <c:pt idx="197">
                  <c:v>0.56499999999999995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0.51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0.52500000000000002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0.40500000000000003</c:v>
                </c:pt>
                <c:pt idx="232">
                  <c:v>0.46</c:v>
                </c:pt>
                <c:pt idx="233">
                  <c:v>#N/A</c:v>
                </c:pt>
                <c:pt idx="234">
                  <c:v>0.56000000000000005</c:v>
                </c:pt>
                <c:pt idx="235">
                  <c:v>0.34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0.46</c:v>
                </c:pt>
                <c:pt idx="241">
                  <c:v>#N/A</c:v>
                </c:pt>
                <c:pt idx="242">
                  <c:v>0.5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0.44</c:v>
                </c:pt>
                <c:pt idx="252">
                  <c:v>#N/A</c:v>
                </c:pt>
                <c:pt idx="253">
                  <c:v>#N/A</c:v>
                </c:pt>
                <c:pt idx="254">
                  <c:v>0.51500000000000001</c:v>
                </c:pt>
                <c:pt idx="255">
                  <c:v>#N/A</c:v>
                </c:pt>
                <c:pt idx="256">
                  <c:v>#N/A</c:v>
                </c:pt>
                <c:pt idx="257">
                  <c:v>0.51500000000000001</c:v>
                </c:pt>
                <c:pt idx="258">
                  <c:v>0.48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0.45</c:v>
                </c:pt>
                <c:pt idx="263">
                  <c:v>#N/A</c:v>
                </c:pt>
                <c:pt idx="264">
                  <c:v>0.505</c:v>
                </c:pt>
                <c:pt idx="265">
                  <c:v>#N/A</c:v>
                </c:pt>
                <c:pt idx="266">
                  <c:v>0.45</c:v>
                </c:pt>
                <c:pt idx="267">
                  <c:v>0.45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0.53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0.46500000000000002</c:v>
                </c:pt>
                <c:pt idx="277">
                  <c:v>0.47499999999999998</c:v>
                </c:pt>
                <c:pt idx="278">
                  <c:v>0.46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0.51</c:v>
                </c:pt>
                <c:pt idx="291">
                  <c:v>#N/A</c:v>
                </c:pt>
                <c:pt idx="292">
                  <c:v>#N/A</c:v>
                </c:pt>
                <c:pt idx="293">
                  <c:v>0.42</c:v>
                </c:pt>
                <c:pt idx="294">
                  <c:v>#N/A</c:v>
                </c:pt>
                <c:pt idx="295">
                  <c:v>0.38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0.44</c:v>
                </c:pt>
                <c:pt idx="302">
                  <c:v>0.54500000000000004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0.51500000000000001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0.40500000000000003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0.42</c:v>
                </c:pt>
                <c:pt idx="321">
                  <c:v>#N/A</c:v>
                </c:pt>
                <c:pt idx="322">
                  <c:v>#N/A</c:v>
                </c:pt>
                <c:pt idx="323">
                  <c:v>0.44500000000000001</c:v>
                </c:pt>
                <c:pt idx="324">
                  <c:v>0.38500000000000001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0.52500000000000002</c:v>
                </c:pt>
                <c:pt idx="334">
                  <c:v>#N/A</c:v>
                </c:pt>
                <c:pt idx="335">
                  <c:v>#N/A</c:v>
                </c:pt>
                <c:pt idx="336">
                  <c:v>0.5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0.4</c:v>
                </c:pt>
                <c:pt idx="342">
                  <c:v>0.56999999999999995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0.375</c:v>
                </c:pt>
                <c:pt idx="350">
                  <c:v>0.54500000000000004</c:v>
                </c:pt>
                <c:pt idx="351">
                  <c:v>0.56999999999999995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0.44</c:v>
                </c:pt>
                <c:pt idx="356">
                  <c:v>0.375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0.27</c:v>
                </c:pt>
                <c:pt idx="362">
                  <c:v>#N/A</c:v>
                </c:pt>
                <c:pt idx="363">
                  <c:v>0.46500000000000002</c:v>
                </c:pt>
                <c:pt idx="364">
                  <c:v>0.43</c:v>
                </c:pt>
                <c:pt idx="365">
                  <c:v>0.43</c:v>
                </c:pt>
                <c:pt idx="366">
                  <c:v>0.52500000000000002</c:v>
                </c:pt>
                <c:pt idx="367">
                  <c:v>0.30499999999999999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0.48</c:v>
                </c:pt>
                <c:pt idx="373">
                  <c:v>0.55000000000000004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0.35</c:v>
                </c:pt>
                <c:pt idx="378">
                  <c:v>#N/A</c:v>
                </c:pt>
                <c:pt idx="379">
                  <c:v>#N/A</c:v>
                </c:pt>
                <c:pt idx="380">
                  <c:v>0.42499999999999999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0.51</c:v>
                </c:pt>
                <c:pt idx="385">
                  <c:v>#N/A</c:v>
                </c:pt>
                <c:pt idx="386">
                  <c:v>#N/A</c:v>
                </c:pt>
                <c:pt idx="387">
                  <c:v>0.4</c:v>
                </c:pt>
                <c:pt idx="388">
                  <c:v>0.49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0.45</c:v>
                </c:pt>
                <c:pt idx="398">
                  <c:v>0.375</c:v>
                </c:pt>
                <c:pt idx="399">
                  <c:v>#N/A</c:v>
                </c:pt>
                <c:pt idx="400">
                  <c:v>0.40500000000000003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0.54</c:v>
                </c:pt>
                <c:pt idx="412">
                  <c:v>0.495</c:v>
                </c:pt>
                <c:pt idx="413">
                  <c:v>0.56000000000000005</c:v>
                </c:pt>
                <c:pt idx="414">
                  <c:v>#N/A</c:v>
                </c:pt>
                <c:pt idx="415">
                  <c:v>0.52500000000000002</c:v>
                </c:pt>
                <c:pt idx="416">
                  <c:v>#N/A</c:v>
                </c:pt>
                <c:pt idx="417">
                  <c:v>#N/A</c:v>
                </c:pt>
                <c:pt idx="418">
                  <c:v>0.54500000000000004</c:v>
                </c:pt>
                <c:pt idx="419">
                  <c:v>#N/A</c:v>
                </c:pt>
                <c:pt idx="420">
                  <c:v>0.47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0.48499999999999999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0.38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0.43</c:v>
                </c:pt>
                <c:pt idx="441">
                  <c:v>#N/A</c:v>
                </c:pt>
                <c:pt idx="442">
                  <c:v>0.4</c:v>
                </c:pt>
                <c:pt idx="443">
                  <c:v>0.41499999999999998</c:v>
                </c:pt>
                <c:pt idx="444">
                  <c:v>#N/A</c:v>
                </c:pt>
                <c:pt idx="445">
                  <c:v>0.26500000000000001</c:v>
                </c:pt>
                <c:pt idx="446">
                  <c:v>0.44500000000000001</c:v>
                </c:pt>
                <c:pt idx="447">
                  <c:v>#N/A</c:v>
                </c:pt>
                <c:pt idx="448">
                  <c:v>0.47499999999999998</c:v>
                </c:pt>
                <c:pt idx="449">
                  <c:v>0.52</c:v>
                </c:pt>
                <c:pt idx="450">
                  <c:v>0.22</c:v>
                </c:pt>
                <c:pt idx="451">
                  <c:v>#N/A</c:v>
                </c:pt>
                <c:pt idx="452">
                  <c:v>0.52</c:v>
                </c:pt>
                <c:pt idx="453">
                  <c:v>0.46500000000000002</c:v>
                </c:pt>
                <c:pt idx="454">
                  <c:v>0.45500000000000002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0.48499999999999999</c:v>
                </c:pt>
                <c:pt idx="468">
                  <c:v>0.35499999999999998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0.39500000000000002</c:v>
                </c:pt>
                <c:pt idx="473">
                  <c:v>0.47</c:v>
                </c:pt>
                <c:pt idx="474">
                  <c:v>#N/A</c:v>
                </c:pt>
                <c:pt idx="475">
                  <c:v>#N/A</c:v>
                </c:pt>
                <c:pt idx="476">
                  <c:v>0.47499999999999998</c:v>
                </c:pt>
                <c:pt idx="477">
                  <c:v>#N/A</c:v>
                </c:pt>
                <c:pt idx="478">
                  <c:v>0.52500000000000002</c:v>
                </c:pt>
                <c:pt idx="479">
                  <c:v>#N/A</c:v>
                </c:pt>
                <c:pt idx="480">
                  <c:v>0.40500000000000003</c:v>
                </c:pt>
                <c:pt idx="481">
                  <c:v>0.46500000000000002</c:v>
                </c:pt>
                <c:pt idx="482">
                  <c:v>#N/A</c:v>
                </c:pt>
                <c:pt idx="483">
                  <c:v>0.46</c:v>
                </c:pt>
                <c:pt idx="484">
                  <c:v>0.5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0.505</c:v>
                </c:pt>
                <c:pt idx="495">
                  <c:v>#N/A</c:v>
                </c:pt>
                <c:pt idx="496">
                  <c:v>#N/A</c:v>
                </c:pt>
                <c:pt idx="497">
                  <c:v>0.5</c:v>
                </c:pt>
                <c:pt idx="498">
                  <c:v>0.45500000000000002</c:v>
                </c:pt>
                <c:pt idx="499">
                  <c:v>0.56000000000000005</c:v>
                </c:pt>
                <c:pt idx="500">
                  <c:v>0.51500000000000001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0.34499999999999997</c:v>
                </c:pt>
                <c:pt idx="508">
                  <c:v>0.46500000000000002</c:v>
                </c:pt>
                <c:pt idx="509">
                  <c:v>0.47499999999999998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0.36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0.45</c:v>
                </c:pt>
                <c:pt idx="521">
                  <c:v>0.57499999999999996</c:v>
                </c:pt>
                <c:pt idx="522">
                  <c:v>#N/A</c:v>
                </c:pt>
                <c:pt idx="523">
                  <c:v>0.46500000000000002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0.57999999999999996</c:v>
                </c:pt>
                <c:pt idx="529">
                  <c:v>#N/A</c:v>
                </c:pt>
                <c:pt idx="530">
                  <c:v>#N/A</c:v>
                </c:pt>
                <c:pt idx="531">
                  <c:v>0.45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0.48499999999999999</c:v>
                </c:pt>
                <c:pt idx="537">
                  <c:v>#N/A</c:v>
                </c:pt>
                <c:pt idx="538">
                  <c:v>0.44</c:v>
                </c:pt>
                <c:pt idx="539">
                  <c:v>#N/A</c:v>
                </c:pt>
                <c:pt idx="540">
                  <c:v>0.48499999999999999</c:v>
                </c:pt>
                <c:pt idx="541">
                  <c:v>#N/A</c:v>
                </c:pt>
                <c:pt idx="542">
                  <c:v>0.5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0.65</c:v>
                </c:pt>
                <c:pt idx="547">
                  <c:v>#N/A</c:v>
                </c:pt>
                <c:pt idx="548">
                  <c:v>0.32</c:v>
                </c:pt>
                <c:pt idx="549">
                  <c:v>#N/A</c:v>
                </c:pt>
                <c:pt idx="550">
                  <c:v>#N/A</c:v>
                </c:pt>
                <c:pt idx="551">
                  <c:v>0.45500000000000002</c:v>
                </c:pt>
                <c:pt idx="552">
                  <c:v>#N/A</c:v>
                </c:pt>
                <c:pt idx="553">
                  <c:v>0.54500000000000004</c:v>
                </c:pt>
                <c:pt idx="554">
                  <c:v>#N/A</c:v>
                </c:pt>
                <c:pt idx="555">
                  <c:v>0.45</c:v>
                </c:pt>
                <c:pt idx="556">
                  <c:v>#N/A</c:v>
                </c:pt>
                <c:pt idx="557">
                  <c:v>#N/A</c:v>
                </c:pt>
                <c:pt idx="558">
                  <c:v>0.30499999999999999</c:v>
                </c:pt>
                <c:pt idx="559">
                  <c:v>0.53500000000000003</c:v>
                </c:pt>
                <c:pt idx="560">
                  <c:v>#N/A</c:v>
                </c:pt>
                <c:pt idx="561">
                  <c:v>#N/A</c:v>
                </c:pt>
                <c:pt idx="562">
                  <c:v>0.47</c:v>
                </c:pt>
                <c:pt idx="563">
                  <c:v>#N/A</c:v>
                </c:pt>
                <c:pt idx="564">
                  <c:v>0.51500000000000001</c:v>
                </c:pt>
                <c:pt idx="565">
                  <c:v>#N/A</c:v>
                </c:pt>
                <c:pt idx="566">
                  <c:v>#N/A</c:v>
                </c:pt>
                <c:pt idx="567">
                  <c:v>0.32500000000000001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0.36499999999999999</c:v>
                </c:pt>
                <c:pt idx="578">
                  <c:v>#N/A</c:v>
                </c:pt>
                <c:pt idx="579">
                  <c:v>0.495</c:v>
                </c:pt>
                <c:pt idx="580">
                  <c:v>0.35</c:v>
                </c:pt>
                <c:pt idx="581">
                  <c:v>0.47499999999999998</c:v>
                </c:pt>
                <c:pt idx="582">
                  <c:v>#N/A</c:v>
                </c:pt>
                <c:pt idx="583">
                  <c:v>#N/A</c:v>
                </c:pt>
                <c:pt idx="584">
                  <c:v>0.48</c:v>
                </c:pt>
                <c:pt idx="585">
                  <c:v>#N/A</c:v>
                </c:pt>
                <c:pt idx="586">
                  <c:v>0.38</c:v>
                </c:pt>
                <c:pt idx="587">
                  <c:v>0.55500000000000005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0.46500000000000002</c:v>
                </c:pt>
                <c:pt idx="598">
                  <c:v>#N/A</c:v>
                </c:pt>
                <c:pt idx="599">
                  <c:v>0.41499999999999998</c:v>
                </c:pt>
                <c:pt idx="600">
                  <c:v>#N/A</c:v>
                </c:pt>
                <c:pt idx="601">
                  <c:v>#N/A</c:v>
                </c:pt>
                <c:pt idx="602">
                  <c:v>0.44500000000000001</c:v>
                </c:pt>
                <c:pt idx="603">
                  <c:v>0.43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0.53</c:v>
                </c:pt>
                <c:pt idx="611">
                  <c:v>0.34</c:v>
                </c:pt>
                <c:pt idx="612">
                  <c:v>#N/A</c:v>
                </c:pt>
                <c:pt idx="613">
                  <c:v>0.52500000000000002</c:v>
                </c:pt>
                <c:pt idx="614">
                  <c:v>0.42</c:v>
                </c:pt>
                <c:pt idx="615">
                  <c:v>#N/A</c:v>
                </c:pt>
                <c:pt idx="616">
                  <c:v>0.42499999999999999</c:v>
                </c:pt>
                <c:pt idx="617">
                  <c:v>#N/A</c:v>
                </c:pt>
                <c:pt idx="618">
                  <c:v>0.48499999999999999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0.45500000000000002</c:v>
                </c:pt>
                <c:pt idx="624">
                  <c:v>#N/A</c:v>
                </c:pt>
                <c:pt idx="625">
                  <c:v>#N/A</c:v>
                </c:pt>
                <c:pt idx="626">
                  <c:v>0.42499999999999999</c:v>
                </c:pt>
                <c:pt idx="627">
                  <c:v>#N/A</c:v>
                </c:pt>
                <c:pt idx="628">
                  <c:v>0.51</c:v>
                </c:pt>
                <c:pt idx="629">
                  <c:v>#N/A</c:v>
                </c:pt>
                <c:pt idx="630">
                  <c:v>#N/A</c:v>
                </c:pt>
                <c:pt idx="631">
                  <c:v>0.55000000000000004</c:v>
                </c:pt>
                <c:pt idx="632">
                  <c:v>#N/A</c:v>
                </c:pt>
                <c:pt idx="633">
                  <c:v>0.42</c:v>
                </c:pt>
                <c:pt idx="634">
                  <c:v>#N/A</c:v>
                </c:pt>
                <c:pt idx="635">
                  <c:v>0.39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0.36499999999999999</c:v>
                </c:pt>
                <c:pt idx="640">
                  <c:v>#N/A</c:v>
                </c:pt>
                <c:pt idx="641">
                  <c:v>0.42499999999999999</c:v>
                </c:pt>
                <c:pt idx="642">
                  <c:v>#N/A</c:v>
                </c:pt>
                <c:pt idx="643">
                  <c:v>0.41499999999999998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0.47499999999999998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0.45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0.54500000000000004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0.375</c:v>
                </c:pt>
                <c:pt idx="663">
                  <c:v>#N/A</c:v>
                </c:pt>
                <c:pt idx="664">
                  <c:v>0.42499999999999999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0.4</c:v>
                </c:pt>
                <c:pt idx="669">
                  <c:v>#N/A</c:v>
                </c:pt>
                <c:pt idx="670">
                  <c:v>0.36499999999999999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0.52500000000000002</c:v>
                </c:pt>
                <c:pt idx="681">
                  <c:v>#N/A</c:v>
                </c:pt>
                <c:pt idx="682">
                  <c:v>0.45500000000000002</c:v>
                </c:pt>
                <c:pt idx="683">
                  <c:v>#N/A</c:v>
                </c:pt>
                <c:pt idx="684">
                  <c:v>#N/A</c:v>
                </c:pt>
                <c:pt idx="685">
                  <c:v>0.48499999999999999</c:v>
                </c:pt>
                <c:pt idx="686">
                  <c:v>#N/A</c:v>
                </c:pt>
                <c:pt idx="687">
                  <c:v>0.55000000000000004</c:v>
                </c:pt>
                <c:pt idx="688">
                  <c:v>0.52500000000000002</c:v>
                </c:pt>
                <c:pt idx="689">
                  <c:v>0.46</c:v>
                </c:pt>
                <c:pt idx="690">
                  <c:v>0.49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0.35499999999999998</c:v>
                </c:pt>
                <c:pt idx="699">
                  <c:v>0.46</c:v>
                </c:pt>
                <c:pt idx="700">
                  <c:v>0.52500000000000002</c:v>
                </c:pt>
                <c:pt idx="701">
                  <c:v>#N/A</c:v>
                </c:pt>
                <c:pt idx="702">
                  <c:v>0.43</c:v>
                </c:pt>
                <c:pt idx="703">
                  <c:v>0.57499999999999996</c:v>
                </c:pt>
                <c:pt idx="704">
                  <c:v>0.55500000000000005</c:v>
                </c:pt>
                <c:pt idx="705">
                  <c:v>0.36</c:v>
                </c:pt>
                <c:pt idx="706">
                  <c:v>#N/A</c:v>
                </c:pt>
                <c:pt idx="707">
                  <c:v>0.37</c:v>
                </c:pt>
                <c:pt idx="708">
                  <c:v>#N/A</c:v>
                </c:pt>
                <c:pt idx="709">
                  <c:v>#N/A</c:v>
                </c:pt>
                <c:pt idx="710">
                  <c:v>0.49</c:v>
                </c:pt>
                <c:pt idx="711">
                  <c:v>#N/A</c:v>
                </c:pt>
                <c:pt idx="712">
                  <c:v>0.5</c:v>
                </c:pt>
                <c:pt idx="713">
                  <c:v>0.33</c:v>
                </c:pt>
                <c:pt idx="714">
                  <c:v>#N/A</c:v>
                </c:pt>
                <c:pt idx="715">
                  <c:v>#N/A</c:v>
                </c:pt>
                <c:pt idx="716">
                  <c:v>0.44500000000000001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0.53500000000000003</c:v>
                </c:pt>
                <c:pt idx="721">
                  <c:v>#N/A</c:v>
                </c:pt>
                <c:pt idx="722">
                  <c:v>0.51500000000000001</c:v>
                </c:pt>
                <c:pt idx="723">
                  <c:v>#N/A</c:v>
                </c:pt>
                <c:pt idx="724">
                  <c:v>0.38500000000000001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0.5</c:v>
                </c:pt>
                <c:pt idx="730">
                  <c:v>#N/A</c:v>
                </c:pt>
                <c:pt idx="731">
                  <c:v>0.56999999999999995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0.44</c:v>
                </c:pt>
                <c:pt idx="737">
                  <c:v>0.56999999999999995</c:v>
                </c:pt>
                <c:pt idx="738">
                  <c:v>#N/A</c:v>
                </c:pt>
                <c:pt idx="739">
                  <c:v>0.46500000000000002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0.36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0.28999999999999998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0.45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0.54</c:v>
                </c:pt>
                <c:pt idx="761">
                  <c:v>0.48</c:v>
                </c:pt>
                <c:pt idx="762">
                  <c:v>0.63</c:v>
                </c:pt>
                <c:pt idx="763">
                  <c:v>0.4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0.43</c:v>
                </c:pt>
                <c:pt idx="768">
                  <c:v>#N/A</c:v>
                </c:pt>
                <c:pt idx="769">
                  <c:v>0.56999999999999995</c:v>
                </c:pt>
                <c:pt idx="770">
                  <c:v>#N/A</c:v>
                </c:pt>
                <c:pt idx="771">
                  <c:v>0.38500000000000001</c:v>
                </c:pt>
                <c:pt idx="772">
                  <c:v>#N/A</c:v>
                </c:pt>
                <c:pt idx="773">
                  <c:v>0.47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0.47499999999999998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0.375</c:v>
                </c:pt>
                <c:pt idx="785">
                  <c:v>#N/A</c:v>
                </c:pt>
                <c:pt idx="786">
                  <c:v>0.33</c:v>
                </c:pt>
                <c:pt idx="787">
                  <c:v>#N/A</c:v>
                </c:pt>
                <c:pt idx="788">
                  <c:v>#N/A</c:v>
                </c:pt>
                <c:pt idx="789">
                  <c:v>0.495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0.46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0.47499999999999998</c:v>
                </c:pt>
                <c:pt idx="799">
                  <c:v>0.57499999999999996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0.28999999999999998</c:v>
                </c:pt>
                <c:pt idx="822">
                  <c:v>#N/A</c:v>
                </c:pt>
                <c:pt idx="823">
                  <c:v>0.52</c:v>
                </c:pt>
                <c:pt idx="824">
                  <c:v>0.55000000000000004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0.4</c:v>
                </c:pt>
                <c:pt idx="829">
                  <c:v>0.5</c:v>
                </c:pt>
                <c:pt idx="830">
                  <c:v>0.38500000000000001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0.505</c:v>
                </c:pt>
                <c:pt idx="836">
                  <c:v>#N/A</c:v>
                </c:pt>
                <c:pt idx="837">
                  <c:v>#N/A</c:v>
                </c:pt>
                <c:pt idx="838">
                  <c:v>0.45</c:v>
                </c:pt>
                <c:pt idx="839">
                  <c:v>#N/A</c:v>
                </c:pt>
                <c:pt idx="840">
                  <c:v>0.5</c:v>
                </c:pt>
                <c:pt idx="841">
                  <c:v>#N/A</c:v>
                </c:pt>
                <c:pt idx="842">
                  <c:v>#N/A</c:v>
                </c:pt>
                <c:pt idx="843">
                  <c:v>0.47</c:v>
                </c:pt>
                <c:pt idx="844">
                  <c:v>0.38500000000000001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0.56000000000000005</c:v>
                </c:pt>
                <c:pt idx="849">
                  <c:v>0.48</c:v>
                </c:pt>
                <c:pt idx="850">
                  <c:v>#N/A</c:v>
                </c:pt>
                <c:pt idx="851">
                  <c:v>0.43</c:v>
                </c:pt>
                <c:pt idx="852">
                  <c:v>#N/A</c:v>
                </c:pt>
                <c:pt idx="853">
                  <c:v>0.505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0.46500000000000002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0.51500000000000001</c:v>
                </c:pt>
                <c:pt idx="868">
                  <c:v>0.53500000000000003</c:v>
                </c:pt>
                <c:pt idx="869">
                  <c:v>#N/A</c:v>
                </c:pt>
                <c:pt idx="870">
                  <c:v>0.33500000000000002</c:v>
                </c:pt>
                <c:pt idx="871">
                  <c:v>0.435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0.495</c:v>
                </c:pt>
                <c:pt idx="878">
                  <c:v>#N/A</c:v>
                </c:pt>
                <c:pt idx="879">
                  <c:v>0.53</c:v>
                </c:pt>
                <c:pt idx="880">
                  <c:v>0.47499999999999998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0.36</c:v>
                </c:pt>
                <c:pt idx="892">
                  <c:v>0.32500000000000001</c:v>
                </c:pt>
                <c:pt idx="893">
                  <c:v>0.495</c:v>
                </c:pt>
                <c:pt idx="894">
                  <c:v>#N/A</c:v>
                </c:pt>
                <c:pt idx="895">
                  <c:v>0.505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0.34499999999999997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0.51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0.33500000000000002</c:v>
                </c:pt>
                <c:pt idx="916">
                  <c:v>0.48499999999999999</c:v>
                </c:pt>
                <c:pt idx="917">
                  <c:v>#N/A</c:v>
                </c:pt>
                <c:pt idx="918">
                  <c:v>0.5</c:v>
                </c:pt>
                <c:pt idx="919">
                  <c:v>#N/A</c:v>
                </c:pt>
                <c:pt idx="920">
                  <c:v>0.5</c:v>
                </c:pt>
                <c:pt idx="921">
                  <c:v>0.52</c:v>
                </c:pt>
                <c:pt idx="922">
                  <c:v>#N/A</c:v>
                </c:pt>
                <c:pt idx="923">
                  <c:v>0.49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0.48</c:v>
                </c:pt>
                <c:pt idx="931">
                  <c:v>#N/A</c:v>
                </c:pt>
                <c:pt idx="932">
                  <c:v>#N/A</c:v>
                </c:pt>
                <c:pt idx="933">
                  <c:v>0.4</c:v>
                </c:pt>
                <c:pt idx="934">
                  <c:v>0.5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0.435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0.53</c:v>
                </c:pt>
                <c:pt idx="948">
                  <c:v>0.39</c:v>
                </c:pt>
                <c:pt idx="949">
                  <c:v>0.22500000000000001</c:v>
                </c:pt>
                <c:pt idx="950">
                  <c:v>0.4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0.42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0.375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0.48499999999999999</c:v>
                </c:pt>
                <c:pt idx="970">
                  <c:v>#N/A</c:v>
                </c:pt>
                <c:pt idx="971">
                  <c:v>#N/A</c:v>
                </c:pt>
                <c:pt idx="972">
                  <c:v>0.48499999999999999</c:v>
                </c:pt>
                <c:pt idx="973">
                  <c:v>0.495</c:v>
                </c:pt>
                <c:pt idx="974">
                  <c:v>0.58499999999999996</c:v>
                </c:pt>
                <c:pt idx="975">
                  <c:v>0.59</c:v>
                </c:pt>
                <c:pt idx="976">
                  <c:v>#N/A</c:v>
                </c:pt>
                <c:pt idx="977">
                  <c:v>0.48499999999999999</c:v>
                </c:pt>
                <c:pt idx="978">
                  <c:v>0.36</c:v>
                </c:pt>
                <c:pt idx="979">
                  <c:v>0.32500000000000001</c:v>
                </c:pt>
                <c:pt idx="980">
                  <c:v>0.375</c:v>
                </c:pt>
                <c:pt idx="981">
                  <c:v>0.5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0.51</c:v>
                </c:pt>
                <c:pt idx="986">
                  <c:v>0.56499999999999995</c:v>
                </c:pt>
                <c:pt idx="987">
                  <c:v>#N/A</c:v>
                </c:pt>
                <c:pt idx="988">
                  <c:v>#N/A</c:v>
                </c:pt>
                <c:pt idx="989">
                  <c:v>0.30499999999999999</c:v>
                </c:pt>
                <c:pt idx="990">
                  <c:v>#N/A</c:v>
                </c:pt>
                <c:pt idx="991">
                  <c:v>#N/A</c:v>
                </c:pt>
                <c:pt idx="992">
                  <c:v>0.22500000000000001</c:v>
                </c:pt>
                <c:pt idx="993">
                  <c:v>#N/A</c:v>
                </c:pt>
                <c:pt idx="994">
                  <c:v>0.37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3B-834D-9DE9-4F52878C16FC}"/>
            </c:ext>
          </c:extLst>
        </c:ser>
        <c:ser>
          <c:idx val="2"/>
          <c:order val="2"/>
          <c:tx>
            <c:strRef>
              <c:f>'Personal Data'!$AF$1</c:f>
              <c:strCache>
                <c:ptCount val="1"/>
                <c:pt idx="0">
                  <c:v>Infant2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'Personal Data'!$AF$2:$AF$1001</c:f>
              <c:numCache>
                <c:formatCode>General</c:formatCode>
                <c:ptCount val="10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0.37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0.32</c:v>
                </c:pt>
                <c:pt idx="8">
                  <c:v>#N/A</c:v>
                </c:pt>
                <c:pt idx="9">
                  <c:v>#N/A</c:v>
                </c:pt>
                <c:pt idx="10">
                  <c:v>0.32</c:v>
                </c:pt>
                <c:pt idx="11">
                  <c:v>0.36499999999999999</c:v>
                </c:pt>
                <c:pt idx="12">
                  <c:v>0.29499999999999998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0.35499999999999998</c:v>
                </c:pt>
                <c:pt idx="17">
                  <c:v>#N/A</c:v>
                </c:pt>
                <c:pt idx="18">
                  <c:v>#N/A</c:v>
                </c:pt>
                <c:pt idx="19">
                  <c:v>0.4</c:v>
                </c:pt>
                <c:pt idx="20">
                  <c:v>0.4</c:v>
                </c:pt>
                <c:pt idx="21">
                  <c:v>0.37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0.28999999999999998</c:v>
                </c:pt>
                <c:pt idx="26">
                  <c:v>0.22500000000000001</c:v>
                </c:pt>
                <c:pt idx="27">
                  <c:v>0.38</c:v>
                </c:pt>
                <c:pt idx="28">
                  <c:v>#N/A</c:v>
                </c:pt>
                <c:pt idx="29">
                  <c:v>0.40500000000000003</c:v>
                </c:pt>
                <c:pt idx="30">
                  <c:v>0.23</c:v>
                </c:pt>
                <c:pt idx="31">
                  <c:v>0.32</c:v>
                </c:pt>
                <c:pt idx="32">
                  <c:v>0.3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0.28000000000000003</c:v>
                </c:pt>
                <c:pt idx="43">
                  <c:v>0.39500000000000002</c:v>
                </c:pt>
                <c:pt idx="44">
                  <c:v>#N/A</c:v>
                </c:pt>
                <c:pt idx="45">
                  <c:v>0.34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0.42499999999999999</c:v>
                </c:pt>
                <c:pt idx="53">
                  <c:v>#N/A</c:v>
                </c:pt>
                <c:pt idx="54">
                  <c:v>0.38500000000000001</c:v>
                </c:pt>
                <c:pt idx="55">
                  <c:v>0.23499999999999999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0.3</c:v>
                </c:pt>
                <c:pt idx="60">
                  <c:v>#N/A</c:v>
                </c:pt>
                <c:pt idx="61">
                  <c:v>#N/A</c:v>
                </c:pt>
                <c:pt idx="62">
                  <c:v>0.13500000000000001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0.32500000000000001</c:v>
                </c:pt>
                <c:pt idx="72">
                  <c:v>0.375</c:v>
                </c:pt>
                <c:pt idx="73">
                  <c:v>#N/A</c:v>
                </c:pt>
                <c:pt idx="74">
                  <c:v>0.28000000000000003</c:v>
                </c:pt>
                <c:pt idx="75">
                  <c:v>#N/A</c:v>
                </c:pt>
                <c:pt idx="76">
                  <c:v>0.24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0.13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0.31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0.35499999999999998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0.32500000000000001</c:v>
                </c:pt>
                <c:pt idx="99">
                  <c:v>#N/A</c:v>
                </c:pt>
                <c:pt idx="100">
                  <c:v>#N/A</c:v>
                </c:pt>
                <c:pt idx="101">
                  <c:v>0.27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0.15</c:v>
                </c:pt>
                <c:pt idx="112">
                  <c:v>0.38500000000000001</c:v>
                </c:pt>
                <c:pt idx="113">
                  <c:v>0.28999999999999998</c:v>
                </c:pt>
                <c:pt idx="114">
                  <c:v>0.35499999999999998</c:v>
                </c:pt>
                <c:pt idx="115">
                  <c:v>#N/A</c:v>
                </c:pt>
                <c:pt idx="116">
                  <c:v>#N/A</c:v>
                </c:pt>
                <c:pt idx="117">
                  <c:v>0.3</c:v>
                </c:pt>
                <c:pt idx="118">
                  <c:v>#N/A</c:v>
                </c:pt>
                <c:pt idx="119">
                  <c:v>0.38500000000000001</c:v>
                </c:pt>
                <c:pt idx="120">
                  <c:v>#N/A</c:v>
                </c:pt>
                <c:pt idx="121">
                  <c:v>#N/A</c:v>
                </c:pt>
                <c:pt idx="122">
                  <c:v>0.28000000000000003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0.34</c:v>
                </c:pt>
                <c:pt idx="131">
                  <c:v>#N/A</c:v>
                </c:pt>
                <c:pt idx="132">
                  <c:v>0.40500000000000003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0.27500000000000002</c:v>
                </c:pt>
                <c:pt idx="158">
                  <c:v>#N/A</c:v>
                </c:pt>
                <c:pt idx="159">
                  <c:v>0.39</c:v>
                </c:pt>
                <c:pt idx="160">
                  <c:v>#N/A</c:v>
                </c:pt>
                <c:pt idx="161">
                  <c:v>#N/A</c:v>
                </c:pt>
                <c:pt idx="162">
                  <c:v>0.4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0.41499999999999998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0.44500000000000001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0.32500000000000001</c:v>
                </c:pt>
                <c:pt idx="183">
                  <c:v>0.32500000000000001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9.5000000000000001E-2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0.32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0.45</c:v>
                </c:pt>
                <c:pt idx="200">
                  <c:v>#N/A</c:v>
                </c:pt>
                <c:pt idx="201">
                  <c:v>#N/A</c:v>
                </c:pt>
                <c:pt idx="202">
                  <c:v>0.17499999999999999</c:v>
                </c:pt>
                <c:pt idx="203">
                  <c:v>0.32500000000000001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0.4</c:v>
                </c:pt>
                <c:pt idx="212">
                  <c:v>#N/A</c:v>
                </c:pt>
                <c:pt idx="213">
                  <c:v>0.2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0.42499999999999999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0.215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0.23</c:v>
                </c:pt>
                <c:pt idx="229">
                  <c:v>0.23499999999999999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0.35</c:v>
                </c:pt>
                <c:pt idx="237">
                  <c:v>#N/A</c:v>
                </c:pt>
                <c:pt idx="238">
                  <c:v>#N/A</c:v>
                </c:pt>
                <c:pt idx="239">
                  <c:v>0.20499999999999999</c:v>
                </c:pt>
                <c:pt idx="240">
                  <c:v>#N/A</c:v>
                </c:pt>
                <c:pt idx="241">
                  <c:v>0.44500000000000001</c:v>
                </c:pt>
                <c:pt idx="242">
                  <c:v>#N/A</c:v>
                </c:pt>
                <c:pt idx="243">
                  <c:v>0.28999999999999998</c:v>
                </c:pt>
                <c:pt idx="244">
                  <c:v>0.39</c:v>
                </c:pt>
                <c:pt idx="245">
                  <c:v>#N/A</c:v>
                </c:pt>
                <c:pt idx="246">
                  <c:v>#N/A</c:v>
                </c:pt>
                <c:pt idx="247">
                  <c:v>0.28999999999999998</c:v>
                </c:pt>
                <c:pt idx="248">
                  <c:v>0.35499999999999998</c:v>
                </c:pt>
                <c:pt idx="249">
                  <c:v>0.35499999999999998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0.43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0.15</c:v>
                </c:pt>
                <c:pt idx="261">
                  <c:v>0.32500000000000001</c:v>
                </c:pt>
                <c:pt idx="262">
                  <c:v>#N/A</c:v>
                </c:pt>
                <c:pt idx="263">
                  <c:v>0.31</c:v>
                </c:pt>
                <c:pt idx="264">
                  <c:v>#N/A</c:v>
                </c:pt>
                <c:pt idx="265">
                  <c:v>0.47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0.23499999999999999</c:v>
                </c:pt>
                <c:pt idx="273">
                  <c:v>0.28499999999999998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0.28000000000000003</c:v>
                </c:pt>
                <c:pt idx="287">
                  <c:v>#N/A</c:v>
                </c:pt>
                <c:pt idx="288">
                  <c:v>#N/A</c:v>
                </c:pt>
                <c:pt idx="289">
                  <c:v>0.44500000000000001</c:v>
                </c:pt>
                <c:pt idx="290">
                  <c:v>#N/A</c:v>
                </c:pt>
                <c:pt idx="291">
                  <c:v>#N/A</c:v>
                </c:pt>
                <c:pt idx="292">
                  <c:v>0.22500000000000001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0.30499999999999999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0.38500000000000001</c:v>
                </c:pt>
                <c:pt idx="304">
                  <c:v>0.215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0.375</c:v>
                </c:pt>
                <c:pt idx="310">
                  <c:v>0.32</c:v>
                </c:pt>
                <c:pt idx="311">
                  <c:v>0.315</c:v>
                </c:pt>
                <c:pt idx="312">
                  <c:v>0.28000000000000003</c:v>
                </c:pt>
                <c:pt idx="313">
                  <c:v>#N/A</c:v>
                </c:pt>
                <c:pt idx="314">
                  <c:v>0.31</c:v>
                </c:pt>
                <c:pt idx="315">
                  <c:v>#N/A</c:v>
                </c:pt>
                <c:pt idx="316">
                  <c:v>0.3</c:v>
                </c:pt>
                <c:pt idx="317">
                  <c:v>0.41</c:v>
                </c:pt>
                <c:pt idx="318">
                  <c:v>#N/A</c:v>
                </c:pt>
                <c:pt idx="319">
                  <c:v>0.13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0.39</c:v>
                </c:pt>
                <c:pt idx="326">
                  <c:v>#N/A</c:v>
                </c:pt>
                <c:pt idx="327">
                  <c:v>0.44500000000000001</c:v>
                </c:pt>
                <c:pt idx="328">
                  <c:v>#N/A</c:v>
                </c:pt>
                <c:pt idx="329">
                  <c:v>0.3</c:v>
                </c:pt>
                <c:pt idx="330">
                  <c:v>#N/A</c:v>
                </c:pt>
                <c:pt idx="331">
                  <c:v>#N/A</c:v>
                </c:pt>
                <c:pt idx="332">
                  <c:v>0.315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0.11</c:v>
                </c:pt>
                <c:pt idx="338">
                  <c:v>#N/A</c:v>
                </c:pt>
                <c:pt idx="339">
                  <c:v>0.32500000000000001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0.37</c:v>
                </c:pt>
                <c:pt idx="345">
                  <c:v>#N/A</c:v>
                </c:pt>
                <c:pt idx="346">
                  <c:v>#N/A</c:v>
                </c:pt>
                <c:pt idx="347">
                  <c:v>0.22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0.45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0.34499999999999997</c:v>
                </c:pt>
                <c:pt idx="359">
                  <c:v>#N/A</c:v>
                </c:pt>
                <c:pt idx="360">
                  <c:v>0.24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0.19500000000000001</c:v>
                </c:pt>
                <c:pt idx="369">
                  <c:v>0.3</c:v>
                </c:pt>
                <c:pt idx="370">
                  <c:v>#N/A</c:v>
                </c:pt>
                <c:pt idx="371">
                  <c:v>0.26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0.3</c:v>
                </c:pt>
                <c:pt idx="376">
                  <c:v>#N/A</c:v>
                </c:pt>
                <c:pt idx="377">
                  <c:v>#N/A</c:v>
                </c:pt>
                <c:pt idx="378">
                  <c:v>0.28999999999999998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0.315</c:v>
                </c:pt>
                <c:pt idx="387">
                  <c:v>#N/A</c:v>
                </c:pt>
                <c:pt idx="388">
                  <c:v>#N/A</c:v>
                </c:pt>
                <c:pt idx="389">
                  <c:v>0.20499999999999999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0.31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0.47</c:v>
                </c:pt>
                <c:pt idx="403">
                  <c:v>#N/A</c:v>
                </c:pt>
                <c:pt idx="404">
                  <c:v>0.28999999999999998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0.23499999999999999</c:v>
                </c:pt>
                <c:pt idx="410">
                  <c:v>0.36499999999999999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0.35499999999999998</c:v>
                </c:pt>
                <c:pt idx="415">
                  <c:v>#N/A</c:v>
                </c:pt>
                <c:pt idx="416">
                  <c:v>0.375</c:v>
                </c:pt>
                <c:pt idx="417">
                  <c:v>0.43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0.2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0.27500000000000002</c:v>
                </c:pt>
                <c:pt idx="430">
                  <c:v>#N/A</c:v>
                </c:pt>
                <c:pt idx="431">
                  <c:v>0.36499999999999999</c:v>
                </c:pt>
                <c:pt idx="432">
                  <c:v>#N/A</c:v>
                </c:pt>
                <c:pt idx="433">
                  <c:v>0.32500000000000001</c:v>
                </c:pt>
                <c:pt idx="434">
                  <c:v>#N/A</c:v>
                </c:pt>
                <c:pt idx="435">
                  <c:v>0.39500000000000002</c:v>
                </c:pt>
                <c:pt idx="436">
                  <c:v>#N/A</c:v>
                </c:pt>
                <c:pt idx="437">
                  <c:v>#N/A</c:v>
                </c:pt>
                <c:pt idx="438">
                  <c:v>0.33</c:v>
                </c:pt>
                <c:pt idx="439">
                  <c:v>#N/A</c:v>
                </c:pt>
                <c:pt idx="440">
                  <c:v>#N/A</c:v>
                </c:pt>
                <c:pt idx="441">
                  <c:v>0.38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0.34499999999999997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0.16500000000000001</c:v>
                </c:pt>
                <c:pt idx="457">
                  <c:v>#N/A</c:v>
                </c:pt>
                <c:pt idx="458">
                  <c:v>0.45</c:v>
                </c:pt>
                <c:pt idx="459">
                  <c:v>0.4</c:v>
                </c:pt>
                <c:pt idx="460">
                  <c:v>0.37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0.375</c:v>
                </c:pt>
                <c:pt idx="465">
                  <c:v>0.37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0.24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0.27</c:v>
                </c:pt>
                <c:pt idx="480">
                  <c:v>#N/A</c:v>
                </c:pt>
                <c:pt idx="481">
                  <c:v>#N/A</c:v>
                </c:pt>
                <c:pt idx="482">
                  <c:v>0.28499999999999998</c:v>
                </c:pt>
                <c:pt idx="483">
                  <c:v>#N/A</c:v>
                </c:pt>
                <c:pt idx="484">
                  <c:v>#N/A</c:v>
                </c:pt>
                <c:pt idx="485">
                  <c:v>0.39</c:v>
                </c:pt>
                <c:pt idx="486">
                  <c:v>0.34499999999999997</c:v>
                </c:pt>
                <c:pt idx="487">
                  <c:v>0.25</c:v>
                </c:pt>
                <c:pt idx="488">
                  <c:v>#N/A</c:v>
                </c:pt>
                <c:pt idx="489">
                  <c:v>0.44500000000000001</c:v>
                </c:pt>
                <c:pt idx="490">
                  <c:v>0.37</c:v>
                </c:pt>
                <c:pt idx="491">
                  <c:v>#N/A</c:v>
                </c:pt>
                <c:pt idx="492">
                  <c:v>0.28000000000000003</c:v>
                </c:pt>
                <c:pt idx="493">
                  <c:v>0.3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0.33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0.36</c:v>
                </c:pt>
                <c:pt idx="512">
                  <c:v>0.36499999999999999</c:v>
                </c:pt>
                <c:pt idx="513">
                  <c:v>#N/A</c:v>
                </c:pt>
                <c:pt idx="514">
                  <c:v>#N/A</c:v>
                </c:pt>
                <c:pt idx="515">
                  <c:v>0.40500000000000003</c:v>
                </c:pt>
                <c:pt idx="516">
                  <c:v>#N/A</c:v>
                </c:pt>
                <c:pt idx="517">
                  <c:v>0.375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0.25</c:v>
                </c:pt>
                <c:pt idx="523">
                  <c:v>#N/A</c:v>
                </c:pt>
                <c:pt idx="524">
                  <c:v>0.435</c:v>
                </c:pt>
                <c:pt idx="525">
                  <c:v>#N/A</c:v>
                </c:pt>
                <c:pt idx="526">
                  <c:v>0.44500000000000001</c:v>
                </c:pt>
                <c:pt idx="527">
                  <c:v>0.38</c:v>
                </c:pt>
                <c:pt idx="528">
                  <c:v>#N/A</c:v>
                </c:pt>
                <c:pt idx="529">
                  <c:v>0.42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0.255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0.22</c:v>
                </c:pt>
                <c:pt idx="538">
                  <c:v>#N/A</c:v>
                </c:pt>
                <c:pt idx="539">
                  <c:v>0.20499999999999999</c:v>
                </c:pt>
                <c:pt idx="540">
                  <c:v>#N/A</c:v>
                </c:pt>
                <c:pt idx="541">
                  <c:v>0.38</c:v>
                </c:pt>
                <c:pt idx="542">
                  <c:v>#N/A</c:v>
                </c:pt>
                <c:pt idx="543">
                  <c:v>#N/A</c:v>
                </c:pt>
                <c:pt idx="544">
                  <c:v>0.35</c:v>
                </c:pt>
                <c:pt idx="545">
                  <c:v>0.43</c:v>
                </c:pt>
                <c:pt idx="546">
                  <c:v>#N/A</c:v>
                </c:pt>
                <c:pt idx="547">
                  <c:v>0.26</c:v>
                </c:pt>
                <c:pt idx="548">
                  <c:v>#N/A</c:v>
                </c:pt>
                <c:pt idx="549">
                  <c:v>0.26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0.23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0.46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0.35</c:v>
                </c:pt>
                <c:pt idx="573">
                  <c:v>0.33</c:v>
                </c:pt>
                <c:pt idx="574">
                  <c:v>#N/A</c:v>
                </c:pt>
                <c:pt idx="575">
                  <c:v>0.24</c:v>
                </c:pt>
                <c:pt idx="576">
                  <c:v>0.40500000000000003</c:v>
                </c:pt>
                <c:pt idx="577">
                  <c:v>#N/A</c:v>
                </c:pt>
                <c:pt idx="578">
                  <c:v>0.38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0.34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0.26</c:v>
                </c:pt>
                <c:pt idx="590">
                  <c:v>0.35</c:v>
                </c:pt>
                <c:pt idx="591">
                  <c:v>0.1</c:v>
                </c:pt>
                <c:pt idx="592">
                  <c:v>0.27500000000000002</c:v>
                </c:pt>
                <c:pt idx="593">
                  <c:v>0.33500000000000002</c:v>
                </c:pt>
                <c:pt idx="594">
                  <c:v>0.33500000000000002</c:v>
                </c:pt>
                <c:pt idx="595">
                  <c:v>#N/A</c:v>
                </c:pt>
                <c:pt idx="596">
                  <c:v>0.49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0.39500000000000002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0.28499999999999998</c:v>
                </c:pt>
                <c:pt idx="608">
                  <c:v>0.34499999999999997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0.27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0.37</c:v>
                </c:pt>
                <c:pt idx="618">
                  <c:v>#N/A</c:v>
                </c:pt>
                <c:pt idx="619">
                  <c:v>0.4</c:v>
                </c:pt>
                <c:pt idx="620">
                  <c:v>#N/A</c:v>
                </c:pt>
                <c:pt idx="621">
                  <c:v>0.41499999999999998</c:v>
                </c:pt>
                <c:pt idx="622">
                  <c:v>0.48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0.26500000000000001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0.42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0.35499999999999998</c:v>
                </c:pt>
                <c:pt idx="646">
                  <c:v>0.35</c:v>
                </c:pt>
                <c:pt idx="647">
                  <c:v>0.33500000000000002</c:v>
                </c:pt>
                <c:pt idx="648">
                  <c:v>#N/A</c:v>
                </c:pt>
                <c:pt idx="649">
                  <c:v>#N/A</c:v>
                </c:pt>
                <c:pt idx="650">
                  <c:v>0.435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0.12</c:v>
                </c:pt>
                <c:pt idx="656">
                  <c:v>0.42499999999999999</c:v>
                </c:pt>
                <c:pt idx="657">
                  <c:v>0.38500000000000001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0.19500000000000001</c:v>
                </c:pt>
                <c:pt idx="664">
                  <c:v>#N/A</c:v>
                </c:pt>
                <c:pt idx="665">
                  <c:v>0.40500000000000003</c:v>
                </c:pt>
                <c:pt idx="666">
                  <c:v>#N/A</c:v>
                </c:pt>
                <c:pt idx="667">
                  <c:v>0.125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0.17</c:v>
                </c:pt>
                <c:pt idx="672">
                  <c:v>#N/A</c:v>
                </c:pt>
                <c:pt idx="673">
                  <c:v>#N/A</c:v>
                </c:pt>
                <c:pt idx="674">
                  <c:v>0.28499999999999998</c:v>
                </c:pt>
                <c:pt idx="675">
                  <c:v>#N/A</c:v>
                </c:pt>
                <c:pt idx="676">
                  <c:v>0.215</c:v>
                </c:pt>
                <c:pt idx="677">
                  <c:v>#N/A</c:v>
                </c:pt>
                <c:pt idx="678">
                  <c:v>0.28499999999999998</c:v>
                </c:pt>
                <c:pt idx="679">
                  <c:v>0.33</c:v>
                </c:pt>
                <c:pt idx="680">
                  <c:v>#N/A</c:v>
                </c:pt>
                <c:pt idx="681">
                  <c:v>0.26500000000000001</c:v>
                </c:pt>
                <c:pt idx="682">
                  <c:v>#N/A</c:v>
                </c:pt>
                <c:pt idx="683">
                  <c:v>#N/A</c:v>
                </c:pt>
                <c:pt idx="684">
                  <c:v>0.4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0.215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0.375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0.22500000000000001</c:v>
                </c:pt>
                <c:pt idx="707">
                  <c:v>#N/A</c:v>
                </c:pt>
                <c:pt idx="708">
                  <c:v>0.15</c:v>
                </c:pt>
                <c:pt idx="709">
                  <c:v>0.46</c:v>
                </c:pt>
                <c:pt idx="710">
                  <c:v>#N/A</c:v>
                </c:pt>
                <c:pt idx="711">
                  <c:v>0.28999999999999998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0.32500000000000001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0.13</c:v>
                </c:pt>
                <c:pt idx="722">
                  <c:v>#N/A</c:v>
                </c:pt>
                <c:pt idx="723">
                  <c:v>0.35</c:v>
                </c:pt>
                <c:pt idx="724">
                  <c:v>#N/A</c:v>
                </c:pt>
                <c:pt idx="725">
                  <c:v>#N/A</c:v>
                </c:pt>
                <c:pt idx="726">
                  <c:v>0.25</c:v>
                </c:pt>
                <c:pt idx="727">
                  <c:v>0.38500000000000001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0.28999999999999998</c:v>
                </c:pt>
                <c:pt idx="734">
                  <c:v>0.27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0.4</c:v>
                </c:pt>
                <c:pt idx="742">
                  <c:v>0.35499999999999998</c:v>
                </c:pt>
                <c:pt idx="743">
                  <c:v>0.26500000000000001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0.43</c:v>
                </c:pt>
                <c:pt idx="748">
                  <c:v>#N/A</c:v>
                </c:pt>
                <c:pt idx="749">
                  <c:v>#N/A</c:v>
                </c:pt>
                <c:pt idx="750">
                  <c:v>0.32</c:v>
                </c:pt>
                <c:pt idx="751">
                  <c:v>#N/A</c:v>
                </c:pt>
                <c:pt idx="752">
                  <c:v>0.435</c:v>
                </c:pt>
                <c:pt idx="753">
                  <c:v>#N/A</c:v>
                </c:pt>
                <c:pt idx="754">
                  <c:v>#N/A</c:v>
                </c:pt>
                <c:pt idx="755">
                  <c:v>0.245</c:v>
                </c:pt>
                <c:pt idx="756">
                  <c:v>0.27</c:v>
                </c:pt>
                <c:pt idx="757">
                  <c:v>#N/A</c:v>
                </c:pt>
                <c:pt idx="758">
                  <c:v>0.35499999999999998</c:v>
                </c:pt>
                <c:pt idx="759">
                  <c:v>0.39500000000000002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0.27500000000000002</c:v>
                </c:pt>
                <c:pt idx="765">
                  <c:v>0.44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0.20499999999999999</c:v>
                </c:pt>
                <c:pt idx="771">
                  <c:v>#N/A</c:v>
                </c:pt>
                <c:pt idx="772">
                  <c:v>0.27500000000000002</c:v>
                </c:pt>
                <c:pt idx="773">
                  <c:v>#N/A</c:v>
                </c:pt>
                <c:pt idx="774">
                  <c:v>0.215</c:v>
                </c:pt>
                <c:pt idx="775">
                  <c:v>0.30499999999999999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0.48499999999999999</c:v>
                </c:pt>
                <c:pt idx="780">
                  <c:v>0.20499999999999999</c:v>
                </c:pt>
                <c:pt idx="781">
                  <c:v>#N/A</c:v>
                </c:pt>
                <c:pt idx="782">
                  <c:v>0.25</c:v>
                </c:pt>
                <c:pt idx="783">
                  <c:v>0.37</c:v>
                </c:pt>
                <c:pt idx="784">
                  <c:v>#N/A</c:v>
                </c:pt>
                <c:pt idx="785">
                  <c:v>0.28499999999999998</c:v>
                </c:pt>
                <c:pt idx="786">
                  <c:v>#N/A</c:v>
                </c:pt>
                <c:pt idx="787">
                  <c:v>#N/A</c:v>
                </c:pt>
                <c:pt idx="788">
                  <c:v>0.245</c:v>
                </c:pt>
                <c:pt idx="789">
                  <c:v>#N/A</c:v>
                </c:pt>
                <c:pt idx="790">
                  <c:v>#N/A</c:v>
                </c:pt>
                <c:pt idx="791">
                  <c:v>0.23499999999999999</c:v>
                </c:pt>
                <c:pt idx="792">
                  <c:v>0.26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0.23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0.21</c:v>
                </c:pt>
                <c:pt idx="801">
                  <c:v>0.37</c:v>
                </c:pt>
                <c:pt idx="802">
                  <c:v>0.34499999999999997</c:v>
                </c:pt>
                <c:pt idx="803">
                  <c:v>0.4</c:v>
                </c:pt>
                <c:pt idx="804">
                  <c:v>0.38500000000000001</c:v>
                </c:pt>
                <c:pt idx="805">
                  <c:v>0.39500000000000002</c:v>
                </c:pt>
                <c:pt idx="806">
                  <c:v>#N/A</c:v>
                </c:pt>
                <c:pt idx="807">
                  <c:v>0.38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0.34499999999999997</c:v>
                </c:pt>
                <c:pt idx="812">
                  <c:v>#N/A</c:v>
                </c:pt>
                <c:pt idx="813">
                  <c:v>#N/A</c:v>
                </c:pt>
                <c:pt idx="814">
                  <c:v>0.24</c:v>
                </c:pt>
                <c:pt idx="815">
                  <c:v>0.32500000000000001</c:v>
                </c:pt>
                <c:pt idx="816">
                  <c:v>0.4</c:v>
                </c:pt>
                <c:pt idx="817">
                  <c:v>#N/A</c:v>
                </c:pt>
                <c:pt idx="818">
                  <c:v>0.26500000000000001</c:v>
                </c:pt>
                <c:pt idx="819">
                  <c:v>#N/A</c:v>
                </c:pt>
                <c:pt idx="820">
                  <c:v>0.375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0.28999999999999998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0.39</c:v>
                </c:pt>
                <c:pt idx="832">
                  <c:v>0.35499999999999998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0.29499999999999998</c:v>
                </c:pt>
                <c:pt idx="837">
                  <c:v>0.3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0.315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0.44</c:v>
                </c:pt>
                <c:pt idx="847">
                  <c:v>0.21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0.375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0.38</c:v>
                </c:pt>
                <c:pt idx="861">
                  <c:v>#N/A</c:v>
                </c:pt>
                <c:pt idx="862">
                  <c:v>#N/A</c:v>
                </c:pt>
                <c:pt idx="863">
                  <c:v>0.34</c:v>
                </c:pt>
                <c:pt idx="864">
                  <c:v>0.45</c:v>
                </c:pt>
                <c:pt idx="865">
                  <c:v>0.21</c:v>
                </c:pt>
                <c:pt idx="866">
                  <c:v>0.41499999999999998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0.505</c:v>
                </c:pt>
                <c:pt idx="874">
                  <c:v>#N/A</c:v>
                </c:pt>
                <c:pt idx="875">
                  <c:v>#N/A</c:v>
                </c:pt>
                <c:pt idx="876">
                  <c:v>0.28000000000000003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0.375</c:v>
                </c:pt>
                <c:pt idx="883">
                  <c:v>0.38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0.44500000000000001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0.33</c:v>
                </c:pt>
                <c:pt idx="895">
                  <c:v>#N/A</c:v>
                </c:pt>
                <c:pt idx="896">
                  <c:v>#N/A</c:v>
                </c:pt>
                <c:pt idx="897">
                  <c:v>0.255</c:v>
                </c:pt>
                <c:pt idx="898">
                  <c:v>0.27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0.33</c:v>
                </c:pt>
                <c:pt idx="905">
                  <c:v>0.34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0.33</c:v>
                </c:pt>
                <c:pt idx="912">
                  <c:v>#N/A</c:v>
                </c:pt>
                <c:pt idx="913">
                  <c:v>0.32</c:v>
                </c:pt>
                <c:pt idx="914">
                  <c:v>0.34499999999999997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0.33500000000000002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0.32500000000000001</c:v>
                </c:pt>
                <c:pt idx="932">
                  <c:v>0.38500000000000001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0.15</c:v>
                </c:pt>
                <c:pt idx="937">
                  <c:v>0.315</c:v>
                </c:pt>
                <c:pt idx="938">
                  <c:v>#N/A</c:v>
                </c:pt>
                <c:pt idx="939">
                  <c:v>0.32</c:v>
                </c:pt>
                <c:pt idx="940">
                  <c:v>#N/A</c:v>
                </c:pt>
                <c:pt idx="941">
                  <c:v>0.35499999999999998</c:v>
                </c:pt>
                <c:pt idx="942">
                  <c:v>#N/A</c:v>
                </c:pt>
                <c:pt idx="943">
                  <c:v>0.34499999999999997</c:v>
                </c:pt>
                <c:pt idx="944">
                  <c:v>0.30499999999999999</c:v>
                </c:pt>
                <c:pt idx="945">
                  <c:v>0.28000000000000003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0.48</c:v>
                </c:pt>
                <c:pt idx="954">
                  <c:v>0.38</c:v>
                </c:pt>
                <c:pt idx="955">
                  <c:v>#N/A</c:v>
                </c:pt>
                <c:pt idx="956">
                  <c:v>0.35</c:v>
                </c:pt>
                <c:pt idx="957">
                  <c:v>0.38</c:v>
                </c:pt>
                <c:pt idx="958">
                  <c:v>0.22</c:v>
                </c:pt>
                <c:pt idx="959">
                  <c:v>0.3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0.4</c:v>
                </c:pt>
                <c:pt idx="965">
                  <c:v>0.26</c:v>
                </c:pt>
                <c:pt idx="966">
                  <c:v>#N/A</c:v>
                </c:pt>
                <c:pt idx="967">
                  <c:v>0.105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0.38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0.3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0.27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0.36499999999999999</c:v>
                </c:pt>
                <c:pt idx="997">
                  <c:v>0.28999999999999998</c:v>
                </c:pt>
                <c:pt idx="998">
                  <c:v>0.38</c:v>
                </c:pt>
                <c:pt idx="999">
                  <c:v>0.47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3B-834D-9DE9-4F52878C16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382847"/>
        <c:axId val="76821071"/>
      </c:lineChart>
      <c:catAx>
        <c:axId val="77382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21071"/>
        <c:crosses val="autoZero"/>
        <c:auto val="1"/>
        <c:lblAlgn val="ctr"/>
        <c:lblOffset val="100"/>
        <c:noMultiLvlLbl val="0"/>
      </c:catAx>
      <c:valAx>
        <c:axId val="7682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aseline="0"/>
                  <a:t>Diameter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82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Height For Each Rings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'Personal Data'!$J$1</c:f>
              <c:strCache>
                <c:ptCount val="1"/>
                <c:pt idx="0">
                  <c:v>Rings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'Personal Data'!$E$2:$E$1001</c:f>
              <c:numCache>
                <c:formatCode>General</c:formatCode>
                <c:ptCount val="1000"/>
                <c:pt idx="0">
                  <c:v>0.185</c:v>
                </c:pt>
                <c:pt idx="1">
                  <c:v>0.11</c:v>
                </c:pt>
                <c:pt idx="2">
                  <c:v>0.2</c:v>
                </c:pt>
                <c:pt idx="3">
                  <c:v>0.14000000000000001</c:v>
                </c:pt>
                <c:pt idx="4">
                  <c:v>0.17</c:v>
                </c:pt>
                <c:pt idx="5">
                  <c:v>0.19500000000000001</c:v>
                </c:pt>
                <c:pt idx="6">
                  <c:v>8.5000000000000006E-2</c:v>
                </c:pt>
                <c:pt idx="7">
                  <c:v>0.11</c:v>
                </c:pt>
                <c:pt idx="8">
                  <c:v>0.18</c:v>
                </c:pt>
                <c:pt idx="9">
                  <c:v>0.125</c:v>
                </c:pt>
                <c:pt idx="10">
                  <c:v>0.12</c:v>
                </c:pt>
                <c:pt idx="11">
                  <c:v>0.1</c:v>
                </c:pt>
                <c:pt idx="12">
                  <c:v>0.1</c:v>
                </c:pt>
                <c:pt idx="13">
                  <c:v>0.16500000000000001</c:v>
                </c:pt>
                <c:pt idx="14">
                  <c:v>0.17499999999999999</c:v>
                </c:pt>
                <c:pt idx="15">
                  <c:v>0.11</c:v>
                </c:pt>
                <c:pt idx="16">
                  <c:v>0.125</c:v>
                </c:pt>
                <c:pt idx="17">
                  <c:v>0.185</c:v>
                </c:pt>
                <c:pt idx="18">
                  <c:v>0.15</c:v>
                </c:pt>
                <c:pt idx="19">
                  <c:v>0.125</c:v>
                </c:pt>
                <c:pt idx="20">
                  <c:v>0.16</c:v>
                </c:pt>
                <c:pt idx="21">
                  <c:v>0.12</c:v>
                </c:pt>
                <c:pt idx="22">
                  <c:v>0.13</c:v>
                </c:pt>
                <c:pt idx="23">
                  <c:v>0.1</c:v>
                </c:pt>
                <c:pt idx="24">
                  <c:v>0.16</c:v>
                </c:pt>
                <c:pt idx="25">
                  <c:v>0.1</c:v>
                </c:pt>
                <c:pt idx="26">
                  <c:v>7.4999999999999997E-2</c:v>
                </c:pt>
                <c:pt idx="27">
                  <c:v>0.12</c:v>
                </c:pt>
                <c:pt idx="28">
                  <c:v>0.105</c:v>
                </c:pt>
                <c:pt idx="29">
                  <c:v>0.13</c:v>
                </c:pt>
                <c:pt idx="30">
                  <c:v>8.5000000000000006E-2</c:v>
                </c:pt>
                <c:pt idx="31">
                  <c:v>0.1</c:v>
                </c:pt>
                <c:pt idx="32">
                  <c:v>0.1</c:v>
                </c:pt>
                <c:pt idx="33">
                  <c:v>0.17499999999999999</c:v>
                </c:pt>
                <c:pt idx="34">
                  <c:v>0.13</c:v>
                </c:pt>
                <c:pt idx="35">
                  <c:v>0.13500000000000001</c:v>
                </c:pt>
                <c:pt idx="36">
                  <c:v>0.14499999999999999</c:v>
                </c:pt>
                <c:pt idx="37">
                  <c:v>0.13500000000000001</c:v>
                </c:pt>
                <c:pt idx="38">
                  <c:v>0.16</c:v>
                </c:pt>
                <c:pt idx="39">
                  <c:v>0.14000000000000001</c:v>
                </c:pt>
                <c:pt idx="40">
                  <c:v>0.115</c:v>
                </c:pt>
                <c:pt idx="41">
                  <c:v>0.16</c:v>
                </c:pt>
                <c:pt idx="42">
                  <c:v>0.09</c:v>
                </c:pt>
                <c:pt idx="43">
                  <c:v>0.125</c:v>
                </c:pt>
                <c:pt idx="44">
                  <c:v>0.21</c:v>
                </c:pt>
                <c:pt idx="45">
                  <c:v>0.1</c:v>
                </c:pt>
                <c:pt idx="46">
                  <c:v>0.16</c:v>
                </c:pt>
                <c:pt idx="47">
                  <c:v>0.16</c:v>
                </c:pt>
                <c:pt idx="48">
                  <c:v>0.16</c:v>
                </c:pt>
                <c:pt idx="49">
                  <c:v>0.185</c:v>
                </c:pt>
                <c:pt idx="50">
                  <c:v>0.2</c:v>
                </c:pt>
                <c:pt idx="51">
                  <c:v>0.17499999999999999</c:v>
                </c:pt>
                <c:pt idx="52">
                  <c:v>0.155</c:v>
                </c:pt>
                <c:pt idx="53">
                  <c:v>0.19500000000000001</c:v>
                </c:pt>
                <c:pt idx="54">
                  <c:v>0.18</c:v>
                </c:pt>
                <c:pt idx="55">
                  <c:v>0.08</c:v>
                </c:pt>
                <c:pt idx="56">
                  <c:v>0.15</c:v>
                </c:pt>
                <c:pt idx="57">
                  <c:v>0.17</c:v>
                </c:pt>
                <c:pt idx="58">
                  <c:v>0.19</c:v>
                </c:pt>
                <c:pt idx="59">
                  <c:v>0.12</c:v>
                </c:pt>
                <c:pt idx="60">
                  <c:v>0.1</c:v>
                </c:pt>
                <c:pt idx="61">
                  <c:v>0.13</c:v>
                </c:pt>
                <c:pt idx="62">
                  <c:v>0.04</c:v>
                </c:pt>
                <c:pt idx="63">
                  <c:v>0.105</c:v>
                </c:pt>
                <c:pt idx="64">
                  <c:v>0.185</c:v>
                </c:pt>
                <c:pt idx="65">
                  <c:v>0.19</c:v>
                </c:pt>
                <c:pt idx="66">
                  <c:v>0.16</c:v>
                </c:pt>
                <c:pt idx="67">
                  <c:v>0.14499999999999999</c:v>
                </c:pt>
                <c:pt idx="68">
                  <c:v>0.115</c:v>
                </c:pt>
                <c:pt idx="69">
                  <c:v>0.18</c:v>
                </c:pt>
                <c:pt idx="70">
                  <c:v>0.18</c:v>
                </c:pt>
                <c:pt idx="71">
                  <c:v>0.105</c:v>
                </c:pt>
                <c:pt idx="72">
                  <c:v>0.13</c:v>
                </c:pt>
                <c:pt idx="73">
                  <c:v>0.13</c:v>
                </c:pt>
                <c:pt idx="74">
                  <c:v>9.5000000000000001E-2</c:v>
                </c:pt>
                <c:pt idx="75">
                  <c:v>0.14000000000000001</c:v>
                </c:pt>
                <c:pt idx="76">
                  <c:v>7.0000000000000007E-2</c:v>
                </c:pt>
                <c:pt idx="77">
                  <c:v>0.155</c:v>
                </c:pt>
                <c:pt idx="78">
                  <c:v>0.19</c:v>
                </c:pt>
                <c:pt idx="79">
                  <c:v>0.13</c:v>
                </c:pt>
                <c:pt idx="80">
                  <c:v>0.16500000000000001</c:v>
                </c:pt>
                <c:pt idx="81">
                  <c:v>9.5000000000000001E-2</c:v>
                </c:pt>
                <c:pt idx="82">
                  <c:v>0.16</c:v>
                </c:pt>
                <c:pt idx="83">
                  <c:v>0.14499999999999999</c:v>
                </c:pt>
                <c:pt idx="84">
                  <c:v>0.155</c:v>
                </c:pt>
                <c:pt idx="85">
                  <c:v>0.15</c:v>
                </c:pt>
                <c:pt idx="86">
                  <c:v>0.14000000000000001</c:v>
                </c:pt>
                <c:pt idx="87">
                  <c:v>0.14499999999999999</c:v>
                </c:pt>
                <c:pt idx="88">
                  <c:v>0.11</c:v>
                </c:pt>
                <c:pt idx="89">
                  <c:v>0.13500000000000001</c:v>
                </c:pt>
                <c:pt idx="90">
                  <c:v>0.11</c:v>
                </c:pt>
                <c:pt idx="91">
                  <c:v>0.17499999999999999</c:v>
                </c:pt>
                <c:pt idx="92">
                  <c:v>0.115</c:v>
                </c:pt>
                <c:pt idx="93">
                  <c:v>0.19500000000000001</c:v>
                </c:pt>
                <c:pt idx="94">
                  <c:v>0.115</c:v>
                </c:pt>
                <c:pt idx="95">
                  <c:v>0.19</c:v>
                </c:pt>
                <c:pt idx="96">
                  <c:v>0.18</c:v>
                </c:pt>
                <c:pt idx="97">
                  <c:v>0.08</c:v>
                </c:pt>
                <c:pt idx="98">
                  <c:v>0.105</c:v>
                </c:pt>
                <c:pt idx="99">
                  <c:v>0.2</c:v>
                </c:pt>
                <c:pt idx="100">
                  <c:v>0.16500000000000001</c:v>
                </c:pt>
                <c:pt idx="101">
                  <c:v>0.09</c:v>
                </c:pt>
                <c:pt idx="102">
                  <c:v>0.16</c:v>
                </c:pt>
                <c:pt idx="103">
                  <c:v>0.19</c:v>
                </c:pt>
                <c:pt idx="104">
                  <c:v>0.18</c:v>
                </c:pt>
                <c:pt idx="105">
                  <c:v>0.155</c:v>
                </c:pt>
                <c:pt idx="106">
                  <c:v>0.16</c:v>
                </c:pt>
                <c:pt idx="107">
                  <c:v>0.15</c:v>
                </c:pt>
                <c:pt idx="108">
                  <c:v>0.17</c:v>
                </c:pt>
                <c:pt idx="109">
                  <c:v>0.18</c:v>
                </c:pt>
                <c:pt idx="110">
                  <c:v>0.125</c:v>
                </c:pt>
                <c:pt idx="111">
                  <c:v>4.4999999999999998E-2</c:v>
                </c:pt>
                <c:pt idx="112">
                  <c:v>0.15</c:v>
                </c:pt>
                <c:pt idx="113">
                  <c:v>0.14000000000000001</c:v>
                </c:pt>
                <c:pt idx="114">
                  <c:v>0.18</c:v>
                </c:pt>
                <c:pt idx="115">
                  <c:v>0.16</c:v>
                </c:pt>
                <c:pt idx="116">
                  <c:v>0.15</c:v>
                </c:pt>
                <c:pt idx="117">
                  <c:v>0.09</c:v>
                </c:pt>
                <c:pt idx="118">
                  <c:v>0.17</c:v>
                </c:pt>
                <c:pt idx="119">
                  <c:v>0.155</c:v>
                </c:pt>
                <c:pt idx="120">
                  <c:v>0.15</c:v>
                </c:pt>
                <c:pt idx="121">
                  <c:v>0.17499999999999999</c:v>
                </c:pt>
                <c:pt idx="122">
                  <c:v>9.5000000000000001E-2</c:v>
                </c:pt>
                <c:pt idx="123">
                  <c:v>0.15</c:v>
                </c:pt>
                <c:pt idx="124">
                  <c:v>0.17</c:v>
                </c:pt>
                <c:pt idx="125">
                  <c:v>0.125</c:v>
                </c:pt>
                <c:pt idx="126">
                  <c:v>0.16</c:v>
                </c:pt>
                <c:pt idx="127">
                  <c:v>0.14000000000000001</c:v>
                </c:pt>
                <c:pt idx="128">
                  <c:v>0.12</c:v>
                </c:pt>
                <c:pt idx="129">
                  <c:v>0.17499999999999999</c:v>
                </c:pt>
                <c:pt idx="130">
                  <c:v>0.125</c:v>
                </c:pt>
                <c:pt idx="131">
                  <c:v>0.13500000000000001</c:v>
                </c:pt>
                <c:pt idx="132">
                  <c:v>0.14000000000000001</c:v>
                </c:pt>
                <c:pt idx="133">
                  <c:v>0.14000000000000001</c:v>
                </c:pt>
                <c:pt idx="134">
                  <c:v>0.19</c:v>
                </c:pt>
                <c:pt idx="135">
                  <c:v>0.125</c:v>
                </c:pt>
                <c:pt idx="136">
                  <c:v>0.15</c:v>
                </c:pt>
                <c:pt idx="137">
                  <c:v>0.1</c:v>
                </c:pt>
                <c:pt idx="138">
                  <c:v>0.19</c:v>
                </c:pt>
                <c:pt idx="139">
                  <c:v>0.13500000000000001</c:v>
                </c:pt>
                <c:pt idx="140">
                  <c:v>0.13</c:v>
                </c:pt>
                <c:pt idx="141">
                  <c:v>0.185</c:v>
                </c:pt>
                <c:pt idx="142">
                  <c:v>0.17499999999999999</c:v>
                </c:pt>
                <c:pt idx="143">
                  <c:v>0.17499999999999999</c:v>
                </c:pt>
                <c:pt idx="144">
                  <c:v>0.14000000000000001</c:v>
                </c:pt>
                <c:pt idx="145">
                  <c:v>0.14499999999999999</c:v>
                </c:pt>
                <c:pt idx="146">
                  <c:v>0.18</c:v>
                </c:pt>
                <c:pt idx="147">
                  <c:v>0.17499999999999999</c:v>
                </c:pt>
                <c:pt idx="148">
                  <c:v>0.15</c:v>
                </c:pt>
                <c:pt idx="149">
                  <c:v>0.17499999999999999</c:v>
                </c:pt>
                <c:pt idx="150">
                  <c:v>0.15</c:v>
                </c:pt>
                <c:pt idx="151">
                  <c:v>0.18</c:v>
                </c:pt>
                <c:pt idx="152">
                  <c:v>0.17</c:v>
                </c:pt>
                <c:pt idx="153">
                  <c:v>0.19500000000000001</c:v>
                </c:pt>
                <c:pt idx="154">
                  <c:v>0.13500000000000001</c:v>
                </c:pt>
                <c:pt idx="155">
                  <c:v>0.185</c:v>
                </c:pt>
                <c:pt idx="156">
                  <c:v>0.15</c:v>
                </c:pt>
                <c:pt idx="157">
                  <c:v>9.5000000000000001E-2</c:v>
                </c:pt>
                <c:pt idx="158">
                  <c:v>0.15</c:v>
                </c:pt>
                <c:pt idx="159">
                  <c:v>0.125</c:v>
                </c:pt>
                <c:pt idx="160">
                  <c:v>0.15</c:v>
                </c:pt>
                <c:pt idx="161">
                  <c:v>0.2</c:v>
                </c:pt>
                <c:pt idx="162">
                  <c:v>0.14499999999999999</c:v>
                </c:pt>
                <c:pt idx="163">
                  <c:v>0.13</c:v>
                </c:pt>
                <c:pt idx="164">
                  <c:v>0.2</c:v>
                </c:pt>
                <c:pt idx="165">
                  <c:v>0.155</c:v>
                </c:pt>
                <c:pt idx="166">
                  <c:v>0.2</c:v>
                </c:pt>
                <c:pt idx="167">
                  <c:v>0.125</c:v>
                </c:pt>
                <c:pt idx="168">
                  <c:v>9.5000000000000001E-2</c:v>
                </c:pt>
                <c:pt idx="169">
                  <c:v>0.15</c:v>
                </c:pt>
                <c:pt idx="170">
                  <c:v>0.13</c:v>
                </c:pt>
                <c:pt idx="171">
                  <c:v>0.11</c:v>
                </c:pt>
                <c:pt idx="172">
                  <c:v>0.155</c:v>
                </c:pt>
                <c:pt idx="173">
                  <c:v>0.105</c:v>
                </c:pt>
                <c:pt idx="174">
                  <c:v>0.17499999999999999</c:v>
                </c:pt>
                <c:pt idx="175">
                  <c:v>0.155</c:v>
                </c:pt>
                <c:pt idx="176">
                  <c:v>0.15</c:v>
                </c:pt>
                <c:pt idx="177">
                  <c:v>0.155</c:v>
                </c:pt>
                <c:pt idx="178">
                  <c:v>0.185</c:v>
                </c:pt>
                <c:pt idx="179">
                  <c:v>0.125</c:v>
                </c:pt>
                <c:pt idx="180">
                  <c:v>0.2</c:v>
                </c:pt>
                <c:pt idx="181">
                  <c:v>0.16</c:v>
                </c:pt>
                <c:pt idx="182">
                  <c:v>0.1</c:v>
                </c:pt>
                <c:pt idx="183">
                  <c:v>0.115</c:v>
                </c:pt>
                <c:pt idx="184">
                  <c:v>0.16</c:v>
                </c:pt>
                <c:pt idx="185">
                  <c:v>0.155</c:v>
                </c:pt>
                <c:pt idx="186">
                  <c:v>0.17499999999999999</c:v>
                </c:pt>
                <c:pt idx="187">
                  <c:v>0.16500000000000001</c:v>
                </c:pt>
                <c:pt idx="188">
                  <c:v>3.5000000000000003E-2</c:v>
                </c:pt>
                <c:pt idx="189">
                  <c:v>0.16500000000000001</c:v>
                </c:pt>
                <c:pt idx="190">
                  <c:v>0.11</c:v>
                </c:pt>
                <c:pt idx="191">
                  <c:v>0.08</c:v>
                </c:pt>
                <c:pt idx="192">
                  <c:v>0.11</c:v>
                </c:pt>
                <c:pt idx="193">
                  <c:v>0.15</c:v>
                </c:pt>
                <c:pt idx="194">
                  <c:v>0.155</c:v>
                </c:pt>
                <c:pt idx="195">
                  <c:v>8.5000000000000006E-2</c:v>
                </c:pt>
                <c:pt idx="196">
                  <c:v>0.105</c:v>
                </c:pt>
                <c:pt idx="197">
                  <c:v>0.2</c:v>
                </c:pt>
                <c:pt idx="198">
                  <c:v>0.11</c:v>
                </c:pt>
                <c:pt idx="199">
                  <c:v>0.155</c:v>
                </c:pt>
                <c:pt idx="200">
                  <c:v>0.19</c:v>
                </c:pt>
                <c:pt idx="201">
                  <c:v>0.18</c:v>
                </c:pt>
                <c:pt idx="202">
                  <c:v>6.5000000000000002E-2</c:v>
                </c:pt>
                <c:pt idx="203">
                  <c:v>0.1</c:v>
                </c:pt>
                <c:pt idx="204">
                  <c:v>0.17499999999999999</c:v>
                </c:pt>
                <c:pt idx="205">
                  <c:v>0.11</c:v>
                </c:pt>
                <c:pt idx="206">
                  <c:v>0.23</c:v>
                </c:pt>
                <c:pt idx="207">
                  <c:v>0.18</c:v>
                </c:pt>
                <c:pt idx="208">
                  <c:v>0.155</c:v>
                </c:pt>
                <c:pt idx="209">
                  <c:v>0.14000000000000001</c:v>
                </c:pt>
                <c:pt idx="210">
                  <c:v>0.155</c:v>
                </c:pt>
                <c:pt idx="211">
                  <c:v>0.14000000000000001</c:v>
                </c:pt>
                <c:pt idx="212">
                  <c:v>0.13</c:v>
                </c:pt>
                <c:pt idx="213">
                  <c:v>5.5E-2</c:v>
                </c:pt>
                <c:pt idx="214">
                  <c:v>0.155</c:v>
                </c:pt>
                <c:pt idx="215">
                  <c:v>0.14000000000000001</c:v>
                </c:pt>
                <c:pt idx="216">
                  <c:v>0.155</c:v>
                </c:pt>
                <c:pt idx="217">
                  <c:v>0.18</c:v>
                </c:pt>
                <c:pt idx="218">
                  <c:v>0.16500000000000001</c:v>
                </c:pt>
                <c:pt idx="219">
                  <c:v>0.17</c:v>
                </c:pt>
                <c:pt idx="220">
                  <c:v>0.17499999999999999</c:v>
                </c:pt>
                <c:pt idx="221">
                  <c:v>0.06</c:v>
                </c:pt>
                <c:pt idx="222">
                  <c:v>0.19</c:v>
                </c:pt>
                <c:pt idx="223">
                  <c:v>0.17</c:v>
                </c:pt>
                <c:pt idx="224">
                  <c:v>0.13</c:v>
                </c:pt>
                <c:pt idx="225">
                  <c:v>0.2</c:v>
                </c:pt>
                <c:pt idx="226">
                  <c:v>0.18</c:v>
                </c:pt>
                <c:pt idx="227">
                  <c:v>0.155</c:v>
                </c:pt>
                <c:pt idx="228">
                  <c:v>0.08</c:v>
                </c:pt>
                <c:pt idx="229">
                  <c:v>5.5E-2</c:v>
                </c:pt>
                <c:pt idx="230">
                  <c:v>0.09</c:v>
                </c:pt>
                <c:pt idx="231">
                  <c:v>0.14000000000000001</c:v>
                </c:pt>
                <c:pt idx="232">
                  <c:v>0.13500000000000001</c:v>
                </c:pt>
                <c:pt idx="233">
                  <c:v>0.15</c:v>
                </c:pt>
                <c:pt idx="234">
                  <c:v>0.19</c:v>
                </c:pt>
                <c:pt idx="235">
                  <c:v>0.13500000000000001</c:v>
                </c:pt>
                <c:pt idx="236">
                  <c:v>0.105</c:v>
                </c:pt>
                <c:pt idx="237">
                  <c:v>0.16</c:v>
                </c:pt>
                <c:pt idx="238">
                  <c:v>0.14000000000000001</c:v>
                </c:pt>
                <c:pt idx="239">
                  <c:v>6.5000000000000002E-2</c:v>
                </c:pt>
                <c:pt idx="240">
                  <c:v>0.17</c:v>
                </c:pt>
                <c:pt idx="241">
                  <c:v>0.14499999999999999</c:v>
                </c:pt>
                <c:pt idx="242">
                  <c:v>0.16500000000000001</c:v>
                </c:pt>
                <c:pt idx="243">
                  <c:v>0.08</c:v>
                </c:pt>
                <c:pt idx="244">
                  <c:v>0.125</c:v>
                </c:pt>
                <c:pt idx="245">
                  <c:v>0.19500000000000001</c:v>
                </c:pt>
                <c:pt idx="246">
                  <c:v>0.13</c:v>
                </c:pt>
                <c:pt idx="247">
                  <c:v>0.1</c:v>
                </c:pt>
                <c:pt idx="248">
                  <c:v>0.16500000000000001</c:v>
                </c:pt>
                <c:pt idx="249">
                  <c:v>0.11</c:v>
                </c:pt>
                <c:pt idx="250">
                  <c:v>0.17499999999999999</c:v>
                </c:pt>
                <c:pt idx="251">
                  <c:v>0.18</c:v>
                </c:pt>
                <c:pt idx="252">
                  <c:v>0.19500000000000001</c:v>
                </c:pt>
                <c:pt idx="253">
                  <c:v>0.125</c:v>
                </c:pt>
                <c:pt idx="254">
                  <c:v>0.155</c:v>
                </c:pt>
                <c:pt idx="255">
                  <c:v>0.13</c:v>
                </c:pt>
                <c:pt idx="256">
                  <c:v>0.16500000000000001</c:v>
                </c:pt>
                <c:pt idx="257">
                  <c:v>0.16</c:v>
                </c:pt>
                <c:pt idx="258">
                  <c:v>0.16500000000000001</c:v>
                </c:pt>
                <c:pt idx="259">
                  <c:v>0.19500000000000001</c:v>
                </c:pt>
                <c:pt idx="260">
                  <c:v>0.03</c:v>
                </c:pt>
                <c:pt idx="261">
                  <c:v>0.11</c:v>
                </c:pt>
                <c:pt idx="262">
                  <c:v>0.19500000000000001</c:v>
                </c:pt>
                <c:pt idx="263">
                  <c:v>9.5000000000000001E-2</c:v>
                </c:pt>
                <c:pt idx="264">
                  <c:v>0.16500000000000001</c:v>
                </c:pt>
                <c:pt idx="265">
                  <c:v>0.14000000000000001</c:v>
                </c:pt>
                <c:pt idx="266">
                  <c:v>0.17499999999999999</c:v>
                </c:pt>
                <c:pt idx="267">
                  <c:v>0.14000000000000001</c:v>
                </c:pt>
                <c:pt idx="268">
                  <c:v>0.19</c:v>
                </c:pt>
                <c:pt idx="269">
                  <c:v>0.14000000000000001</c:v>
                </c:pt>
                <c:pt idx="270">
                  <c:v>0.17</c:v>
                </c:pt>
                <c:pt idx="271">
                  <c:v>0.17</c:v>
                </c:pt>
                <c:pt idx="272">
                  <c:v>0.08</c:v>
                </c:pt>
                <c:pt idx="273">
                  <c:v>8.5000000000000006E-2</c:v>
                </c:pt>
                <c:pt idx="274">
                  <c:v>0.13</c:v>
                </c:pt>
                <c:pt idx="275">
                  <c:v>0.12</c:v>
                </c:pt>
                <c:pt idx="276">
                  <c:v>0.14000000000000001</c:v>
                </c:pt>
                <c:pt idx="277">
                  <c:v>0.155</c:v>
                </c:pt>
                <c:pt idx="278">
                  <c:v>0.16</c:v>
                </c:pt>
                <c:pt idx="279">
                  <c:v>0.155</c:v>
                </c:pt>
                <c:pt idx="280">
                  <c:v>0.14499999999999999</c:v>
                </c:pt>
                <c:pt idx="281">
                  <c:v>0.22500000000000001</c:v>
                </c:pt>
                <c:pt idx="282">
                  <c:v>0.15</c:v>
                </c:pt>
                <c:pt idx="283">
                  <c:v>0.13500000000000001</c:v>
                </c:pt>
                <c:pt idx="284">
                  <c:v>0.155</c:v>
                </c:pt>
                <c:pt idx="285">
                  <c:v>0.1</c:v>
                </c:pt>
                <c:pt idx="286">
                  <c:v>0.1</c:v>
                </c:pt>
                <c:pt idx="287">
                  <c:v>0.18</c:v>
                </c:pt>
                <c:pt idx="288">
                  <c:v>0.215</c:v>
                </c:pt>
                <c:pt idx="289">
                  <c:v>0.13500000000000001</c:v>
                </c:pt>
                <c:pt idx="290">
                  <c:v>0.15</c:v>
                </c:pt>
                <c:pt idx="291">
                  <c:v>0.185</c:v>
                </c:pt>
                <c:pt idx="292">
                  <c:v>0.05</c:v>
                </c:pt>
                <c:pt idx="293">
                  <c:v>0.14000000000000001</c:v>
                </c:pt>
                <c:pt idx="294">
                  <c:v>0.13500000000000001</c:v>
                </c:pt>
                <c:pt idx="295">
                  <c:v>0.155</c:v>
                </c:pt>
                <c:pt idx="296">
                  <c:v>0.14000000000000001</c:v>
                </c:pt>
                <c:pt idx="297">
                  <c:v>0.17</c:v>
                </c:pt>
                <c:pt idx="298">
                  <c:v>0.13500000000000001</c:v>
                </c:pt>
                <c:pt idx="299">
                  <c:v>0.1</c:v>
                </c:pt>
                <c:pt idx="300">
                  <c:v>0.125</c:v>
                </c:pt>
                <c:pt idx="301">
                  <c:v>0.155</c:v>
                </c:pt>
                <c:pt idx="302">
                  <c:v>0.17499999999999999</c:v>
                </c:pt>
                <c:pt idx="303">
                  <c:v>0.125</c:v>
                </c:pt>
                <c:pt idx="304">
                  <c:v>7.4999999999999997E-2</c:v>
                </c:pt>
                <c:pt idx="305">
                  <c:v>0.125</c:v>
                </c:pt>
                <c:pt idx="306">
                  <c:v>0.13500000000000001</c:v>
                </c:pt>
                <c:pt idx="307">
                  <c:v>0.16500000000000001</c:v>
                </c:pt>
                <c:pt idx="308">
                  <c:v>0.16500000000000001</c:v>
                </c:pt>
                <c:pt idx="309">
                  <c:v>0.14000000000000001</c:v>
                </c:pt>
                <c:pt idx="310">
                  <c:v>0.1</c:v>
                </c:pt>
                <c:pt idx="311">
                  <c:v>0.1</c:v>
                </c:pt>
                <c:pt idx="312">
                  <c:v>8.5000000000000006E-2</c:v>
                </c:pt>
                <c:pt idx="313">
                  <c:v>0.13</c:v>
                </c:pt>
                <c:pt idx="314">
                  <c:v>0.09</c:v>
                </c:pt>
                <c:pt idx="315">
                  <c:v>0.13500000000000001</c:v>
                </c:pt>
                <c:pt idx="316">
                  <c:v>0.1</c:v>
                </c:pt>
                <c:pt idx="317">
                  <c:v>0.14000000000000001</c:v>
                </c:pt>
                <c:pt idx="318">
                  <c:v>0.155</c:v>
                </c:pt>
                <c:pt idx="319">
                  <c:v>4.4999999999999998E-2</c:v>
                </c:pt>
                <c:pt idx="320">
                  <c:v>0.16</c:v>
                </c:pt>
                <c:pt idx="321">
                  <c:v>0.15</c:v>
                </c:pt>
                <c:pt idx="322">
                  <c:v>7.4999999999999997E-2</c:v>
                </c:pt>
                <c:pt idx="323">
                  <c:v>0.13500000000000001</c:v>
                </c:pt>
                <c:pt idx="324">
                  <c:v>0.125</c:v>
                </c:pt>
                <c:pt idx="325">
                  <c:v>0.125</c:v>
                </c:pt>
                <c:pt idx="326">
                  <c:v>0.115</c:v>
                </c:pt>
                <c:pt idx="327">
                  <c:v>0.13500000000000001</c:v>
                </c:pt>
                <c:pt idx="328">
                  <c:v>0.17499999999999999</c:v>
                </c:pt>
                <c:pt idx="329">
                  <c:v>7.4999999999999997E-2</c:v>
                </c:pt>
                <c:pt idx="330">
                  <c:v>9.5000000000000001E-2</c:v>
                </c:pt>
                <c:pt idx="331">
                  <c:v>0.16</c:v>
                </c:pt>
                <c:pt idx="332">
                  <c:v>0.1</c:v>
                </c:pt>
                <c:pt idx="333">
                  <c:v>0.17</c:v>
                </c:pt>
                <c:pt idx="334">
                  <c:v>0.16500000000000001</c:v>
                </c:pt>
                <c:pt idx="335">
                  <c:v>0.16</c:v>
                </c:pt>
                <c:pt idx="336">
                  <c:v>0.17499999999999999</c:v>
                </c:pt>
                <c:pt idx="337">
                  <c:v>2.5000000000000001E-2</c:v>
                </c:pt>
                <c:pt idx="338">
                  <c:v>0.17499999999999999</c:v>
                </c:pt>
                <c:pt idx="339">
                  <c:v>0.12</c:v>
                </c:pt>
                <c:pt idx="340">
                  <c:v>0.17499999999999999</c:v>
                </c:pt>
                <c:pt idx="341">
                  <c:v>0.115</c:v>
                </c:pt>
                <c:pt idx="342">
                  <c:v>0.185</c:v>
                </c:pt>
                <c:pt idx="343">
                  <c:v>0.15</c:v>
                </c:pt>
                <c:pt idx="344">
                  <c:v>0.12</c:v>
                </c:pt>
                <c:pt idx="345">
                  <c:v>0.13</c:v>
                </c:pt>
                <c:pt idx="346">
                  <c:v>0.16</c:v>
                </c:pt>
                <c:pt idx="347">
                  <c:v>7.0000000000000007E-2</c:v>
                </c:pt>
                <c:pt idx="348">
                  <c:v>0.09</c:v>
                </c:pt>
                <c:pt idx="349">
                  <c:v>0.13500000000000001</c:v>
                </c:pt>
                <c:pt idx="350">
                  <c:v>0.19500000000000001</c:v>
                </c:pt>
                <c:pt idx="351">
                  <c:v>0.20499999999999999</c:v>
                </c:pt>
                <c:pt idx="352">
                  <c:v>0.155</c:v>
                </c:pt>
                <c:pt idx="353">
                  <c:v>0.14000000000000001</c:v>
                </c:pt>
                <c:pt idx="354">
                  <c:v>0.18</c:v>
                </c:pt>
                <c:pt idx="355">
                  <c:v>0.14499999999999999</c:v>
                </c:pt>
                <c:pt idx="356">
                  <c:v>0.11</c:v>
                </c:pt>
                <c:pt idx="357">
                  <c:v>0.16500000000000001</c:v>
                </c:pt>
                <c:pt idx="358">
                  <c:v>0.115</c:v>
                </c:pt>
                <c:pt idx="359">
                  <c:v>0.13</c:v>
                </c:pt>
                <c:pt idx="360">
                  <c:v>7.4999999999999997E-2</c:v>
                </c:pt>
                <c:pt idx="361">
                  <c:v>0.09</c:v>
                </c:pt>
                <c:pt idx="362">
                  <c:v>0.15</c:v>
                </c:pt>
                <c:pt idx="363">
                  <c:v>0.16</c:v>
                </c:pt>
                <c:pt idx="364">
                  <c:v>0.15</c:v>
                </c:pt>
                <c:pt idx="365">
                  <c:v>0.13500000000000001</c:v>
                </c:pt>
                <c:pt idx="366">
                  <c:v>0.19500000000000001</c:v>
                </c:pt>
                <c:pt idx="367">
                  <c:v>0.105</c:v>
                </c:pt>
                <c:pt idx="368">
                  <c:v>0.06</c:v>
                </c:pt>
                <c:pt idx="369">
                  <c:v>8.5000000000000006E-2</c:v>
                </c:pt>
                <c:pt idx="370">
                  <c:v>0.125</c:v>
                </c:pt>
                <c:pt idx="371">
                  <c:v>8.5000000000000006E-2</c:v>
                </c:pt>
                <c:pt idx="372">
                  <c:v>0.18</c:v>
                </c:pt>
                <c:pt idx="373">
                  <c:v>0.21</c:v>
                </c:pt>
                <c:pt idx="374">
                  <c:v>0.16500000000000001</c:v>
                </c:pt>
                <c:pt idx="375">
                  <c:v>0.115</c:v>
                </c:pt>
                <c:pt idx="376">
                  <c:v>0.12</c:v>
                </c:pt>
                <c:pt idx="377">
                  <c:v>0.115</c:v>
                </c:pt>
                <c:pt idx="378">
                  <c:v>0.1</c:v>
                </c:pt>
                <c:pt idx="379">
                  <c:v>0.155</c:v>
                </c:pt>
                <c:pt idx="380">
                  <c:v>0.13</c:v>
                </c:pt>
                <c:pt idx="381">
                  <c:v>0.15</c:v>
                </c:pt>
                <c:pt idx="382">
                  <c:v>0.155</c:v>
                </c:pt>
                <c:pt idx="383">
                  <c:v>0.15</c:v>
                </c:pt>
                <c:pt idx="384">
                  <c:v>0.17499999999999999</c:v>
                </c:pt>
                <c:pt idx="385">
                  <c:v>0.18</c:v>
                </c:pt>
                <c:pt idx="386">
                  <c:v>0.09</c:v>
                </c:pt>
                <c:pt idx="387">
                  <c:v>0.125</c:v>
                </c:pt>
                <c:pt idx="388">
                  <c:v>0.155</c:v>
                </c:pt>
                <c:pt idx="389">
                  <c:v>0.08</c:v>
                </c:pt>
                <c:pt idx="390">
                  <c:v>0.06</c:v>
                </c:pt>
                <c:pt idx="391">
                  <c:v>0.14000000000000001</c:v>
                </c:pt>
                <c:pt idx="392">
                  <c:v>0.1</c:v>
                </c:pt>
                <c:pt idx="393">
                  <c:v>0.21</c:v>
                </c:pt>
                <c:pt idx="394">
                  <c:v>0.115</c:v>
                </c:pt>
                <c:pt idx="395">
                  <c:v>0.14499999999999999</c:v>
                </c:pt>
                <c:pt idx="396">
                  <c:v>0.17499999999999999</c:v>
                </c:pt>
                <c:pt idx="397">
                  <c:v>0.17499999999999999</c:v>
                </c:pt>
                <c:pt idx="398">
                  <c:v>0.14000000000000001</c:v>
                </c:pt>
                <c:pt idx="399">
                  <c:v>0.17</c:v>
                </c:pt>
                <c:pt idx="400">
                  <c:v>0.14499999999999999</c:v>
                </c:pt>
                <c:pt idx="401">
                  <c:v>0.185</c:v>
                </c:pt>
                <c:pt idx="402">
                  <c:v>0.17</c:v>
                </c:pt>
                <c:pt idx="403">
                  <c:v>0.105</c:v>
                </c:pt>
                <c:pt idx="404">
                  <c:v>8.5000000000000006E-2</c:v>
                </c:pt>
                <c:pt idx="405">
                  <c:v>0.17499999999999999</c:v>
                </c:pt>
                <c:pt idx="406">
                  <c:v>0.13</c:v>
                </c:pt>
                <c:pt idx="407">
                  <c:v>0.14000000000000001</c:v>
                </c:pt>
                <c:pt idx="408">
                  <c:v>0.14499999999999999</c:v>
                </c:pt>
                <c:pt idx="409">
                  <c:v>7.4999999999999997E-2</c:v>
                </c:pt>
                <c:pt idx="410">
                  <c:v>0.1</c:v>
                </c:pt>
                <c:pt idx="411">
                  <c:v>0.215</c:v>
                </c:pt>
                <c:pt idx="412">
                  <c:v>0.17</c:v>
                </c:pt>
                <c:pt idx="413">
                  <c:v>0.17</c:v>
                </c:pt>
                <c:pt idx="414">
                  <c:v>0.105</c:v>
                </c:pt>
                <c:pt idx="415">
                  <c:v>0.20499999999999999</c:v>
                </c:pt>
                <c:pt idx="416">
                  <c:v>0.12</c:v>
                </c:pt>
                <c:pt idx="417">
                  <c:v>0.15</c:v>
                </c:pt>
                <c:pt idx="418">
                  <c:v>0.185</c:v>
                </c:pt>
                <c:pt idx="419">
                  <c:v>0.11</c:v>
                </c:pt>
                <c:pt idx="420">
                  <c:v>0.16500000000000001</c:v>
                </c:pt>
                <c:pt idx="421">
                  <c:v>6.5000000000000002E-2</c:v>
                </c:pt>
                <c:pt idx="422">
                  <c:v>0.14499999999999999</c:v>
                </c:pt>
                <c:pt idx="423">
                  <c:v>0.16</c:v>
                </c:pt>
                <c:pt idx="424">
                  <c:v>0.23</c:v>
                </c:pt>
                <c:pt idx="425">
                  <c:v>0.17</c:v>
                </c:pt>
                <c:pt idx="426">
                  <c:v>0.125</c:v>
                </c:pt>
                <c:pt idx="427">
                  <c:v>0.17</c:v>
                </c:pt>
                <c:pt idx="428">
                  <c:v>0.19</c:v>
                </c:pt>
                <c:pt idx="429">
                  <c:v>0.09</c:v>
                </c:pt>
                <c:pt idx="430">
                  <c:v>0.13</c:v>
                </c:pt>
                <c:pt idx="431">
                  <c:v>0.115</c:v>
                </c:pt>
                <c:pt idx="432">
                  <c:v>0.13</c:v>
                </c:pt>
                <c:pt idx="433">
                  <c:v>0.1</c:v>
                </c:pt>
                <c:pt idx="434">
                  <c:v>0.105</c:v>
                </c:pt>
                <c:pt idx="435">
                  <c:v>0.115</c:v>
                </c:pt>
                <c:pt idx="436">
                  <c:v>0.1</c:v>
                </c:pt>
                <c:pt idx="437">
                  <c:v>0.125</c:v>
                </c:pt>
                <c:pt idx="438">
                  <c:v>0.1</c:v>
                </c:pt>
                <c:pt idx="439">
                  <c:v>0.155</c:v>
                </c:pt>
                <c:pt idx="440">
                  <c:v>0.14499999999999999</c:v>
                </c:pt>
                <c:pt idx="441">
                  <c:v>0.12</c:v>
                </c:pt>
                <c:pt idx="442">
                  <c:v>0.14000000000000001</c:v>
                </c:pt>
                <c:pt idx="443">
                  <c:v>0.13</c:v>
                </c:pt>
                <c:pt idx="444">
                  <c:v>0.155</c:v>
                </c:pt>
                <c:pt idx="445">
                  <c:v>0.09</c:v>
                </c:pt>
                <c:pt idx="446">
                  <c:v>0.14000000000000001</c:v>
                </c:pt>
                <c:pt idx="447">
                  <c:v>0.125</c:v>
                </c:pt>
                <c:pt idx="448">
                  <c:v>0.16500000000000001</c:v>
                </c:pt>
                <c:pt idx="449">
                  <c:v>0.15</c:v>
                </c:pt>
                <c:pt idx="450">
                  <c:v>7.0000000000000007E-2</c:v>
                </c:pt>
                <c:pt idx="451">
                  <c:v>0.14000000000000001</c:v>
                </c:pt>
                <c:pt idx="452">
                  <c:v>0.18</c:v>
                </c:pt>
                <c:pt idx="453">
                  <c:v>0.16</c:v>
                </c:pt>
                <c:pt idx="454">
                  <c:v>0.17499999999999999</c:v>
                </c:pt>
                <c:pt idx="455">
                  <c:v>0.15</c:v>
                </c:pt>
                <c:pt idx="456">
                  <c:v>0.06</c:v>
                </c:pt>
                <c:pt idx="457">
                  <c:v>0.155</c:v>
                </c:pt>
                <c:pt idx="458">
                  <c:v>0.15</c:v>
                </c:pt>
                <c:pt idx="459">
                  <c:v>0.125</c:v>
                </c:pt>
                <c:pt idx="460">
                  <c:v>0.115</c:v>
                </c:pt>
                <c:pt idx="461">
                  <c:v>0.16</c:v>
                </c:pt>
                <c:pt idx="462">
                  <c:v>0.125</c:v>
                </c:pt>
                <c:pt idx="463">
                  <c:v>0.16</c:v>
                </c:pt>
                <c:pt idx="464">
                  <c:v>0.12</c:v>
                </c:pt>
                <c:pt idx="465">
                  <c:v>0.125</c:v>
                </c:pt>
                <c:pt idx="466">
                  <c:v>0.12</c:v>
                </c:pt>
                <c:pt idx="467">
                  <c:v>0.155</c:v>
                </c:pt>
                <c:pt idx="468">
                  <c:v>0.16</c:v>
                </c:pt>
                <c:pt idx="469">
                  <c:v>0.15</c:v>
                </c:pt>
                <c:pt idx="470">
                  <c:v>7.4999999999999997E-2</c:v>
                </c:pt>
                <c:pt idx="471">
                  <c:v>0.155</c:v>
                </c:pt>
                <c:pt idx="472">
                  <c:v>0.13500000000000001</c:v>
                </c:pt>
                <c:pt idx="473">
                  <c:v>0.16</c:v>
                </c:pt>
                <c:pt idx="474">
                  <c:v>0.14000000000000001</c:v>
                </c:pt>
                <c:pt idx="475">
                  <c:v>0.2</c:v>
                </c:pt>
                <c:pt idx="476">
                  <c:v>0.16500000000000001</c:v>
                </c:pt>
                <c:pt idx="477">
                  <c:v>0.14000000000000001</c:v>
                </c:pt>
                <c:pt idx="478">
                  <c:v>0.17</c:v>
                </c:pt>
                <c:pt idx="479">
                  <c:v>7.4999999999999997E-2</c:v>
                </c:pt>
                <c:pt idx="480">
                  <c:v>0.12</c:v>
                </c:pt>
                <c:pt idx="481">
                  <c:v>0.14000000000000001</c:v>
                </c:pt>
                <c:pt idx="482">
                  <c:v>0.1</c:v>
                </c:pt>
                <c:pt idx="483">
                  <c:v>0.14499999999999999</c:v>
                </c:pt>
                <c:pt idx="484">
                  <c:v>0.155</c:v>
                </c:pt>
                <c:pt idx="485">
                  <c:v>0.15</c:v>
                </c:pt>
                <c:pt idx="486">
                  <c:v>0.12</c:v>
                </c:pt>
                <c:pt idx="487">
                  <c:v>0.09</c:v>
                </c:pt>
                <c:pt idx="488">
                  <c:v>0.19</c:v>
                </c:pt>
                <c:pt idx="489">
                  <c:v>0.16500000000000001</c:v>
                </c:pt>
                <c:pt idx="490">
                  <c:v>0.11</c:v>
                </c:pt>
                <c:pt idx="491">
                  <c:v>0.17499999999999999</c:v>
                </c:pt>
                <c:pt idx="492">
                  <c:v>0.09</c:v>
                </c:pt>
                <c:pt idx="493">
                  <c:v>0.115</c:v>
                </c:pt>
                <c:pt idx="494">
                  <c:v>0.16500000000000001</c:v>
                </c:pt>
                <c:pt idx="495">
                  <c:v>0.2</c:v>
                </c:pt>
                <c:pt idx="496">
                  <c:v>0.14000000000000001</c:v>
                </c:pt>
                <c:pt idx="497">
                  <c:v>0.17</c:v>
                </c:pt>
                <c:pt idx="498">
                  <c:v>0.12</c:v>
                </c:pt>
                <c:pt idx="499">
                  <c:v>0.17499999999999999</c:v>
                </c:pt>
                <c:pt idx="500">
                  <c:v>0.17499999999999999</c:v>
                </c:pt>
                <c:pt idx="501">
                  <c:v>0.19</c:v>
                </c:pt>
                <c:pt idx="502">
                  <c:v>0.16</c:v>
                </c:pt>
                <c:pt idx="503">
                  <c:v>0.18</c:v>
                </c:pt>
                <c:pt idx="504">
                  <c:v>0.17</c:v>
                </c:pt>
                <c:pt idx="505">
                  <c:v>0.11</c:v>
                </c:pt>
                <c:pt idx="506">
                  <c:v>0.125</c:v>
                </c:pt>
                <c:pt idx="507">
                  <c:v>0.12</c:v>
                </c:pt>
                <c:pt idx="508">
                  <c:v>0.14000000000000001</c:v>
                </c:pt>
                <c:pt idx="509">
                  <c:v>0.155</c:v>
                </c:pt>
                <c:pt idx="510">
                  <c:v>0.12</c:v>
                </c:pt>
                <c:pt idx="511">
                  <c:v>0.105</c:v>
                </c:pt>
                <c:pt idx="512">
                  <c:v>0.125</c:v>
                </c:pt>
                <c:pt idx="513">
                  <c:v>0.1</c:v>
                </c:pt>
                <c:pt idx="514">
                  <c:v>0.15</c:v>
                </c:pt>
                <c:pt idx="515">
                  <c:v>0.13500000000000001</c:v>
                </c:pt>
                <c:pt idx="516">
                  <c:v>0.185</c:v>
                </c:pt>
                <c:pt idx="517">
                  <c:v>0.15</c:v>
                </c:pt>
                <c:pt idx="518">
                  <c:v>0.14499999999999999</c:v>
                </c:pt>
                <c:pt idx="519">
                  <c:v>0.14499999999999999</c:v>
                </c:pt>
                <c:pt idx="520">
                  <c:v>0.14000000000000001</c:v>
                </c:pt>
                <c:pt idx="521">
                  <c:v>0.17499999999999999</c:v>
                </c:pt>
                <c:pt idx="522">
                  <c:v>7.4999999999999997E-2</c:v>
                </c:pt>
                <c:pt idx="523">
                  <c:v>0.155</c:v>
                </c:pt>
                <c:pt idx="524">
                  <c:v>0.13500000000000001</c:v>
                </c:pt>
                <c:pt idx="525">
                  <c:v>0.17499999999999999</c:v>
                </c:pt>
                <c:pt idx="526">
                  <c:v>0.155</c:v>
                </c:pt>
                <c:pt idx="527">
                  <c:v>0.12</c:v>
                </c:pt>
                <c:pt idx="528">
                  <c:v>0.185</c:v>
                </c:pt>
                <c:pt idx="529">
                  <c:v>0.125</c:v>
                </c:pt>
                <c:pt idx="530">
                  <c:v>0.19500000000000001</c:v>
                </c:pt>
                <c:pt idx="531">
                  <c:v>0.15</c:v>
                </c:pt>
                <c:pt idx="532">
                  <c:v>0.15</c:v>
                </c:pt>
                <c:pt idx="533">
                  <c:v>9.5000000000000001E-2</c:v>
                </c:pt>
                <c:pt idx="534">
                  <c:v>0.15</c:v>
                </c:pt>
                <c:pt idx="535">
                  <c:v>0.14000000000000001</c:v>
                </c:pt>
                <c:pt idx="536">
                  <c:v>0.21</c:v>
                </c:pt>
                <c:pt idx="537">
                  <c:v>0.08</c:v>
                </c:pt>
                <c:pt idx="538">
                  <c:v>0.15</c:v>
                </c:pt>
                <c:pt idx="539">
                  <c:v>7.0000000000000007E-2</c:v>
                </c:pt>
                <c:pt idx="540">
                  <c:v>0.14499999999999999</c:v>
                </c:pt>
                <c:pt idx="541">
                  <c:v>0.125</c:v>
                </c:pt>
                <c:pt idx="542">
                  <c:v>0.18</c:v>
                </c:pt>
                <c:pt idx="543">
                  <c:v>0.14499999999999999</c:v>
                </c:pt>
                <c:pt idx="544">
                  <c:v>0.11</c:v>
                </c:pt>
                <c:pt idx="545">
                  <c:v>0.15</c:v>
                </c:pt>
                <c:pt idx="546">
                  <c:v>0.25</c:v>
                </c:pt>
                <c:pt idx="547">
                  <c:v>0.1</c:v>
                </c:pt>
                <c:pt idx="548">
                  <c:v>0.11</c:v>
                </c:pt>
                <c:pt idx="549">
                  <c:v>7.4999999999999997E-2</c:v>
                </c:pt>
                <c:pt idx="550">
                  <c:v>0.155</c:v>
                </c:pt>
                <c:pt idx="551">
                  <c:v>0.15</c:v>
                </c:pt>
                <c:pt idx="552">
                  <c:v>0.17499999999999999</c:v>
                </c:pt>
                <c:pt idx="553">
                  <c:v>0.16500000000000001</c:v>
                </c:pt>
                <c:pt idx="554">
                  <c:v>0</c:v>
                </c:pt>
                <c:pt idx="555">
                  <c:v>0.17499999999999999</c:v>
                </c:pt>
                <c:pt idx="556">
                  <c:v>0.125</c:v>
                </c:pt>
                <c:pt idx="557">
                  <c:v>0.17</c:v>
                </c:pt>
                <c:pt idx="558">
                  <c:v>0.1</c:v>
                </c:pt>
                <c:pt idx="559">
                  <c:v>0.22</c:v>
                </c:pt>
                <c:pt idx="560">
                  <c:v>0.12</c:v>
                </c:pt>
                <c:pt idx="561">
                  <c:v>0.17</c:v>
                </c:pt>
                <c:pt idx="562">
                  <c:v>0.17499999999999999</c:v>
                </c:pt>
                <c:pt idx="563">
                  <c:v>0.19500000000000001</c:v>
                </c:pt>
                <c:pt idx="564">
                  <c:v>0.17</c:v>
                </c:pt>
                <c:pt idx="565">
                  <c:v>0.105</c:v>
                </c:pt>
                <c:pt idx="566">
                  <c:v>0.09</c:v>
                </c:pt>
                <c:pt idx="567">
                  <c:v>0.12</c:v>
                </c:pt>
                <c:pt idx="568">
                  <c:v>0.155</c:v>
                </c:pt>
                <c:pt idx="569">
                  <c:v>0.12</c:v>
                </c:pt>
                <c:pt idx="570">
                  <c:v>0.14000000000000001</c:v>
                </c:pt>
                <c:pt idx="571">
                  <c:v>0.115</c:v>
                </c:pt>
                <c:pt idx="572">
                  <c:v>0.13500000000000001</c:v>
                </c:pt>
                <c:pt idx="573">
                  <c:v>0.115</c:v>
                </c:pt>
                <c:pt idx="574">
                  <c:v>0.17499999999999999</c:v>
                </c:pt>
                <c:pt idx="575">
                  <c:v>0.105</c:v>
                </c:pt>
                <c:pt idx="576">
                  <c:v>0.14000000000000001</c:v>
                </c:pt>
                <c:pt idx="577">
                  <c:v>0.115</c:v>
                </c:pt>
                <c:pt idx="578">
                  <c:v>0.14499999999999999</c:v>
                </c:pt>
                <c:pt idx="579">
                  <c:v>0.17499999999999999</c:v>
                </c:pt>
                <c:pt idx="580">
                  <c:v>0.12</c:v>
                </c:pt>
                <c:pt idx="581">
                  <c:v>0.13500000000000001</c:v>
                </c:pt>
                <c:pt idx="582">
                  <c:v>0.125</c:v>
                </c:pt>
                <c:pt idx="583">
                  <c:v>0.17499999999999999</c:v>
                </c:pt>
                <c:pt idx="584">
                  <c:v>0.16500000000000001</c:v>
                </c:pt>
                <c:pt idx="585">
                  <c:v>0.1</c:v>
                </c:pt>
                <c:pt idx="586">
                  <c:v>0.14499999999999999</c:v>
                </c:pt>
                <c:pt idx="587">
                  <c:v>0.2</c:v>
                </c:pt>
                <c:pt idx="588">
                  <c:v>0.2</c:v>
                </c:pt>
                <c:pt idx="589">
                  <c:v>0.08</c:v>
                </c:pt>
                <c:pt idx="590">
                  <c:v>0.13</c:v>
                </c:pt>
                <c:pt idx="591">
                  <c:v>0.03</c:v>
                </c:pt>
                <c:pt idx="592">
                  <c:v>8.5000000000000006E-2</c:v>
                </c:pt>
                <c:pt idx="593">
                  <c:v>0.13500000000000001</c:v>
                </c:pt>
                <c:pt idx="594">
                  <c:v>0.11</c:v>
                </c:pt>
                <c:pt idx="595">
                  <c:v>0.16</c:v>
                </c:pt>
                <c:pt idx="596">
                  <c:v>0.16500000000000001</c:v>
                </c:pt>
                <c:pt idx="597">
                  <c:v>0.155</c:v>
                </c:pt>
                <c:pt idx="598">
                  <c:v>0.155</c:v>
                </c:pt>
                <c:pt idx="599">
                  <c:v>0.16</c:v>
                </c:pt>
                <c:pt idx="600">
                  <c:v>0.13500000000000001</c:v>
                </c:pt>
                <c:pt idx="601">
                  <c:v>0.19</c:v>
                </c:pt>
                <c:pt idx="602">
                  <c:v>0.155</c:v>
                </c:pt>
                <c:pt idx="603">
                  <c:v>0.15</c:v>
                </c:pt>
                <c:pt idx="604">
                  <c:v>0.15</c:v>
                </c:pt>
                <c:pt idx="605">
                  <c:v>0.12</c:v>
                </c:pt>
                <c:pt idx="606">
                  <c:v>0.155</c:v>
                </c:pt>
                <c:pt idx="607">
                  <c:v>8.5000000000000006E-2</c:v>
                </c:pt>
                <c:pt idx="608">
                  <c:v>0.11</c:v>
                </c:pt>
                <c:pt idx="609">
                  <c:v>9.5000000000000001E-2</c:v>
                </c:pt>
                <c:pt idx="610">
                  <c:v>0.19500000000000001</c:v>
                </c:pt>
                <c:pt idx="611">
                  <c:v>0.11</c:v>
                </c:pt>
                <c:pt idx="612">
                  <c:v>0.09</c:v>
                </c:pt>
                <c:pt idx="613">
                  <c:v>0.19500000000000001</c:v>
                </c:pt>
                <c:pt idx="614">
                  <c:v>0.17</c:v>
                </c:pt>
                <c:pt idx="615">
                  <c:v>0.16500000000000001</c:v>
                </c:pt>
                <c:pt idx="616">
                  <c:v>0.13</c:v>
                </c:pt>
                <c:pt idx="617">
                  <c:v>0.12</c:v>
                </c:pt>
                <c:pt idx="618">
                  <c:v>0.14499999999999999</c:v>
                </c:pt>
                <c:pt idx="619">
                  <c:v>0.13500000000000001</c:v>
                </c:pt>
                <c:pt idx="620">
                  <c:v>0.125</c:v>
                </c:pt>
                <c:pt idx="621">
                  <c:v>0.16</c:v>
                </c:pt>
                <c:pt idx="622">
                  <c:v>0.155</c:v>
                </c:pt>
                <c:pt idx="623">
                  <c:v>0.16</c:v>
                </c:pt>
                <c:pt idx="624">
                  <c:v>0.12</c:v>
                </c:pt>
                <c:pt idx="625">
                  <c:v>0.185</c:v>
                </c:pt>
                <c:pt idx="626">
                  <c:v>0.16500000000000001</c:v>
                </c:pt>
                <c:pt idx="627">
                  <c:v>0.17499999999999999</c:v>
                </c:pt>
                <c:pt idx="628">
                  <c:v>0.185</c:v>
                </c:pt>
                <c:pt idx="629">
                  <c:v>0.16</c:v>
                </c:pt>
                <c:pt idx="630">
                  <c:v>0.16500000000000001</c:v>
                </c:pt>
                <c:pt idx="631">
                  <c:v>0.17499999999999999</c:v>
                </c:pt>
                <c:pt idx="632">
                  <c:v>0.18</c:v>
                </c:pt>
                <c:pt idx="633">
                  <c:v>0.13500000000000001</c:v>
                </c:pt>
                <c:pt idx="634">
                  <c:v>0.09</c:v>
                </c:pt>
                <c:pt idx="635">
                  <c:v>0.13500000000000001</c:v>
                </c:pt>
                <c:pt idx="636">
                  <c:v>0.14499999999999999</c:v>
                </c:pt>
                <c:pt idx="637">
                  <c:v>0.16500000000000001</c:v>
                </c:pt>
                <c:pt idx="638">
                  <c:v>0.13500000000000001</c:v>
                </c:pt>
                <c:pt idx="639">
                  <c:v>0.12</c:v>
                </c:pt>
                <c:pt idx="640">
                  <c:v>0.115</c:v>
                </c:pt>
                <c:pt idx="641">
                  <c:v>0.15</c:v>
                </c:pt>
                <c:pt idx="642">
                  <c:v>0.2</c:v>
                </c:pt>
                <c:pt idx="643">
                  <c:v>0.2</c:v>
                </c:pt>
                <c:pt idx="644">
                  <c:v>0.16</c:v>
                </c:pt>
                <c:pt idx="645">
                  <c:v>0.13</c:v>
                </c:pt>
                <c:pt idx="646">
                  <c:v>0.125</c:v>
                </c:pt>
                <c:pt idx="647">
                  <c:v>0.115</c:v>
                </c:pt>
                <c:pt idx="648">
                  <c:v>0.14499999999999999</c:v>
                </c:pt>
                <c:pt idx="649">
                  <c:v>0.15</c:v>
                </c:pt>
                <c:pt idx="650">
                  <c:v>0.14499999999999999</c:v>
                </c:pt>
                <c:pt idx="651">
                  <c:v>0.2</c:v>
                </c:pt>
                <c:pt idx="652">
                  <c:v>0.155</c:v>
                </c:pt>
                <c:pt idx="653">
                  <c:v>0.13500000000000001</c:v>
                </c:pt>
                <c:pt idx="654">
                  <c:v>0.13</c:v>
                </c:pt>
                <c:pt idx="655">
                  <c:v>0.03</c:v>
                </c:pt>
                <c:pt idx="656">
                  <c:v>0.13</c:v>
                </c:pt>
                <c:pt idx="657">
                  <c:v>0.13</c:v>
                </c:pt>
                <c:pt idx="658">
                  <c:v>0.185</c:v>
                </c:pt>
                <c:pt idx="659">
                  <c:v>0.18</c:v>
                </c:pt>
                <c:pt idx="660">
                  <c:v>0.14000000000000001</c:v>
                </c:pt>
                <c:pt idx="661">
                  <c:v>0.16500000000000001</c:v>
                </c:pt>
                <c:pt idx="662">
                  <c:v>0.14499999999999999</c:v>
                </c:pt>
                <c:pt idx="663">
                  <c:v>7.0000000000000007E-2</c:v>
                </c:pt>
                <c:pt idx="664">
                  <c:v>0.155</c:v>
                </c:pt>
                <c:pt idx="665">
                  <c:v>0.13</c:v>
                </c:pt>
                <c:pt idx="666">
                  <c:v>0.13500000000000001</c:v>
                </c:pt>
                <c:pt idx="667">
                  <c:v>0.04</c:v>
                </c:pt>
                <c:pt idx="668">
                  <c:v>0.125</c:v>
                </c:pt>
                <c:pt idx="669">
                  <c:v>0.16</c:v>
                </c:pt>
                <c:pt idx="670">
                  <c:v>0.13</c:v>
                </c:pt>
                <c:pt idx="671">
                  <c:v>5.5E-2</c:v>
                </c:pt>
                <c:pt idx="672">
                  <c:v>0.14000000000000001</c:v>
                </c:pt>
                <c:pt idx="673">
                  <c:v>2.5000000000000001E-2</c:v>
                </c:pt>
                <c:pt idx="674">
                  <c:v>0.09</c:v>
                </c:pt>
                <c:pt idx="675">
                  <c:v>0.16500000000000001</c:v>
                </c:pt>
                <c:pt idx="676">
                  <c:v>0.08</c:v>
                </c:pt>
                <c:pt idx="677">
                  <c:v>7.4999999999999997E-2</c:v>
                </c:pt>
                <c:pt idx="678">
                  <c:v>0.1</c:v>
                </c:pt>
                <c:pt idx="679">
                  <c:v>0.11</c:v>
                </c:pt>
                <c:pt idx="680">
                  <c:v>0.19</c:v>
                </c:pt>
                <c:pt idx="681">
                  <c:v>8.5000000000000006E-2</c:v>
                </c:pt>
                <c:pt idx="682">
                  <c:v>0.155</c:v>
                </c:pt>
                <c:pt idx="683">
                  <c:v>0.13500000000000001</c:v>
                </c:pt>
                <c:pt idx="684">
                  <c:v>0.14499999999999999</c:v>
                </c:pt>
                <c:pt idx="685">
                  <c:v>0.15</c:v>
                </c:pt>
                <c:pt idx="686">
                  <c:v>0.13</c:v>
                </c:pt>
                <c:pt idx="687">
                  <c:v>0.17</c:v>
                </c:pt>
                <c:pt idx="688">
                  <c:v>0.215</c:v>
                </c:pt>
                <c:pt idx="689">
                  <c:v>0.155</c:v>
                </c:pt>
                <c:pt idx="690">
                  <c:v>0.16</c:v>
                </c:pt>
                <c:pt idx="691">
                  <c:v>8.5000000000000006E-2</c:v>
                </c:pt>
                <c:pt idx="692">
                  <c:v>0.22</c:v>
                </c:pt>
                <c:pt idx="693">
                  <c:v>0.15</c:v>
                </c:pt>
                <c:pt idx="694">
                  <c:v>0.13500000000000001</c:v>
                </c:pt>
                <c:pt idx="695">
                  <c:v>0.14000000000000001</c:v>
                </c:pt>
                <c:pt idx="696">
                  <c:v>0.13</c:v>
                </c:pt>
                <c:pt idx="697">
                  <c:v>0.125</c:v>
                </c:pt>
                <c:pt idx="698">
                  <c:v>0.13</c:v>
                </c:pt>
                <c:pt idx="699">
                  <c:v>0.17</c:v>
                </c:pt>
                <c:pt idx="700">
                  <c:v>0.18</c:v>
                </c:pt>
                <c:pt idx="701">
                  <c:v>0.20499999999999999</c:v>
                </c:pt>
                <c:pt idx="702">
                  <c:v>0.16500000000000001</c:v>
                </c:pt>
                <c:pt idx="703">
                  <c:v>0.2</c:v>
                </c:pt>
                <c:pt idx="704">
                  <c:v>0.19500000000000001</c:v>
                </c:pt>
                <c:pt idx="705">
                  <c:v>0.12</c:v>
                </c:pt>
                <c:pt idx="706">
                  <c:v>0.09</c:v>
                </c:pt>
                <c:pt idx="707">
                  <c:v>0.115</c:v>
                </c:pt>
                <c:pt idx="708">
                  <c:v>5.5E-2</c:v>
                </c:pt>
                <c:pt idx="709">
                  <c:v>0.14000000000000001</c:v>
                </c:pt>
                <c:pt idx="710">
                  <c:v>0.17</c:v>
                </c:pt>
                <c:pt idx="711">
                  <c:v>9.5000000000000001E-2</c:v>
                </c:pt>
                <c:pt idx="712">
                  <c:v>0.17</c:v>
                </c:pt>
                <c:pt idx="713">
                  <c:v>0.115</c:v>
                </c:pt>
                <c:pt idx="714">
                  <c:v>0.16</c:v>
                </c:pt>
                <c:pt idx="715">
                  <c:v>0.11</c:v>
                </c:pt>
                <c:pt idx="716">
                  <c:v>0.14499999999999999</c:v>
                </c:pt>
                <c:pt idx="717">
                  <c:v>0.155</c:v>
                </c:pt>
                <c:pt idx="718">
                  <c:v>0.105</c:v>
                </c:pt>
                <c:pt idx="719">
                  <c:v>0.16500000000000001</c:v>
                </c:pt>
                <c:pt idx="720">
                  <c:v>0.20499999999999999</c:v>
                </c:pt>
                <c:pt idx="721">
                  <c:v>7.4999999999999997E-2</c:v>
                </c:pt>
                <c:pt idx="722">
                  <c:v>0.19</c:v>
                </c:pt>
                <c:pt idx="723">
                  <c:v>0.13500000000000001</c:v>
                </c:pt>
                <c:pt idx="724">
                  <c:v>0.16</c:v>
                </c:pt>
                <c:pt idx="725">
                  <c:v>0.215</c:v>
                </c:pt>
                <c:pt idx="726">
                  <c:v>7.4999999999999997E-2</c:v>
                </c:pt>
                <c:pt idx="727">
                  <c:v>0.13</c:v>
                </c:pt>
                <c:pt idx="728">
                  <c:v>0.16500000000000001</c:v>
                </c:pt>
                <c:pt idx="729">
                  <c:v>0.15</c:v>
                </c:pt>
                <c:pt idx="730">
                  <c:v>0.155</c:v>
                </c:pt>
                <c:pt idx="731">
                  <c:v>0.19500000000000001</c:v>
                </c:pt>
                <c:pt idx="732">
                  <c:v>0.15</c:v>
                </c:pt>
                <c:pt idx="733">
                  <c:v>9.5000000000000001E-2</c:v>
                </c:pt>
                <c:pt idx="734">
                  <c:v>8.5000000000000006E-2</c:v>
                </c:pt>
                <c:pt idx="735">
                  <c:v>0.16500000000000001</c:v>
                </c:pt>
                <c:pt idx="736">
                  <c:v>0.14000000000000001</c:v>
                </c:pt>
                <c:pt idx="737">
                  <c:v>0.21</c:v>
                </c:pt>
                <c:pt idx="738">
                  <c:v>0.155</c:v>
                </c:pt>
                <c:pt idx="739">
                  <c:v>0.16500000000000001</c:v>
                </c:pt>
                <c:pt idx="740">
                  <c:v>0.14499999999999999</c:v>
                </c:pt>
                <c:pt idx="741">
                  <c:v>0.14499999999999999</c:v>
                </c:pt>
                <c:pt idx="742">
                  <c:v>0.105</c:v>
                </c:pt>
                <c:pt idx="743">
                  <c:v>0.11</c:v>
                </c:pt>
                <c:pt idx="744">
                  <c:v>0.125</c:v>
                </c:pt>
                <c:pt idx="745">
                  <c:v>0.14499999999999999</c:v>
                </c:pt>
                <c:pt idx="746">
                  <c:v>0.16500000000000001</c:v>
                </c:pt>
                <c:pt idx="747">
                  <c:v>0.14000000000000001</c:v>
                </c:pt>
                <c:pt idx="748">
                  <c:v>0.155</c:v>
                </c:pt>
                <c:pt idx="749">
                  <c:v>0.125</c:v>
                </c:pt>
                <c:pt idx="750">
                  <c:v>0.08</c:v>
                </c:pt>
                <c:pt idx="751">
                  <c:v>0.13</c:v>
                </c:pt>
                <c:pt idx="752">
                  <c:v>0.14000000000000001</c:v>
                </c:pt>
                <c:pt idx="753">
                  <c:v>0.16500000000000001</c:v>
                </c:pt>
                <c:pt idx="754">
                  <c:v>0.155</c:v>
                </c:pt>
                <c:pt idx="755">
                  <c:v>8.5000000000000006E-2</c:v>
                </c:pt>
                <c:pt idx="756">
                  <c:v>0.09</c:v>
                </c:pt>
                <c:pt idx="757">
                  <c:v>0.17499999999999999</c:v>
                </c:pt>
                <c:pt idx="758">
                  <c:v>0.125</c:v>
                </c:pt>
                <c:pt idx="759">
                  <c:v>0.13</c:v>
                </c:pt>
                <c:pt idx="760">
                  <c:v>0.16500000000000001</c:v>
                </c:pt>
                <c:pt idx="761">
                  <c:v>0.17</c:v>
                </c:pt>
                <c:pt idx="762">
                  <c:v>0.19500000000000001</c:v>
                </c:pt>
                <c:pt idx="763">
                  <c:v>0.115</c:v>
                </c:pt>
                <c:pt idx="764">
                  <c:v>0.1</c:v>
                </c:pt>
                <c:pt idx="765">
                  <c:v>0.13500000000000001</c:v>
                </c:pt>
                <c:pt idx="766">
                  <c:v>0.04</c:v>
                </c:pt>
                <c:pt idx="767">
                  <c:v>0.14000000000000001</c:v>
                </c:pt>
                <c:pt idx="768">
                  <c:v>0.14499999999999999</c:v>
                </c:pt>
                <c:pt idx="769">
                  <c:v>0.22500000000000001</c:v>
                </c:pt>
                <c:pt idx="770">
                  <c:v>5.5E-2</c:v>
                </c:pt>
                <c:pt idx="771">
                  <c:v>0.105</c:v>
                </c:pt>
                <c:pt idx="772">
                  <c:v>9.5000000000000001E-2</c:v>
                </c:pt>
                <c:pt idx="773">
                  <c:v>0.22500000000000001</c:v>
                </c:pt>
                <c:pt idx="774">
                  <c:v>0.08</c:v>
                </c:pt>
                <c:pt idx="775">
                  <c:v>0.1</c:v>
                </c:pt>
                <c:pt idx="776">
                  <c:v>0.12</c:v>
                </c:pt>
                <c:pt idx="777">
                  <c:v>0.15</c:v>
                </c:pt>
                <c:pt idx="778">
                  <c:v>0.155</c:v>
                </c:pt>
                <c:pt idx="779">
                  <c:v>0.16</c:v>
                </c:pt>
                <c:pt idx="780">
                  <c:v>7.4999999999999997E-2</c:v>
                </c:pt>
                <c:pt idx="781">
                  <c:v>0.15</c:v>
                </c:pt>
                <c:pt idx="782">
                  <c:v>0.1</c:v>
                </c:pt>
                <c:pt idx="783">
                  <c:v>0.115</c:v>
                </c:pt>
                <c:pt idx="784">
                  <c:v>0.115</c:v>
                </c:pt>
                <c:pt idx="785">
                  <c:v>0.09</c:v>
                </c:pt>
                <c:pt idx="786">
                  <c:v>0.115</c:v>
                </c:pt>
                <c:pt idx="787">
                  <c:v>0.20499999999999999</c:v>
                </c:pt>
                <c:pt idx="788">
                  <c:v>0.08</c:v>
                </c:pt>
                <c:pt idx="789">
                  <c:v>0.16</c:v>
                </c:pt>
                <c:pt idx="790">
                  <c:v>0.185</c:v>
                </c:pt>
                <c:pt idx="791">
                  <c:v>7.4999999999999997E-2</c:v>
                </c:pt>
                <c:pt idx="792">
                  <c:v>9.5000000000000001E-2</c:v>
                </c:pt>
                <c:pt idx="793">
                  <c:v>0.13500000000000001</c:v>
                </c:pt>
                <c:pt idx="794">
                  <c:v>8.5000000000000006E-2</c:v>
                </c:pt>
                <c:pt idx="795">
                  <c:v>0.16500000000000001</c:v>
                </c:pt>
                <c:pt idx="796">
                  <c:v>0.09</c:v>
                </c:pt>
                <c:pt idx="797">
                  <c:v>0.15</c:v>
                </c:pt>
                <c:pt idx="798">
                  <c:v>0.16</c:v>
                </c:pt>
                <c:pt idx="799">
                  <c:v>0.185</c:v>
                </c:pt>
                <c:pt idx="800">
                  <c:v>0.06</c:v>
                </c:pt>
                <c:pt idx="801">
                  <c:v>0.12</c:v>
                </c:pt>
                <c:pt idx="802">
                  <c:v>0.12</c:v>
                </c:pt>
                <c:pt idx="803">
                  <c:v>0.14499999999999999</c:v>
                </c:pt>
                <c:pt idx="804">
                  <c:v>0.115</c:v>
                </c:pt>
                <c:pt idx="805">
                  <c:v>0.14000000000000001</c:v>
                </c:pt>
                <c:pt idx="806">
                  <c:v>0.185</c:v>
                </c:pt>
                <c:pt idx="807">
                  <c:v>0.11</c:v>
                </c:pt>
                <c:pt idx="808">
                  <c:v>0.185</c:v>
                </c:pt>
                <c:pt idx="809">
                  <c:v>0.155</c:v>
                </c:pt>
                <c:pt idx="810">
                  <c:v>0.17499999999999999</c:v>
                </c:pt>
                <c:pt idx="811">
                  <c:v>0.105</c:v>
                </c:pt>
                <c:pt idx="812">
                  <c:v>0.13</c:v>
                </c:pt>
                <c:pt idx="813">
                  <c:v>0.17499999999999999</c:v>
                </c:pt>
                <c:pt idx="814">
                  <c:v>8.5000000000000006E-2</c:v>
                </c:pt>
                <c:pt idx="815">
                  <c:v>0.09</c:v>
                </c:pt>
                <c:pt idx="816">
                  <c:v>0.13500000000000001</c:v>
                </c:pt>
                <c:pt idx="817">
                  <c:v>0.18</c:v>
                </c:pt>
                <c:pt idx="818">
                  <c:v>8.5000000000000006E-2</c:v>
                </c:pt>
                <c:pt idx="819">
                  <c:v>0.18</c:v>
                </c:pt>
                <c:pt idx="820">
                  <c:v>0.1</c:v>
                </c:pt>
                <c:pt idx="821">
                  <c:v>0.115</c:v>
                </c:pt>
                <c:pt idx="822">
                  <c:v>0.125</c:v>
                </c:pt>
                <c:pt idx="823">
                  <c:v>0.18</c:v>
                </c:pt>
                <c:pt idx="824">
                  <c:v>0.19</c:v>
                </c:pt>
                <c:pt idx="825">
                  <c:v>0.17499999999999999</c:v>
                </c:pt>
                <c:pt idx="826">
                  <c:v>8.5000000000000006E-2</c:v>
                </c:pt>
                <c:pt idx="827">
                  <c:v>0.16</c:v>
                </c:pt>
                <c:pt idx="828">
                  <c:v>0.155</c:v>
                </c:pt>
                <c:pt idx="829">
                  <c:v>0.185</c:v>
                </c:pt>
                <c:pt idx="830">
                  <c:v>0.13</c:v>
                </c:pt>
                <c:pt idx="831">
                  <c:v>0.13</c:v>
                </c:pt>
                <c:pt idx="832">
                  <c:v>0.125</c:v>
                </c:pt>
                <c:pt idx="833">
                  <c:v>0.13</c:v>
                </c:pt>
                <c:pt idx="834">
                  <c:v>0.18</c:v>
                </c:pt>
                <c:pt idx="835">
                  <c:v>0.185</c:v>
                </c:pt>
                <c:pt idx="836">
                  <c:v>9.5000000000000001E-2</c:v>
                </c:pt>
                <c:pt idx="837">
                  <c:v>8.5000000000000006E-2</c:v>
                </c:pt>
                <c:pt idx="838">
                  <c:v>0.18</c:v>
                </c:pt>
                <c:pt idx="839">
                  <c:v>0.13</c:v>
                </c:pt>
                <c:pt idx="840">
                  <c:v>0.17</c:v>
                </c:pt>
                <c:pt idx="841">
                  <c:v>0.17</c:v>
                </c:pt>
                <c:pt idx="842">
                  <c:v>0.1</c:v>
                </c:pt>
                <c:pt idx="843">
                  <c:v>0.2</c:v>
                </c:pt>
                <c:pt idx="844">
                  <c:v>0.115</c:v>
                </c:pt>
                <c:pt idx="845">
                  <c:v>7.0000000000000007E-2</c:v>
                </c:pt>
                <c:pt idx="846">
                  <c:v>0.15</c:v>
                </c:pt>
                <c:pt idx="847">
                  <c:v>6.5000000000000002E-2</c:v>
                </c:pt>
                <c:pt idx="848">
                  <c:v>0.185</c:v>
                </c:pt>
                <c:pt idx="849">
                  <c:v>0.2</c:v>
                </c:pt>
                <c:pt idx="850">
                  <c:v>0.155</c:v>
                </c:pt>
                <c:pt idx="851">
                  <c:v>0.155</c:v>
                </c:pt>
                <c:pt idx="852">
                  <c:v>0.18</c:v>
                </c:pt>
                <c:pt idx="853">
                  <c:v>0.155</c:v>
                </c:pt>
                <c:pt idx="854">
                  <c:v>0.09</c:v>
                </c:pt>
                <c:pt idx="855">
                  <c:v>0.12</c:v>
                </c:pt>
                <c:pt idx="856">
                  <c:v>0.15</c:v>
                </c:pt>
                <c:pt idx="857">
                  <c:v>0.16</c:v>
                </c:pt>
                <c:pt idx="858">
                  <c:v>0.12</c:v>
                </c:pt>
                <c:pt idx="859">
                  <c:v>0.14499999999999999</c:v>
                </c:pt>
                <c:pt idx="860">
                  <c:v>0.12</c:v>
                </c:pt>
                <c:pt idx="861">
                  <c:v>0.185</c:v>
                </c:pt>
                <c:pt idx="862">
                  <c:v>0.20499999999999999</c:v>
                </c:pt>
                <c:pt idx="863">
                  <c:v>0.12</c:v>
                </c:pt>
                <c:pt idx="864">
                  <c:v>0.13500000000000001</c:v>
                </c:pt>
                <c:pt idx="865">
                  <c:v>0.08</c:v>
                </c:pt>
                <c:pt idx="866">
                  <c:v>0.14000000000000001</c:v>
                </c:pt>
                <c:pt idx="867">
                  <c:v>0.18</c:v>
                </c:pt>
                <c:pt idx="868">
                  <c:v>0.185</c:v>
                </c:pt>
                <c:pt idx="869">
                  <c:v>0.215</c:v>
                </c:pt>
                <c:pt idx="870">
                  <c:v>0.12</c:v>
                </c:pt>
                <c:pt idx="871">
                  <c:v>0.14000000000000001</c:v>
                </c:pt>
                <c:pt idx="872">
                  <c:v>0.16</c:v>
                </c:pt>
                <c:pt idx="873">
                  <c:v>0.18</c:v>
                </c:pt>
                <c:pt idx="874">
                  <c:v>0.14499999999999999</c:v>
                </c:pt>
                <c:pt idx="875">
                  <c:v>0.13</c:v>
                </c:pt>
                <c:pt idx="876">
                  <c:v>0.09</c:v>
                </c:pt>
                <c:pt idx="877">
                  <c:v>0.16500000000000001</c:v>
                </c:pt>
                <c:pt idx="878">
                  <c:v>0.15</c:v>
                </c:pt>
                <c:pt idx="879">
                  <c:v>0.17499999999999999</c:v>
                </c:pt>
                <c:pt idx="880">
                  <c:v>0.16</c:v>
                </c:pt>
                <c:pt idx="881">
                  <c:v>0.20499999999999999</c:v>
                </c:pt>
                <c:pt idx="882">
                  <c:v>0.115</c:v>
                </c:pt>
                <c:pt idx="883">
                  <c:v>0.14000000000000001</c:v>
                </c:pt>
                <c:pt idx="884">
                  <c:v>0.11</c:v>
                </c:pt>
                <c:pt idx="885">
                  <c:v>0.04</c:v>
                </c:pt>
                <c:pt idx="886">
                  <c:v>0.16500000000000001</c:v>
                </c:pt>
                <c:pt idx="887">
                  <c:v>0.15</c:v>
                </c:pt>
                <c:pt idx="888">
                  <c:v>0.16500000000000001</c:v>
                </c:pt>
                <c:pt idx="889">
                  <c:v>0.16</c:v>
                </c:pt>
                <c:pt idx="890">
                  <c:v>0.125</c:v>
                </c:pt>
                <c:pt idx="891">
                  <c:v>0.105</c:v>
                </c:pt>
                <c:pt idx="892">
                  <c:v>0.13500000000000001</c:v>
                </c:pt>
                <c:pt idx="893">
                  <c:v>0.185</c:v>
                </c:pt>
                <c:pt idx="894">
                  <c:v>0.13500000000000001</c:v>
                </c:pt>
                <c:pt idx="895">
                  <c:v>0.21</c:v>
                </c:pt>
                <c:pt idx="896">
                  <c:v>0.22500000000000001</c:v>
                </c:pt>
                <c:pt idx="897">
                  <c:v>0.09</c:v>
                </c:pt>
                <c:pt idx="898">
                  <c:v>9.5000000000000001E-2</c:v>
                </c:pt>
                <c:pt idx="899">
                  <c:v>0.115</c:v>
                </c:pt>
                <c:pt idx="900">
                  <c:v>0.12</c:v>
                </c:pt>
                <c:pt idx="901">
                  <c:v>0.155</c:v>
                </c:pt>
                <c:pt idx="902">
                  <c:v>0.13</c:v>
                </c:pt>
                <c:pt idx="903">
                  <c:v>0.2</c:v>
                </c:pt>
                <c:pt idx="904">
                  <c:v>0.09</c:v>
                </c:pt>
                <c:pt idx="905">
                  <c:v>0.12</c:v>
                </c:pt>
                <c:pt idx="906">
                  <c:v>0.155</c:v>
                </c:pt>
                <c:pt idx="907">
                  <c:v>0.115</c:v>
                </c:pt>
                <c:pt idx="908">
                  <c:v>0.16</c:v>
                </c:pt>
                <c:pt idx="909">
                  <c:v>0.16</c:v>
                </c:pt>
                <c:pt idx="910">
                  <c:v>0.14000000000000001</c:v>
                </c:pt>
                <c:pt idx="911">
                  <c:v>0.11</c:v>
                </c:pt>
                <c:pt idx="912">
                  <c:v>0.14499999999999999</c:v>
                </c:pt>
                <c:pt idx="913">
                  <c:v>9.5000000000000001E-2</c:v>
                </c:pt>
                <c:pt idx="914">
                  <c:v>0.16</c:v>
                </c:pt>
                <c:pt idx="915">
                  <c:v>0.115</c:v>
                </c:pt>
                <c:pt idx="916">
                  <c:v>0.16500000000000001</c:v>
                </c:pt>
                <c:pt idx="917">
                  <c:v>0.23499999999999999</c:v>
                </c:pt>
                <c:pt idx="918">
                  <c:v>0.15</c:v>
                </c:pt>
                <c:pt idx="919">
                  <c:v>0.17499999999999999</c:v>
                </c:pt>
                <c:pt idx="920">
                  <c:v>0.15</c:v>
                </c:pt>
                <c:pt idx="921">
                  <c:v>0.19500000000000001</c:v>
                </c:pt>
                <c:pt idx="922">
                  <c:v>0.08</c:v>
                </c:pt>
                <c:pt idx="923">
                  <c:v>0.14499999999999999</c:v>
                </c:pt>
                <c:pt idx="924">
                  <c:v>0.11</c:v>
                </c:pt>
                <c:pt idx="925">
                  <c:v>0.11</c:v>
                </c:pt>
                <c:pt idx="926">
                  <c:v>0.16</c:v>
                </c:pt>
                <c:pt idx="927">
                  <c:v>0.08</c:v>
                </c:pt>
                <c:pt idx="928">
                  <c:v>0.12</c:v>
                </c:pt>
                <c:pt idx="929">
                  <c:v>0.13500000000000001</c:v>
                </c:pt>
                <c:pt idx="930">
                  <c:v>0.16500000000000001</c:v>
                </c:pt>
                <c:pt idx="931">
                  <c:v>0.1</c:v>
                </c:pt>
                <c:pt idx="932">
                  <c:v>0.11</c:v>
                </c:pt>
                <c:pt idx="933">
                  <c:v>0.115</c:v>
                </c:pt>
                <c:pt idx="934">
                  <c:v>0.15</c:v>
                </c:pt>
                <c:pt idx="935">
                  <c:v>0.185</c:v>
                </c:pt>
                <c:pt idx="936">
                  <c:v>5.5E-2</c:v>
                </c:pt>
                <c:pt idx="937">
                  <c:v>0.105</c:v>
                </c:pt>
                <c:pt idx="938">
                  <c:v>0.19500000000000001</c:v>
                </c:pt>
                <c:pt idx="939">
                  <c:v>8.5000000000000006E-2</c:v>
                </c:pt>
                <c:pt idx="940">
                  <c:v>0.155</c:v>
                </c:pt>
                <c:pt idx="941">
                  <c:v>0.14499999999999999</c:v>
                </c:pt>
                <c:pt idx="942">
                  <c:v>0.1</c:v>
                </c:pt>
                <c:pt idx="943">
                  <c:v>0.115</c:v>
                </c:pt>
                <c:pt idx="944">
                  <c:v>0.1</c:v>
                </c:pt>
                <c:pt idx="945">
                  <c:v>0.1</c:v>
                </c:pt>
                <c:pt idx="946">
                  <c:v>0.13</c:v>
                </c:pt>
                <c:pt idx="947">
                  <c:v>0.16500000000000001</c:v>
                </c:pt>
                <c:pt idx="948">
                  <c:v>0.14000000000000001</c:v>
                </c:pt>
                <c:pt idx="949">
                  <c:v>7.0000000000000007E-2</c:v>
                </c:pt>
                <c:pt idx="950">
                  <c:v>0.12</c:v>
                </c:pt>
                <c:pt idx="951">
                  <c:v>0.13500000000000001</c:v>
                </c:pt>
                <c:pt idx="952">
                  <c:v>0.16</c:v>
                </c:pt>
                <c:pt idx="953">
                  <c:v>0.2</c:v>
                </c:pt>
                <c:pt idx="954">
                  <c:v>0.11</c:v>
                </c:pt>
                <c:pt idx="955">
                  <c:v>0.155</c:v>
                </c:pt>
                <c:pt idx="956">
                  <c:v>0.12</c:v>
                </c:pt>
                <c:pt idx="957">
                  <c:v>0.13500000000000001</c:v>
                </c:pt>
                <c:pt idx="958">
                  <c:v>7.0000000000000007E-2</c:v>
                </c:pt>
                <c:pt idx="959">
                  <c:v>0.1</c:v>
                </c:pt>
                <c:pt idx="960">
                  <c:v>0.13</c:v>
                </c:pt>
                <c:pt idx="961">
                  <c:v>0.14000000000000001</c:v>
                </c:pt>
                <c:pt idx="962">
                  <c:v>8.5000000000000006E-2</c:v>
                </c:pt>
                <c:pt idx="963">
                  <c:v>0.15</c:v>
                </c:pt>
                <c:pt idx="964">
                  <c:v>0.13500000000000001</c:v>
                </c:pt>
                <c:pt idx="965">
                  <c:v>0.08</c:v>
                </c:pt>
                <c:pt idx="966">
                  <c:v>0.12</c:v>
                </c:pt>
                <c:pt idx="967">
                  <c:v>0.05</c:v>
                </c:pt>
                <c:pt idx="968">
                  <c:v>0.12</c:v>
                </c:pt>
                <c:pt idx="969">
                  <c:v>0.16500000000000001</c:v>
                </c:pt>
                <c:pt idx="970">
                  <c:v>0.18</c:v>
                </c:pt>
                <c:pt idx="971">
                  <c:v>0.1</c:v>
                </c:pt>
                <c:pt idx="972">
                  <c:v>0.17499999999999999</c:v>
                </c:pt>
                <c:pt idx="973">
                  <c:v>0.19</c:v>
                </c:pt>
                <c:pt idx="974">
                  <c:v>0.23</c:v>
                </c:pt>
                <c:pt idx="975">
                  <c:v>0.20499999999999999</c:v>
                </c:pt>
                <c:pt idx="976">
                  <c:v>0.13500000000000001</c:v>
                </c:pt>
                <c:pt idx="977">
                  <c:v>0.16500000000000001</c:v>
                </c:pt>
                <c:pt idx="978">
                  <c:v>0.115</c:v>
                </c:pt>
                <c:pt idx="979">
                  <c:v>0.125</c:v>
                </c:pt>
                <c:pt idx="980">
                  <c:v>0.105</c:v>
                </c:pt>
                <c:pt idx="981">
                  <c:v>0.17</c:v>
                </c:pt>
                <c:pt idx="982">
                  <c:v>0.105</c:v>
                </c:pt>
                <c:pt idx="983">
                  <c:v>0.105</c:v>
                </c:pt>
                <c:pt idx="984">
                  <c:v>0.15</c:v>
                </c:pt>
                <c:pt idx="985">
                  <c:v>0.155</c:v>
                </c:pt>
                <c:pt idx="986">
                  <c:v>0.19500000000000001</c:v>
                </c:pt>
                <c:pt idx="987">
                  <c:v>0.15</c:v>
                </c:pt>
                <c:pt idx="988">
                  <c:v>0.19</c:v>
                </c:pt>
                <c:pt idx="989">
                  <c:v>0.105</c:v>
                </c:pt>
                <c:pt idx="990">
                  <c:v>0.17499999999999999</c:v>
                </c:pt>
                <c:pt idx="991">
                  <c:v>7.4999999999999997E-2</c:v>
                </c:pt>
                <c:pt idx="992">
                  <c:v>7.4999999999999997E-2</c:v>
                </c:pt>
                <c:pt idx="993">
                  <c:v>0.23</c:v>
                </c:pt>
                <c:pt idx="994">
                  <c:v>0.13500000000000001</c:v>
                </c:pt>
                <c:pt idx="995">
                  <c:v>0.185</c:v>
                </c:pt>
                <c:pt idx="996">
                  <c:v>0.105</c:v>
                </c:pt>
                <c:pt idx="997">
                  <c:v>9.5000000000000001E-2</c:v>
                </c:pt>
                <c:pt idx="998">
                  <c:v>0.13500000000000001</c:v>
                </c:pt>
                <c:pt idx="999">
                  <c:v>0.13500000000000001</c:v>
                </c:pt>
              </c:numCache>
            </c:numRef>
          </c:xVal>
          <c:yVal>
            <c:numRef>
              <c:f>'Personal Data'!$J$2:$J$1001</c:f>
              <c:numCache>
                <c:formatCode>General</c:formatCode>
                <c:ptCount val="1000"/>
                <c:pt idx="0">
                  <c:v>9</c:v>
                </c:pt>
                <c:pt idx="1">
                  <c:v>13</c:v>
                </c:pt>
                <c:pt idx="2">
                  <c:v>11</c:v>
                </c:pt>
                <c:pt idx="3">
                  <c:v>8</c:v>
                </c:pt>
                <c:pt idx="4">
                  <c:v>15</c:v>
                </c:pt>
                <c:pt idx="5">
                  <c:v>10</c:v>
                </c:pt>
                <c:pt idx="6">
                  <c:v>7</c:v>
                </c:pt>
                <c:pt idx="7">
                  <c:v>7</c:v>
                </c:pt>
                <c:pt idx="8">
                  <c:v>12</c:v>
                </c:pt>
                <c:pt idx="9">
                  <c:v>13</c:v>
                </c:pt>
                <c:pt idx="10">
                  <c:v>8</c:v>
                </c:pt>
                <c:pt idx="11">
                  <c:v>7</c:v>
                </c:pt>
                <c:pt idx="12">
                  <c:v>7</c:v>
                </c:pt>
                <c:pt idx="13">
                  <c:v>10</c:v>
                </c:pt>
                <c:pt idx="14">
                  <c:v>9</c:v>
                </c:pt>
                <c:pt idx="15">
                  <c:v>17</c:v>
                </c:pt>
                <c:pt idx="16">
                  <c:v>9</c:v>
                </c:pt>
                <c:pt idx="17">
                  <c:v>8</c:v>
                </c:pt>
                <c:pt idx="18">
                  <c:v>9</c:v>
                </c:pt>
                <c:pt idx="19">
                  <c:v>8</c:v>
                </c:pt>
                <c:pt idx="20">
                  <c:v>14</c:v>
                </c:pt>
                <c:pt idx="21">
                  <c:v>6</c:v>
                </c:pt>
                <c:pt idx="22">
                  <c:v>13</c:v>
                </c:pt>
                <c:pt idx="23">
                  <c:v>7</c:v>
                </c:pt>
                <c:pt idx="24">
                  <c:v>9</c:v>
                </c:pt>
                <c:pt idx="25">
                  <c:v>7</c:v>
                </c:pt>
                <c:pt idx="26">
                  <c:v>7</c:v>
                </c:pt>
                <c:pt idx="27">
                  <c:v>8</c:v>
                </c:pt>
                <c:pt idx="28">
                  <c:v>9</c:v>
                </c:pt>
                <c:pt idx="29">
                  <c:v>8</c:v>
                </c:pt>
                <c:pt idx="30">
                  <c:v>6</c:v>
                </c:pt>
                <c:pt idx="31">
                  <c:v>7</c:v>
                </c:pt>
                <c:pt idx="32">
                  <c:v>7</c:v>
                </c:pt>
                <c:pt idx="33">
                  <c:v>13</c:v>
                </c:pt>
                <c:pt idx="34">
                  <c:v>9</c:v>
                </c:pt>
                <c:pt idx="35">
                  <c:v>11</c:v>
                </c:pt>
                <c:pt idx="36">
                  <c:v>15</c:v>
                </c:pt>
                <c:pt idx="37">
                  <c:v>12</c:v>
                </c:pt>
                <c:pt idx="38">
                  <c:v>11</c:v>
                </c:pt>
                <c:pt idx="39">
                  <c:v>16</c:v>
                </c:pt>
                <c:pt idx="40">
                  <c:v>8</c:v>
                </c:pt>
                <c:pt idx="41">
                  <c:v>10</c:v>
                </c:pt>
                <c:pt idx="42">
                  <c:v>11</c:v>
                </c:pt>
                <c:pt idx="43">
                  <c:v>9</c:v>
                </c:pt>
                <c:pt idx="44">
                  <c:v>10</c:v>
                </c:pt>
                <c:pt idx="45">
                  <c:v>6</c:v>
                </c:pt>
                <c:pt idx="46">
                  <c:v>9</c:v>
                </c:pt>
                <c:pt idx="47">
                  <c:v>11</c:v>
                </c:pt>
                <c:pt idx="48">
                  <c:v>8</c:v>
                </c:pt>
                <c:pt idx="49">
                  <c:v>12</c:v>
                </c:pt>
                <c:pt idx="50">
                  <c:v>9</c:v>
                </c:pt>
                <c:pt idx="51">
                  <c:v>10</c:v>
                </c:pt>
                <c:pt idx="52">
                  <c:v>10</c:v>
                </c:pt>
                <c:pt idx="53">
                  <c:v>12</c:v>
                </c:pt>
                <c:pt idx="54">
                  <c:v>8</c:v>
                </c:pt>
                <c:pt idx="55">
                  <c:v>7</c:v>
                </c:pt>
                <c:pt idx="56">
                  <c:v>11</c:v>
                </c:pt>
                <c:pt idx="57">
                  <c:v>10</c:v>
                </c:pt>
                <c:pt idx="58">
                  <c:v>16</c:v>
                </c:pt>
                <c:pt idx="59">
                  <c:v>8</c:v>
                </c:pt>
                <c:pt idx="60">
                  <c:v>7</c:v>
                </c:pt>
                <c:pt idx="61">
                  <c:v>10</c:v>
                </c:pt>
                <c:pt idx="62">
                  <c:v>5</c:v>
                </c:pt>
                <c:pt idx="63">
                  <c:v>11</c:v>
                </c:pt>
                <c:pt idx="64">
                  <c:v>29</c:v>
                </c:pt>
                <c:pt idx="65">
                  <c:v>12</c:v>
                </c:pt>
                <c:pt idx="66">
                  <c:v>8</c:v>
                </c:pt>
                <c:pt idx="67">
                  <c:v>10</c:v>
                </c:pt>
                <c:pt idx="68">
                  <c:v>6</c:v>
                </c:pt>
                <c:pt idx="69">
                  <c:v>11</c:v>
                </c:pt>
                <c:pt idx="70">
                  <c:v>10</c:v>
                </c:pt>
                <c:pt idx="71">
                  <c:v>8</c:v>
                </c:pt>
                <c:pt idx="72">
                  <c:v>8</c:v>
                </c:pt>
                <c:pt idx="73">
                  <c:v>12</c:v>
                </c:pt>
                <c:pt idx="74">
                  <c:v>7</c:v>
                </c:pt>
                <c:pt idx="75">
                  <c:v>10</c:v>
                </c:pt>
                <c:pt idx="76">
                  <c:v>8</c:v>
                </c:pt>
                <c:pt idx="77">
                  <c:v>10</c:v>
                </c:pt>
                <c:pt idx="78">
                  <c:v>9</c:v>
                </c:pt>
                <c:pt idx="79">
                  <c:v>13</c:v>
                </c:pt>
                <c:pt idx="80">
                  <c:v>9</c:v>
                </c:pt>
                <c:pt idx="81">
                  <c:v>4</c:v>
                </c:pt>
                <c:pt idx="82">
                  <c:v>9</c:v>
                </c:pt>
                <c:pt idx="83">
                  <c:v>8</c:v>
                </c:pt>
                <c:pt idx="84">
                  <c:v>10</c:v>
                </c:pt>
                <c:pt idx="85">
                  <c:v>8</c:v>
                </c:pt>
                <c:pt idx="86">
                  <c:v>15</c:v>
                </c:pt>
                <c:pt idx="87">
                  <c:v>11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  <c:pt idx="91">
                  <c:v>10</c:v>
                </c:pt>
                <c:pt idx="92">
                  <c:v>8</c:v>
                </c:pt>
                <c:pt idx="93">
                  <c:v>16</c:v>
                </c:pt>
                <c:pt idx="94">
                  <c:v>14</c:v>
                </c:pt>
                <c:pt idx="95">
                  <c:v>9</c:v>
                </c:pt>
                <c:pt idx="96">
                  <c:v>16</c:v>
                </c:pt>
                <c:pt idx="97">
                  <c:v>7</c:v>
                </c:pt>
                <c:pt idx="98">
                  <c:v>8</c:v>
                </c:pt>
                <c:pt idx="99">
                  <c:v>13</c:v>
                </c:pt>
                <c:pt idx="100">
                  <c:v>13</c:v>
                </c:pt>
                <c:pt idx="101">
                  <c:v>7</c:v>
                </c:pt>
                <c:pt idx="102">
                  <c:v>20</c:v>
                </c:pt>
                <c:pt idx="103">
                  <c:v>13</c:v>
                </c:pt>
                <c:pt idx="104">
                  <c:v>6</c:v>
                </c:pt>
                <c:pt idx="105">
                  <c:v>14</c:v>
                </c:pt>
                <c:pt idx="106">
                  <c:v>10</c:v>
                </c:pt>
                <c:pt idx="107">
                  <c:v>15</c:v>
                </c:pt>
                <c:pt idx="108">
                  <c:v>11</c:v>
                </c:pt>
                <c:pt idx="109">
                  <c:v>12</c:v>
                </c:pt>
                <c:pt idx="110">
                  <c:v>7</c:v>
                </c:pt>
                <c:pt idx="111">
                  <c:v>3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12</c:v>
                </c:pt>
                <c:pt idx="116">
                  <c:v>10</c:v>
                </c:pt>
                <c:pt idx="117">
                  <c:v>6</c:v>
                </c:pt>
                <c:pt idx="118">
                  <c:v>11</c:v>
                </c:pt>
                <c:pt idx="119">
                  <c:v>14</c:v>
                </c:pt>
                <c:pt idx="120">
                  <c:v>11</c:v>
                </c:pt>
                <c:pt idx="121">
                  <c:v>21</c:v>
                </c:pt>
                <c:pt idx="122">
                  <c:v>7</c:v>
                </c:pt>
                <c:pt idx="123">
                  <c:v>9</c:v>
                </c:pt>
                <c:pt idx="124">
                  <c:v>10</c:v>
                </c:pt>
                <c:pt idx="125">
                  <c:v>7</c:v>
                </c:pt>
                <c:pt idx="126">
                  <c:v>10</c:v>
                </c:pt>
                <c:pt idx="127">
                  <c:v>9</c:v>
                </c:pt>
                <c:pt idx="128">
                  <c:v>11</c:v>
                </c:pt>
                <c:pt idx="129">
                  <c:v>10</c:v>
                </c:pt>
                <c:pt idx="130">
                  <c:v>13</c:v>
                </c:pt>
                <c:pt idx="131">
                  <c:v>7</c:v>
                </c:pt>
                <c:pt idx="132">
                  <c:v>15</c:v>
                </c:pt>
                <c:pt idx="133">
                  <c:v>16</c:v>
                </c:pt>
                <c:pt idx="134">
                  <c:v>13</c:v>
                </c:pt>
                <c:pt idx="135">
                  <c:v>13</c:v>
                </c:pt>
                <c:pt idx="136">
                  <c:v>12</c:v>
                </c:pt>
                <c:pt idx="137">
                  <c:v>8</c:v>
                </c:pt>
                <c:pt idx="138">
                  <c:v>10</c:v>
                </c:pt>
                <c:pt idx="139">
                  <c:v>16</c:v>
                </c:pt>
                <c:pt idx="140">
                  <c:v>9</c:v>
                </c:pt>
                <c:pt idx="141">
                  <c:v>13</c:v>
                </c:pt>
                <c:pt idx="142">
                  <c:v>8</c:v>
                </c:pt>
                <c:pt idx="143">
                  <c:v>17</c:v>
                </c:pt>
                <c:pt idx="144">
                  <c:v>15</c:v>
                </c:pt>
                <c:pt idx="145">
                  <c:v>9</c:v>
                </c:pt>
                <c:pt idx="146">
                  <c:v>11</c:v>
                </c:pt>
                <c:pt idx="147">
                  <c:v>18</c:v>
                </c:pt>
                <c:pt idx="148">
                  <c:v>8</c:v>
                </c:pt>
                <c:pt idx="149">
                  <c:v>8</c:v>
                </c:pt>
                <c:pt idx="150">
                  <c:v>8</c:v>
                </c:pt>
                <c:pt idx="151">
                  <c:v>9</c:v>
                </c:pt>
                <c:pt idx="152">
                  <c:v>9</c:v>
                </c:pt>
                <c:pt idx="153">
                  <c:v>10</c:v>
                </c:pt>
                <c:pt idx="154">
                  <c:v>9</c:v>
                </c:pt>
                <c:pt idx="155">
                  <c:v>13</c:v>
                </c:pt>
                <c:pt idx="156">
                  <c:v>9</c:v>
                </c:pt>
                <c:pt idx="157">
                  <c:v>6</c:v>
                </c:pt>
                <c:pt idx="158">
                  <c:v>7</c:v>
                </c:pt>
                <c:pt idx="159">
                  <c:v>8</c:v>
                </c:pt>
                <c:pt idx="160">
                  <c:v>10</c:v>
                </c:pt>
                <c:pt idx="161">
                  <c:v>11</c:v>
                </c:pt>
                <c:pt idx="162">
                  <c:v>9</c:v>
                </c:pt>
                <c:pt idx="163">
                  <c:v>13</c:v>
                </c:pt>
                <c:pt idx="164">
                  <c:v>11</c:v>
                </c:pt>
                <c:pt idx="165">
                  <c:v>12</c:v>
                </c:pt>
                <c:pt idx="166">
                  <c:v>11</c:v>
                </c:pt>
                <c:pt idx="167">
                  <c:v>12</c:v>
                </c:pt>
                <c:pt idx="168">
                  <c:v>6</c:v>
                </c:pt>
                <c:pt idx="169">
                  <c:v>10</c:v>
                </c:pt>
                <c:pt idx="170">
                  <c:v>15</c:v>
                </c:pt>
                <c:pt idx="171">
                  <c:v>10</c:v>
                </c:pt>
                <c:pt idx="172">
                  <c:v>10</c:v>
                </c:pt>
                <c:pt idx="173">
                  <c:v>9</c:v>
                </c:pt>
                <c:pt idx="174">
                  <c:v>9</c:v>
                </c:pt>
                <c:pt idx="175">
                  <c:v>11</c:v>
                </c:pt>
                <c:pt idx="176">
                  <c:v>8</c:v>
                </c:pt>
                <c:pt idx="177">
                  <c:v>9</c:v>
                </c:pt>
                <c:pt idx="178">
                  <c:v>10</c:v>
                </c:pt>
                <c:pt idx="179">
                  <c:v>10</c:v>
                </c:pt>
                <c:pt idx="180">
                  <c:v>21</c:v>
                </c:pt>
                <c:pt idx="181">
                  <c:v>14</c:v>
                </c:pt>
                <c:pt idx="182">
                  <c:v>7</c:v>
                </c:pt>
                <c:pt idx="183">
                  <c:v>8</c:v>
                </c:pt>
                <c:pt idx="184">
                  <c:v>8</c:v>
                </c:pt>
                <c:pt idx="185">
                  <c:v>9</c:v>
                </c:pt>
                <c:pt idx="186">
                  <c:v>11</c:v>
                </c:pt>
                <c:pt idx="187">
                  <c:v>11</c:v>
                </c:pt>
                <c:pt idx="188">
                  <c:v>4</c:v>
                </c:pt>
                <c:pt idx="189">
                  <c:v>12</c:v>
                </c:pt>
                <c:pt idx="190">
                  <c:v>9</c:v>
                </c:pt>
                <c:pt idx="191">
                  <c:v>10</c:v>
                </c:pt>
                <c:pt idx="192">
                  <c:v>7</c:v>
                </c:pt>
                <c:pt idx="193">
                  <c:v>12</c:v>
                </c:pt>
                <c:pt idx="194">
                  <c:v>9</c:v>
                </c:pt>
                <c:pt idx="195">
                  <c:v>10</c:v>
                </c:pt>
                <c:pt idx="196">
                  <c:v>8</c:v>
                </c:pt>
                <c:pt idx="197">
                  <c:v>12</c:v>
                </c:pt>
                <c:pt idx="198">
                  <c:v>12</c:v>
                </c:pt>
                <c:pt idx="199">
                  <c:v>10</c:v>
                </c:pt>
                <c:pt idx="200">
                  <c:v>15</c:v>
                </c:pt>
                <c:pt idx="201">
                  <c:v>17</c:v>
                </c:pt>
                <c:pt idx="202">
                  <c:v>3</c:v>
                </c:pt>
                <c:pt idx="203">
                  <c:v>6</c:v>
                </c:pt>
                <c:pt idx="204">
                  <c:v>13</c:v>
                </c:pt>
                <c:pt idx="205">
                  <c:v>9</c:v>
                </c:pt>
                <c:pt idx="206">
                  <c:v>17</c:v>
                </c:pt>
                <c:pt idx="207">
                  <c:v>12</c:v>
                </c:pt>
                <c:pt idx="208">
                  <c:v>13</c:v>
                </c:pt>
                <c:pt idx="209">
                  <c:v>8</c:v>
                </c:pt>
                <c:pt idx="210">
                  <c:v>10</c:v>
                </c:pt>
                <c:pt idx="211">
                  <c:v>10</c:v>
                </c:pt>
                <c:pt idx="212">
                  <c:v>14</c:v>
                </c:pt>
                <c:pt idx="213">
                  <c:v>4</c:v>
                </c:pt>
                <c:pt idx="214">
                  <c:v>11</c:v>
                </c:pt>
                <c:pt idx="215">
                  <c:v>10</c:v>
                </c:pt>
                <c:pt idx="216">
                  <c:v>8</c:v>
                </c:pt>
                <c:pt idx="217">
                  <c:v>11</c:v>
                </c:pt>
                <c:pt idx="218">
                  <c:v>9</c:v>
                </c:pt>
                <c:pt idx="219">
                  <c:v>10</c:v>
                </c:pt>
                <c:pt idx="220">
                  <c:v>13</c:v>
                </c:pt>
                <c:pt idx="221">
                  <c:v>5</c:v>
                </c:pt>
                <c:pt idx="222">
                  <c:v>10</c:v>
                </c:pt>
                <c:pt idx="223">
                  <c:v>9</c:v>
                </c:pt>
                <c:pt idx="224">
                  <c:v>7</c:v>
                </c:pt>
                <c:pt idx="225">
                  <c:v>13</c:v>
                </c:pt>
                <c:pt idx="226">
                  <c:v>13</c:v>
                </c:pt>
                <c:pt idx="227">
                  <c:v>11</c:v>
                </c:pt>
                <c:pt idx="228">
                  <c:v>5</c:v>
                </c:pt>
                <c:pt idx="229">
                  <c:v>6</c:v>
                </c:pt>
                <c:pt idx="230">
                  <c:v>12</c:v>
                </c:pt>
                <c:pt idx="231">
                  <c:v>18</c:v>
                </c:pt>
                <c:pt idx="232">
                  <c:v>9</c:v>
                </c:pt>
                <c:pt idx="233">
                  <c:v>8</c:v>
                </c:pt>
                <c:pt idx="234">
                  <c:v>11</c:v>
                </c:pt>
                <c:pt idx="235">
                  <c:v>8</c:v>
                </c:pt>
                <c:pt idx="236">
                  <c:v>6</c:v>
                </c:pt>
                <c:pt idx="237">
                  <c:v>10</c:v>
                </c:pt>
                <c:pt idx="238">
                  <c:v>8</c:v>
                </c:pt>
                <c:pt idx="239">
                  <c:v>5</c:v>
                </c:pt>
                <c:pt idx="240">
                  <c:v>13</c:v>
                </c:pt>
                <c:pt idx="241">
                  <c:v>12</c:v>
                </c:pt>
                <c:pt idx="242">
                  <c:v>10</c:v>
                </c:pt>
                <c:pt idx="243">
                  <c:v>7</c:v>
                </c:pt>
                <c:pt idx="244">
                  <c:v>9</c:v>
                </c:pt>
                <c:pt idx="245">
                  <c:v>17</c:v>
                </c:pt>
                <c:pt idx="246">
                  <c:v>9</c:v>
                </c:pt>
                <c:pt idx="247">
                  <c:v>7</c:v>
                </c:pt>
                <c:pt idx="248">
                  <c:v>16</c:v>
                </c:pt>
                <c:pt idx="249">
                  <c:v>7</c:v>
                </c:pt>
                <c:pt idx="250">
                  <c:v>10</c:v>
                </c:pt>
                <c:pt idx="251">
                  <c:v>12</c:v>
                </c:pt>
                <c:pt idx="252">
                  <c:v>11</c:v>
                </c:pt>
                <c:pt idx="253">
                  <c:v>17</c:v>
                </c:pt>
                <c:pt idx="254">
                  <c:v>11</c:v>
                </c:pt>
                <c:pt idx="255">
                  <c:v>9</c:v>
                </c:pt>
                <c:pt idx="256">
                  <c:v>9</c:v>
                </c:pt>
                <c:pt idx="257">
                  <c:v>11</c:v>
                </c:pt>
                <c:pt idx="258">
                  <c:v>9</c:v>
                </c:pt>
                <c:pt idx="259">
                  <c:v>11</c:v>
                </c:pt>
                <c:pt idx="260">
                  <c:v>5</c:v>
                </c:pt>
                <c:pt idx="261">
                  <c:v>8</c:v>
                </c:pt>
                <c:pt idx="262">
                  <c:v>13</c:v>
                </c:pt>
                <c:pt idx="263">
                  <c:v>8</c:v>
                </c:pt>
                <c:pt idx="264">
                  <c:v>10</c:v>
                </c:pt>
                <c:pt idx="265">
                  <c:v>9</c:v>
                </c:pt>
                <c:pt idx="266">
                  <c:v>10</c:v>
                </c:pt>
                <c:pt idx="267">
                  <c:v>11</c:v>
                </c:pt>
                <c:pt idx="268">
                  <c:v>12</c:v>
                </c:pt>
                <c:pt idx="269">
                  <c:v>14</c:v>
                </c:pt>
                <c:pt idx="270">
                  <c:v>13</c:v>
                </c:pt>
                <c:pt idx="271">
                  <c:v>10</c:v>
                </c:pt>
                <c:pt idx="272">
                  <c:v>6</c:v>
                </c:pt>
                <c:pt idx="273">
                  <c:v>8</c:v>
                </c:pt>
                <c:pt idx="274">
                  <c:v>9</c:v>
                </c:pt>
                <c:pt idx="275">
                  <c:v>7</c:v>
                </c:pt>
                <c:pt idx="276">
                  <c:v>8</c:v>
                </c:pt>
                <c:pt idx="277">
                  <c:v>11</c:v>
                </c:pt>
                <c:pt idx="278">
                  <c:v>9</c:v>
                </c:pt>
                <c:pt idx="279">
                  <c:v>10</c:v>
                </c:pt>
                <c:pt idx="280">
                  <c:v>14</c:v>
                </c:pt>
                <c:pt idx="281">
                  <c:v>21</c:v>
                </c:pt>
                <c:pt idx="282">
                  <c:v>18</c:v>
                </c:pt>
                <c:pt idx="283">
                  <c:v>12</c:v>
                </c:pt>
                <c:pt idx="284">
                  <c:v>10</c:v>
                </c:pt>
                <c:pt idx="285">
                  <c:v>9</c:v>
                </c:pt>
                <c:pt idx="286">
                  <c:v>6</c:v>
                </c:pt>
                <c:pt idx="287">
                  <c:v>11</c:v>
                </c:pt>
                <c:pt idx="288">
                  <c:v>11</c:v>
                </c:pt>
                <c:pt idx="289">
                  <c:v>9</c:v>
                </c:pt>
                <c:pt idx="290">
                  <c:v>13</c:v>
                </c:pt>
                <c:pt idx="291">
                  <c:v>12</c:v>
                </c:pt>
                <c:pt idx="292">
                  <c:v>6</c:v>
                </c:pt>
                <c:pt idx="293">
                  <c:v>9</c:v>
                </c:pt>
                <c:pt idx="294">
                  <c:v>6</c:v>
                </c:pt>
                <c:pt idx="295">
                  <c:v>9</c:v>
                </c:pt>
                <c:pt idx="296">
                  <c:v>14</c:v>
                </c:pt>
                <c:pt idx="297">
                  <c:v>11</c:v>
                </c:pt>
                <c:pt idx="298">
                  <c:v>14</c:v>
                </c:pt>
                <c:pt idx="299">
                  <c:v>7</c:v>
                </c:pt>
                <c:pt idx="300">
                  <c:v>12</c:v>
                </c:pt>
                <c:pt idx="301">
                  <c:v>16</c:v>
                </c:pt>
                <c:pt idx="302">
                  <c:v>11</c:v>
                </c:pt>
                <c:pt idx="303">
                  <c:v>9</c:v>
                </c:pt>
                <c:pt idx="304">
                  <c:v>8</c:v>
                </c:pt>
                <c:pt idx="305">
                  <c:v>8</c:v>
                </c:pt>
                <c:pt idx="306">
                  <c:v>14</c:v>
                </c:pt>
                <c:pt idx="307">
                  <c:v>10</c:v>
                </c:pt>
                <c:pt idx="308">
                  <c:v>9</c:v>
                </c:pt>
                <c:pt idx="309">
                  <c:v>10</c:v>
                </c:pt>
                <c:pt idx="310">
                  <c:v>8</c:v>
                </c:pt>
                <c:pt idx="311">
                  <c:v>6</c:v>
                </c:pt>
                <c:pt idx="312">
                  <c:v>7</c:v>
                </c:pt>
                <c:pt idx="313">
                  <c:v>9</c:v>
                </c:pt>
                <c:pt idx="314">
                  <c:v>7</c:v>
                </c:pt>
                <c:pt idx="315">
                  <c:v>15</c:v>
                </c:pt>
                <c:pt idx="316">
                  <c:v>6</c:v>
                </c:pt>
                <c:pt idx="317">
                  <c:v>10</c:v>
                </c:pt>
                <c:pt idx="318">
                  <c:v>12</c:v>
                </c:pt>
                <c:pt idx="319">
                  <c:v>5</c:v>
                </c:pt>
                <c:pt idx="320">
                  <c:v>9</c:v>
                </c:pt>
                <c:pt idx="321">
                  <c:v>14</c:v>
                </c:pt>
                <c:pt idx="322">
                  <c:v>6</c:v>
                </c:pt>
                <c:pt idx="323">
                  <c:v>11</c:v>
                </c:pt>
                <c:pt idx="324">
                  <c:v>11</c:v>
                </c:pt>
                <c:pt idx="325">
                  <c:v>9</c:v>
                </c:pt>
                <c:pt idx="326">
                  <c:v>15</c:v>
                </c:pt>
                <c:pt idx="327">
                  <c:v>9</c:v>
                </c:pt>
                <c:pt idx="328">
                  <c:v>17</c:v>
                </c:pt>
                <c:pt idx="329">
                  <c:v>7</c:v>
                </c:pt>
                <c:pt idx="330">
                  <c:v>7</c:v>
                </c:pt>
                <c:pt idx="331">
                  <c:v>9</c:v>
                </c:pt>
                <c:pt idx="332">
                  <c:v>8</c:v>
                </c:pt>
                <c:pt idx="333">
                  <c:v>12</c:v>
                </c:pt>
                <c:pt idx="334">
                  <c:v>11</c:v>
                </c:pt>
                <c:pt idx="335">
                  <c:v>13</c:v>
                </c:pt>
                <c:pt idx="336">
                  <c:v>12</c:v>
                </c:pt>
                <c:pt idx="337">
                  <c:v>3</c:v>
                </c:pt>
                <c:pt idx="338">
                  <c:v>10</c:v>
                </c:pt>
                <c:pt idx="339">
                  <c:v>8</c:v>
                </c:pt>
                <c:pt idx="340">
                  <c:v>11</c:v>
                </c:pt>
                <c:pt idx="341">
                  <c:v>9</c:v>
                </c:pt>
                <c:pt idx="342">
                  <c:v>10</c:v>
                </c:pt>
                <c:pt idx="343">
                  <c:v>9</c:v>
                </c:pt>
                <c:pt idx="344">
                  <c:v>12</c:v>
                </c:pt>
                <c:pt idx="345">
                  <c:v>8</c:v>
                </c:pt>
                <c:pt idx="346">
                  <c:v>12</c:v>
                </c:pt>
                <c:pt idx="347">
                  <c:v>5</c:v>
                </c:pt>
                <c:pt idx="348">
                  <c:v>9</c:v>
                </c:pt>
                <c:pt idx="349">
                  <c:v>10</c:v>
                </c:pt>
                <c:pt idx="350">
                  <c:v>20</c:v>
                </c:pt>
                <c:pt idx="351">
                  <c:v>11</c:v>
                </c:pt>
                <c:pt idx="352">
                  <c:v>9</c:v>
                </c:pt>
                <c:pt idx="353">
                  <c:v>8</c:v>
                </c:pt>
                <c:pt idx="354">
                  <c:v>12</c:v>
                </c:pt>
                <c:pt idx="355">
                  <c:v>8</c:v>
                </c:pt>
                <c:pt idx="356">
                  <c:v>7</c:v>
                </c:pt>
                <c:pt idx="357">
                  <c:v>10</c:v>
                </c:pt>
                <c:pt idx="358">
                  <c:v>8</c:v>
                </c:pt>
                <c:pt idx="359">
                  <c:v>10</c:v>
                </c:pt>
                <c:pt idx="360">
                  <c:v>6</c:v>
                </c:pt>
                <c:pt idx="361">
                  <c:v>5</c:v>
                </c:pt>
                <c:pt idx="362">
                  <c:v>12</c:v>
                </c:pt>
                <c:pt idx="363">
                  <c:v>11</c:v>
                </c:pt>
                <c:pt idx="364">
                  <c:v>8</c:v>
                </c:pt>
                <c:pt idx="365">
                  <c:v>9</c:v>
                </c:pt>
                <c:pt idx="366">
                  <c:v>12</c:v>
                </c:pt>
                <c:pt idx="367">
                  <c:v>10</c:v>
                </c:pt>
                <c:pt idx="368">
                  <c:v>4</c:v>
                </c:pt>
                <c:pt idx="369">
                  <c:v>7</c:v>
                </c:pt>
                <c:pt idx="370">
                  <c:v>11</c:v>
                </c:pt>
                <c:pt idx="371">
                  <c:v>10</c:v>
                </c:pt>
                <c:pt idx="372">
                  <c:v>10</c:v>
                </c:pt>
                <c:pt idx="373">
                  <c:v>17</c:v>
                </c:pt>
                <c:pt idx="374">
                  <c:v>11</c:v>
                </c:pt>
                <c:pt idx="375">
                  <c:v>10</c:v>
                </c:pt>
                <c:pt idx="376">
                  <c:v>9</c:v>
                </c:pt>
                <c:pt idx="377">
                  <c:v>8</c:v>
                </c:pt>
                <c:pt idx="378">
                  <c:v>7</c:v>
                </c:pt>
                <c:pt idx="379">
                  <c:v>15</c:v>
                </c:pt>
                <c:pt idx="380">
                  <c:v>8</c:v>
                </c:pt>
                <c:pt idx="381">
                  <c:v>8</c:v>
                </c:pt>
                <c:pt idx="382">
                  <c:v>17</c:v>
                </c:pt>
                <c:pt idx="383">
                  <c:v>15</c:v>
                </c:pt>
                <c:pt idx="384">
                  <c:v>14</c:v>
                </c:pt>
                <c:pt idx="385">
                  <c:v>9</c:v>
                </c:pt>
                <c:pt idx="386">
                  <c:v>6</c:v>
                </c:pt>
                <c:pt idx="387">
                  <c:v>8</c:v>
                </c:pt>
                <c:pt idx="388">
                  <c:v>9</c:v>
                </c:pt>
                <c:pt idx="389">
                  <c:v>5</c:v>
                </c:pt>
                <c:pt idx="390">
                  <c:v>4</c:v>
                </c:pt>
                <c:pt idx="391">
                  <c:v>12</c:v>
                </c:pt>
                <c:pt idx="392">
                  <c:v>10</c:v>
                </c:pt>
                <c:pt idx="393">
                  <c:v>15</c:v>
                </c:pt>
                <c:pt idx="394">
                  <c:v>11</c:v>
                </c:pt>
                <c:pt idx="395">
                  <c:v>8</c:v>
                </c:pt>
                <c:pt idx="396">
                  <c:v>12</c:v>
                </c:pt>
                <c:pt idx="397">
                  <c:v>18</c:v>
                </c:pt>
                <c:pt idx="398">
                  <c:v>15</c:v>
                </c:pt>
                <c:pt idx="399">
                  <c:v>9</c:v>
                </c:pt>
                <c:pt idx="400">
                  <c:v>15</c:v>
                </c:pt>
                <c:pt idx="401">
                  <c:v>10</c:v>
                </c:pt>
                <c:pt idx="402">
                  <c:v>10</c:v>
                </c:pt>
                <c:pt idx="403">
                  <c:v>7</c:v>
                </c:pt>
                <c:pt idx="404">
                  <c:v>7</c:v>
                </c:pt>
                <c:pt idx="405">
                  <c:v>10</c:v>
                </c:pt>
                <c:pt idx="406">
                  <c:v>13</c:v>
                </c:pt>
                <c:pt idx="407">
                  <c:v>7</c:v>
                </c:pt>
                <c:pt idx="408">
                  <c:v>9</c:v>
                </c:pt>
                <c:pt idx="409">
                  <c:v>4</c:v>
                </c:pt>
                <c:pt idx="410">
                  <c:v>8</c:v>
                </c:pt>
                <c:pt idx="411">
                  <c:v>24</c:v>
                </c:pt>
                <c:pt idx="412">
                  <c:v>11</c:v>
                </c:pt>
                <c:pt idx="413">
                  <c:v>11</c:v>
                </c:pt>
                <c:pt idx="414">
                  <c:v>9</c:v>
                </c:pt>
                <c:pt idx="415">
                  <c:v>18</c:v>
                </c:pt>
                <c:pt idx="416">
                  <c:v>8</c:v>
                </c:pt>
                <c:pt idx="417">
                  <c:v>11</c:v>
                </c:pt>
                <c:pt idx="418">
                  <c:v>11</c:v>
                </c:pt>
                <c:pt idx="419">
                  <c:v>8</c:v>
                </c:pt>
                <c:pt idx="420">
                  <c:v>9</c:v>
                </c:pt>
                <c:pt idx="421">
                  <c:v>7</c:v>
                </c:pt>
                <c:pt idx="422">
                  <c:v>11</c:v>
                </c:pt>
                <c:pt idx="423">
                  <c:v>21</c:v>
                </c:pt>
                <c:pt idx="424">
                  <c:v>15</c:v>
                </c:pt>
                <c:pt idx="425">
                  <c:v>9</c:v>
                </c:pt>
                <c:pt idx="426">
                  <c:v>7</c:v>
                </c:pt>
                <c:pt idx="427">
                  <c:v>11</c:v>
                </c:pt>
                <c:pt idx="428">
                  <c:v>17</c:v>
                </c:pt>
                <c:pt idx="429">
                  <c:v>7</c:v>
                </c:pt>
                <c:pt idx="430">
                  <c:v>12</c:v>
                </c:pt>
                <c:pt idx="431">
                  <c:v>7</c:v>
                </c:pt>
                <c:pt idx="432">
                  <c:v>11</c:v>
                </c:pt>
                <c:pt idx="433">
                  <c:v>7</c:v>
                </c:pt>
                <c:pt idx="434">
                  <c:v>10</c:v>
                </c:pt>
                <c:pt idx="435">
                  <c:v>11</c:v>
                </c:pt>
                <c:pt idx="436">
                  <c:v>9</c:v>
                </c:pt>
                <c:pt idx="437">
                  <c:v>13</c:v>
                </c:pt>
                <c:pt idx="438">
                  <c:v>8</c:v>
                </c:pt>
                <c:pt idx="439">
                  <c:v>10</c:v>
                </c:pt>
                <c:pt idx="440">
                  <c:v>9</c:v>
                </c:pt>
                <c:pt idx="441">
                  <c:v>7</c:v>
                </c:pt>
                <c:pt idx="442">
                  <c:v>8</c:v>
                </c:pt>
                <c:pt idx="443">
                  <c:v>13</c:v>
                </c:pt>
                <c:pt idx="444">
                  <c:v>12</c:v>
                </c:pt>
                <c:pt idx="445">
                  <c:v>7</c:v>
                </c:pt>
                <c:pt idx="446">
                  <c:v>10</c:v>
                </c:pt>
                <c:pt idx="447">
                  <c:v>10</c:v>
                </c:pt>
                <c:pt idx="448">
                  <c:v>12</c:v>
                </c:pt>
                <c:pt idx="449">
                  <c:v>10</c:v>
                </c:pt>
                <c:pt idx="450">
                  <c:v>6</c:v>
                </c:pt>
                <c:pt idx="451">
                  <c:v>9</c:v>
                </c:pt>
                <c:pt idx="452">
                  <c:v>19</c:v>
                </c:pt>
                <c:pt idx="453">
                  <c:v>10</c:v>
                </c:pt>
                <c:pt idx="454">
                  <c:v>10</c:v>
                </c:pt>
                <c:pt idx="455">
                  <c:v>9</c:v>
                </c:pt>
                <c:pt idx="456">
                  <c:v>4</c:v>
                </c:pt>
                <c:pt idx="457">
                  <c:v>9</c:v>
                </c:pt>
                <c:pt idx="458">
                  <c:v>10</c:v>
                </c:pt>
                <c:pt idx="459">
                  <c:v>9</c:v>
                </c:pt>
                <c:pt idx="460">
                  <c:v>7</c:v>
                </c:pt>
                <c:pt idx="461">
                  <c:v>9</c:v>
                </c:pt>
                <c:pt idx="462">
                  <c:v>9</c:v>
                </c:pt>
                <c:pt idx="463">
                  <c:v>10</c:v>
                </c:pt>
                <c:pt idx="464">
                  <c:v>9</c:v>
                </c:pt>
                <c:pt idx="465">
                  <c:v>18</c:v>
                </c:pt>
                <c:pt idx="466">
                  <c:v>8</c:v>
                </c:pt>
                <c:pt idx="467">
                  <c:v>11</c:v>
                </c:pt>
                <c:pt idx="468">
                  <c:v>8</c:v>
                </c:pt>
                <c:pt idx="469">
                  <c:v>23</c:v>
                </c:pt>
                <c:pt idx="470">
                  <c:v>6</c:v>
                </c:pt>
                <c:pt idx="471">
                  <c:v>12</c:v>
                </c:pt>
                <c:pt idx="472">
                  <c:v>9</c:v>
                </c:pt>
                <c:pt idx="473">
                  <c:v>12</c:v>
                </c:pt>
                <c:pt idx="474">
                  <c:v>13</c:v>
                </c:pt>
                <c:pt idx="475">
                  <c:v>10</c:v>
                </c:pt>
                <c:pt idx="476">
                  <c:v>11</c:v>
                </c:pt>
                <c:pt idx="477">
                  <c:v>12</c:v>
                </c:pt>
                <c:pt idx="478">
                  <c:v>9</c:v>
                </c:pt>
                <c:pt idx="479">
                  <c:v>6</c:v>
                </c:pt>
                <c:pt idx="480">
                  <c:v>11</c:v>
                </c:pt>
                <c:pt idx="481">
                  <c:v>9</c:v>
                </c:pt>
                <c:pt idx="482">
                  <c:v>8</c:v>
                </c:pt>
                <c:pt idx="483">
                  <c:v>8</c:v>
                </c:pt>
                <c:pt idx="484">
                  <c:v>16</c:v>
                </c:pt>
                <c:pt idx="485">
                  <c:v>13</c:v>
                </c:pt>
                <c:pt idx="486">
                  <c:v>14</c:v>
                </c:pt>
                <c:pt idx="487">
                  <c:v>7</c:v>
                </c:pt>
                <c:pt idx="488">
                  <c:v>10</c:v>
                </c:pt>
                <c:pt idx="489">
                  <c:v>9</c:v>
                </c:pt>
                <c:pt idx="490">
                  <c:v>8</c:v>
                </c:pt>
                <c:pt idx="491">
                  <c:v>10</c:v>
                </c:pt>
                <c:pt idx="492">
                  <c:v>6</c:v>
                </c:pt>
                <c:pt idx="493">
                  <c:v>6</c:v>
                </c:pt>
                <c:pt idx="494">
                  <c:v>11</c:v>
                </c:pt>
                <c:pt idx="495">
                  <c:v>10</c:v>
                </c:pt>
                <c:pt idx="496">
                  <c:v>10</c:v>
                </c:pt>
                <c:pt idx="497">
                  <c:v>10</c:v>
                </c:pt>
                <c:pt idx="498">
                  <c:v>11</c:v>
                </c:pt>
                <c:pt idx="499">
                  <c:v>17</c:v>
                </c:pt>
                <c:pt idx="500">
                  <c:v>12</c:v>
                </c:pt>
                <c:pt idx="501">
                  <c:v>9</c:v>
                </c:pt>
                <c:pt idx="502">
                  <c:v>8</c:v>
                </c:pt>
                <c:pt idx="503">
                  <c:v>9</c:v>
                </c:pt>
                <c:pt idx="504">
                  <c:v>9</c:v>
                </c:pt>
                <c:pt idx="505">
                  <c:v>7</c:v>
                </c:pt>
                <c:pt idx="506">
                  <c:v>9</c:v>
                </c:pt>
                <c:pt idx="507">
                  <c:v>9</c:v>
                </c:pt>
                <c:pt idx="508">
                  <c:v>12</c:v>
                </c:pt>
                <c:pt idx="509">
                  <c:v>11</c:v>
                </c:pt>
                <c:pt idx="510">
                  <c:v>9</c:v>
                </c:pt>
                <c:pt idx="511">
                  <c:v>9</c:v>
                </c:pt>
                <c:pt idx="512">
                  <c:v>8</c:v>
                </c:pt>
                <c:pt idx="513">
                  <c:v>8</c:v>
                </c:pt>
                <c:pt idx="514">
                  <c:v>9</c:v>
                </c:pt>
                <c:pt idx="515">
                  <c:v>7</c:v>
                </c:pt>
                <c:pt idx="516">
                  <c:v>11</c:v>
                </c:pt>
                <c:pt idx="517">
                  <c:v>10</c:v>
                </c:pt>
                <c:pt idx="518">
                  <c:v>11</c:v>
                </c:pt>
                <c:pt idx="519">
                  <c:v>9</c:v>
                </c:pt>
                <c:pt idx="520">
                  <c:v>10</c:v>
                </c:pt>
                <c:pt idx="521">
                  <c:v>15</c:v>
                </c:pt>
                <c:pt idx="522">
                  <c:v>6</c:v>
                </c:pt>
                <c:pt idx="523">
                  <c:v>14</c:v>
                </c:pt>
                <c:pt idx="524">
                  <c:v>8</c:v>
                </c:pt>
                <c:pt idx="525">
                  <c:v>10</c:v>
                </c:pt>
                <c:pt idx="526">
                  <c:v>16</c:v>
                </c:pt>
                <c:pt idx="527">
                  <c:v>7</c:v>
                </c:pt>
                <c:pt idx="528">
                  <c:v>9</c:v>
                </c:pt>
                <c:pt idx="529">
                  <c:v>8</c:v>
                </c:pt>
                <c:pt idx="530">
                  <c:v>10</c:v>
                </c:pt>
                <c:pt idx="531">
                  <c:v>7</c:v>
                </c:pt>
                <c:pt idx="532">
                  <c:v>12</c:v>
                </c:pt>
                <c:pt idx="533">
                  <c:v>6</c:v>
                </c:pt>
                <c:pt idx="534">
                  <c:v>11</c:v>
                </c:pt>
                <c:pt idx="535">
                  <c:v>9</c:v>
                </c:pt>
                <c:pt idx="536">
                  <c:v>20</c:v>
                </c:pt>
                <c:pt idx="537">
                  <c:v>6</c:v>
                </c:pt>
                <c:pt idx="538">
                  <c:v>12</c:v>
                </c:pt>
                <c:pt idx="539">
                  <c:v>8</c:v>
                </c:pt>
                <c:pt idx="540">
                  <c:v>14</c:v>
                </c:pt>
                <c:pt idx="541">
                  <c:v>8</c:v>
                </c:pt>
                <c:pt idx="542">
                  <c:v>10</c:v>
                </c:pt>
                <c:pt idx="543">
                  <c:v>8</c:v>
                </c:pt>
                <c:pt idx="544">
                  <c:v>9</c:v>
                </c:pt>
                <c:pt idx="545">
                  <c:v>10</c:v>
                </c:pt>
                <c:pt idx="546">
                  <c:v>14</c:v>
                </c:pt>
                <c:pt idx="547">
                  <c:v>8</c:v>
                </c:pt>
                <c:pt idx="548">
                  <c:v>8</c:v>
                </c:pt>
                <c:pt idx="549">
                  <c:v>5</c:v>
                </c:pt>
                <c:pt idx="550">
                  <c:v>8</c:v>
                </c:pt>
                <c:pt idx="551">
                  <c:v>8</c:v>
                </c:pt>
                <c:pt idx="552">
                  <c:v>12</c:v>
                </c:pt>
                <c:pt idx="553">
                  <c:v>16</c:v>
                </c:pt>
                <c:pt idx="554">
                  <c:v>6</c:v>
                </c:pt>
                <c:pt idx="555">
                  <c:v>9</c:v>
                </c:pt>
                <c:pt idx="556">
                  <c:v>6</c:v>
                </c:pt>
                <c:pt idx="557">
                  <c:v>9</c:v>
                </c:pt>
                <c:pt idx="558">
                  <c:v>11</c:v>
                </c:pt>
                <c:pt idx="559">
                  <c:v>10</c:v>
                </c:pt>
                <c:pt idx="560">
                  <c:v>8</c:v>
                </c:pt>
                <c:pt idx="561">
                  <c:v>10</c:v>
                </c:pt>
                <c:pt idx="562">
                  <c:v>14</c:v>
                </c:pt>
                <c:pt idx="563">
                  <c:v>13</c:v>
                </c:pt>
                <c:pt idx="564">
                  <c:v>11</c:v>
                </c:pt>
                <c:pt idx="565">
                  <c:v>9</c:v>
                </c:pt>
                <c:pt idx="566">
                  <c:v>9</c:v>
                </c:pt>
                <c:pt idx="567">
                  <c:v>8</c:v>
                </c:pt>
                <c:pt idx="568">
                  <c:v>10</c:v>
                </c:pt>
                <c:pt idx="569">
                  <c:v>9</c:v>
                </c:pt>
                <c:pt idx="570">
                  <c:v>8</c:v>
                </c:pt>
                <c:pt idx="571">
                  <c:v>17</c:v>
                </c:pt>
                <c:pt idx="572">
                  <c:v>12</c:v>
                </c:pt>
                <c:pt idx="573">
                  <c:v>6</c:v>
                </c:pt>
                <c:pt idx="574">
                  <c:v>10</c:v>
                </c:pt>
                <c:pt idx="575">
                  <c:v>6</c:v>
                </c:pt>
                <c:pt idx="576">
                  <c:v>11</c:v>
                </c:pt>
                <c:pt idx="577">
                  <c:v>7</c:v>
                </c:pt>
                <c:pt idx="578">
                  <c:v>13</c:v>
                </c:pt>
                <c:pt idx="579">
                  <c:v>11</c:v>
                </c:pt>
                <c:pt idx="580">
                  <c:v>7</c:v>
                </c:pt>
                <c:pt idx="581">
                  <c:v>14</c:v>
                </c:pt>
                <c:pt idx="582">
                  <c:v>8</c:v>
                </c:pt>
                <c:pt idx="583">
                  <c:v>14</c:v>
                </c:pt>
                <c:pt idx="584">
                  <c:v>10</c:v>
                </c:pt>
                <c:pt idx="585">
                  <c:v>7</c:v>
                </c:pt>
                <c:pt idx="586">
                  <c:v>12</c:v>
                </c:pt>
                <c:pt idx="587">
                  <c:v>19</c:v>
                </c:pt>
                <c:pt idx="588">
                  <c:v>12</c:v>
                </c:pt>
                <c:pt idx="589">
                  <c:v>6</c:v>
                </c:pt>
                <c:pt idx="590">
                  <c:v>11</c:v>
                </c:pt>
                <c:pt idx="591">
                  <c:v>3</c:v>
                </c:pt>
                <c:pt idx="592">
                  <c:v>7</c:v>
                </c:pt>
                <c:pt idx="593">
                  <c:v>7</c:v>
                </c:pt>
                <c:pt idx="594">
                  <c:v>8</c:v>
                </c:pt>
                <c:pt idx="595">
                  <c:v>9</c:v>
                </c:pt>
                <c:pt idx="596">
                  <c:v>10</c:v>
                </c:pt>
                <c:pt idx="597">
                  <c:v>11</c:v>
                </c:pt>
                <c:pt idx="598">
                  <c:v>9</c:v>
                </c:pt>
                <c:pt idx="599">
                  <c:v>15</c:v>
                </c:pt>
                <c:pt idx="600">
                  <c:v>9</c:v>
                </c:pt>
                <c:pt idx="601">
                  <c:v>10</c:v>
                </c:pt>
                <c:pt idx="602">
                  <c:v>14</c:v>
                </c:pt>
                <c:pt idx="603">
                  <c:v>9</c:v>
                </c:pt>
                <c:pt idx="604">
                  <c:v>9</c:v>
                </c:pt>
                <c:pt idx="605">
                  <c:v>9</c:v>
                </c:pt>
                <c:pt idx="606">
                  <c:v>8</c:v>
                </c:pt>
                <c:pt idx="607">
                  <c:v>6</c:v>
                </c:pt>
                <c:pt idx="608">
                  <c:v>7</c:v>
                </c:pt>
                <c:pt idx="609">
                  <c:v>9</c:v>
                </c:pt>
                <c:pt idx="610">
                  <c:v>12</c:v>
                </c:pt>
                <c:pt idx="611">
                  <c:v>8</c:v>
                </c:pt>
                <c:pt idx="612">
                  <c:v>6</c:v>
                </c:pt>
                <c:pt idx="613">
                  <c:v>13</c:v>
                </c:pt>
                <c:pt idx="614">
                  <c:v>6</c:v>
                </c:pt>
                <c:pt idx="615">
                  <c:v>10</c:v>
                </c:pt>
                <c:pt idx="616">
                  <c:v>8</c:v>
                </c:pt>
                <c:pt idx="617">
                  <c:v>8</c:v>
                </c:pt>
                <c:pt idx="618">
                  <c:v>9</c:v>
                </c:pt>
                <c:pt idx="619">
                  <c:v>9</c:v>
                </c:pt>
                <c:pt idx="620">
                  <c:v>8</c:v>
                </c:pt>
                <c:pt idx="621">
                  <c:v>15</c:v>
                </c:pt>
                <c:pt idx="622">
                  <c:v>10</c:v>
                </c:pt>
                <c:pt idx="623">
                  <c:v>17</c:v>
                </c:pt>
                <c:pt idx="624">
                  <c:v>11</c:v>
                </c:pt>
                <c:pt idx="625">
                  <c:v>11</c:v>
                </c:pt>
                <c:pt idx="626">
                  <c:v>16</c:v>
                </c:pt>
                <c:pt idx="627">
                  <c:v>10</c:v>
                </c:pt>
                <c:pt idx="628">
                  <c:v>11</c:v>
                </c:pt>
                <c:pt idx="629">
                  <c:v>8</c:v>
                </c:pt>
                <c:pt idx="630">
                  <c:v>9</c:v>
                </c:pt>
                <c:pt idx="631">
                  <c:v>14</c:v>
                </c:pt>
                <c:pt idx="632">
                  <c:v>11</c:v>
                </c:pt>
                <c:pt idx="633">
                  <c:v>10</c:v>
                </c:pt>
                <c:pt idx="634">
                  <c:v>6</c:v>
                </c:pt>
                <c:pt idx="635">
                  <c:v>12</c:v>
                </c:pt>
                <c:pt idx="636">
                  <c:v>10</c:v>
                </c:pt>
                <c:pt idx="637">
                  <c:v>10</c:v>
                </c:pt>
                <c:pt idx="638">
                  <c:v>10</c:v>
                </c:pt>
                <c:pt idx="639">
                  <c:v>8</c:v>
                </c:pt>
                <c:pt idx="640">
                  <c:v>11</c:v>
                </c:pt>
                <c:pt idx="641">
                  <c:v>9</c:v>
                </c:pt>
                <c:pt idx="642">
                  <c:v>11</c:v>
                </c:pt>
                <c:pt idx="643">
                  <c:v>10</c:v>
                </c:pt>
                <c:pt idx="644">
                  <c:v>15</c:v>
                </c:pt>
                <c:pt idx="645">
                  <c:v>12</c:v>
                </c:pt>
                <c:pt idx="646">
                  <c:v>8</c:v>
                </c:pt>
                <c:pt idx="647">
                  <c:v>7</c:v>
                </c:pt>
                <c:pt idx="648">
                  <c:v>15</c:v>
                </c:pt>
                <c:pt idx="649">
                  <c:v>11</c:v>
                </c:pt>
                <c:pt idx="650">
                  <c:v>17</c:v>
                </c:pt>
                <c:pt idx="651">
                  <c:v>11</c:v>
                </c:pt>
                <c:pt idx="652">
                  <c:v>8</c:v>
                </c:pt>
                <c:pt idx="653">
                  <c:v>10</c:v>
                </c:pt>
                <c:pt idx="654">
                  <c:v>11</c:v>
                </c:pt>
                <c:pt idx="655">
                  <c:v>3</c:v>
                </c:pt>
                <c:pt idx="656">
                  <c:v>9</c:v>
                </c:pt>
                <c:pt idx="657">
                  <c:v>8</c:v>
                </c:pt>
                <c:pt idx="658">
                  <c:v>10</c:v>
                </c:pt>
                <c:pt idx="659">
                  <c:v>11</c:v>
                </c:pt>
                <c:pt idx="660">
                  <c:v>15</c:v>
                </c:pt>
                <c:pt idx="661">
                  <c:v>18</c:v>
                </c:pt>
                <c:pt idx="662">
                  <c:v>13</c:v>
                </c:pt>
                <c:pt idx="663">
                  <c:v>8</c:v>
                </c:pt>
                <c:pt idx="664">
                  <c:v>16</c:v>
                </c:pt>
                <c:pt idx="665">
                  <c:v>8</c:v>
                </c:pt>
                <c:pt idx="666">
                  <c:v>12</c:v>
                </c:pt>
                <c:pt idx="667">
                  <c:v>4</c:v>
                </c:pt>
                <c:pt idx="668">
                  <c:v>10</c:v>
                </c:pt>
                <c:pt idx="669">
                  <c:v>9</c:v>
                </c:pt>
                <c:pt idx="670">
                  <c:v>21</c:v>
                </c:pt>
                <c:pt idx="671">
                  <c:v>6</c:v>
                </c:pt>
                <c:pt idx="672">
                  <c:v>10</c:v>
                </c:pt>
                <c:pt idx="673">
                  <c:v>5</c:v>
                </c:pt>
                <c:pt idx="674">
                  <c:v>6</c:v>
                </c:pt>
                <c:pt idx="675">
                  <c:v>12</c:v>
                </c:pt>
                <c:pt idx="676">
                  <c:v>5</c:v>
                </c:pt>
                <c:pt idx="677">
                  <c:v>9</c:v>
                </c:pt>
                <c:pt idx="678">
                  <c:v>8</c:v>
                </c:pt>
                <c:pt idx="679">
                  <c:v>6</c:v>
                </c:pt>
                <c:pt idx="680">
                  <c:v>18</c:v>
                </c:pt>
                <c:pt idx="681">
                  <c:v>6</c:v>
                </c:pt>
                <c:pt idx="682">
                  <c:v>20</c:v>
                </c:pt>
                <c:pt idx="683">
                  <c:v>10</c:v>
                </c:pt>
                <c:pt idx="684">
                  <c:v>13</c:v>
                </c:pt>
                <c:pt idx="685">
                  <c:v>10</c:v>
                </c:pt>
                <c:pt idx="686">
                  <c:v>10</c:v>
                </c:pt>
                <c:pt idx="687">
                  <c:v>11</c:v>
                </c:pt>
                <c:pt idx="688">
                  <c:v>22</c:v>
                </c:pt>
                <c:pt idx="689">
                  <c:v>8</c:v>
                </c:pt>
                <c:pt idx="690">
                  <c:v>9</c:v>
                </c:pt>
                <c:pt idx="691">
                  <c:v>6</c:v>
                </c:pt>
                <c:pt idx="692">
                  <c:v>17</c:v>
                </c:pt>
                <c:pt idx="693">
                  <c:v>9</c:v>
                </c:pt>
                <c:pt idx="694">
                  <c:v>12</c:v>
                </c:pt>
                <c:pt idx="695">
                  <c:v>11</c:v>
                </c:pt>
                <c:pt idx="696">
                  <c:v>7</c:v>
                </c:pt>
                <c:pt idx="697">
                  <c:v>12</c:v>
                </c:pt>
                <c:pt idx="698">
                  <c:v>9</c:v>
                </c:pt>
                <c:pt idx="699">
                  <c:v>14</c:v>
                </c:pt>
                <c:pt idx="700">
                  <c:v>7</c:v>
                </c:pt>
                <c:pt idx="701">
                  <c:v>12</c:v>
                </c:pt>
                <c:pt idx="702">
                  <c:v>11</c:v>
                </c:pt>
                <c:pt idx="703">
                  <c:v>11</c:v>
                </c:pt>
                <c:pt idx="704">
                  <c:v>17</c:v>
                </c:pt>
                <c:pt idx="705">
                  <c:v>10</c:v>
                </c:pt>
                <c:pt idx="706">
                  <c:v>7</c:v>
                </c:pt>
                <c:pt idx="707">
                  <c:v>7</c:v>
                </c:pt>
                <c:pt idx="708">
                  <c:v>5</c:v>
                </c:pt>
                <c:pt idx="709">
                  <c:v>10</c:v>
                </c:pt>
                <c:pt idx="710">
                  <c:v>12</c:v>
                </c:pt>
                <c:pt idx="711">
                  <c:v>6</c:v>
                </c:pt>
                <c:pt idx="712">
                  <c:v>13</c:v>
                </c:pt>
                <c:pt idx="713">
                  <c:v>8</c:v>
                </c:pt>
                <c:pt idx="714">
                  <c:v>9</c:v>
                </c:pt>
                <c:pt idx="715">
                  <c:v>8</c:v>
                </c:pt>
                <c:pt idx="716">
                  <c:v>8</c:v>
                </c:pt>
                <c:pt idx="717">
                  <c:v>10</c:v>
                </c:pt>
                <c:pt idx="718">
                  <c:v>9</c:v>
                </c:pt>
                <c:pt idx="719">
                  <c:v>9</c:v>
                </c:pt>
                <c:pt idx="720">
                  <c:v>10</c:v>
                </c:pt>
                <c:pt idx="721">
                  <c:v>5</c:v>
                </c:pt>
                <c:pt idx="722">
                  <c:v>10</c:v>
                </c:pt>
                <c:pt idx="723">
                  <c:v>7</c:v>
                </c:pt>
                <c:pt idx="724">
                  <c:v>9</c:v>
                </c:pt>
                <c:pt idx="725">
                  <c:v>11</c:v>
                </c:pt>
                <c:pt idx="726">
                  <c:v>6</c:v>
                </c:pt>
                <c:pt idx="727">
                  <c:v>8</c:v>
                </c:pt>
                <c:pt idx="728">
                  <c:v>12</c:v>
                </c:pt>
                <c:pt idx="729">
                  <c:v>9</c:v>
                </c:pt>
                <c:pt idx="730">
                  <c:v>10</c:v>
                </c:pt>
                <c:pt idx="731">
                  <c:v>12</c:v>
                </c:pt>
                <c:pt idx="732">
                  <c:v>21</c:v>
                </c:pt>
                <c:pt idx="733">
                  <c:v>7</c:v>
                </c:pt>
                <c:pt idx="734">
                  <c:v>7</c:v>
                </c:pt>
                <c:pt idx="735">
                  <c:v>8</c:v>
                </c:pt>
                <c:pt idx="736">
                  <c:v>10</c:v>
                </c:pt>
                <c:pt idx="737">
                  <c:v>11</c:v>
                </c:pt>
                <c:pt idx="738">
                  <c:v>10</c:v>
                </c:pt>
                <c:pt idx="739">
                  <c:v>9</c:v>
                </c:pt>
                <c:pt idx="740">
                  <c:v>15</c:v>
                </c:pt>
                <c:pt idx="741">
                  <c:v>8</c:v>
                </c:pt>
                <c:pt idx="742">
                  <c:v>8</c:v>
                </c:pt>
                <c:pt idx="743">
                  <c:v>9</c:v>
                </c:pt>
                <c:pt idx="744">
                  <c:v>13</c:v>
                </c:pt>
                <c:pt idx="745">
                  <c:v>9</c:v>
                </c:pt>
                <c:pt idx="746">
                  <c:v>13</c:v>
                </c:pt>
                <c:pt idx="747">
                  <c:v>9</c:v>
                </c:pt>
                <c:pt idx="748">
                  <c:v>11</c:v>
                </c:pt>
                <c:pt idx="749">
                  <c:v>7</c:v>
                </c:pt>
                <c:pt idx="750">
                  <c:v>9</c:v>
                </c:pt>
                <c:pt idx="751">
                  <c:v>9</c:v>
                </c:pt>
                <c:pt idx="752">
                  <c:v>8</c:v>
                </c:pt>
                <c:pt idx="753">
                  <c:v>11</c:v>
                </c:pt>
                <c:pt idx="754">
                  <c:v>13</c:v>
                </c:pt>
                <c:pt idx="755">
                  <c:v>8</c:v>
                </c:pt>
                <c:pt idx="756">
                  <c:v>6</c:v>
                </c:pt>
                <c:pt idx="757">
                  <c:v>11</c:v>
                </c:pt>
                <c:pt idx="758">
                  <c:v>8</c:v>
                </c:pt>
                <c:pt idx="759">
                  <c:v>9</c:v>
                </c:pt>
                <c:pt idx="760">
                  <c:v>14</c:v>
                </c:pt>
                <c:pt idx="761">
                  <c:v>10</c:v>
                </c:pt>
                <c:pt idx="762">
                  <c:v>23</c:v>
                </c:pt>
                <c:pt idx="763">
                  <c:v>9</c:v>
                </c:pt>
                <c:pt idx="764">
                  <c:v>6</c:v>
                </c:pt>
                <c:pt idx="765">
                  <c:v>9</c:v>
                </c:pt>
                <c:pt idx="766">
                  <c:v>4</c:v>
                </c:pt>
                <c:pt idx="767">
                  <c:v>9</c:v>
                </c:pt>
                <c:pt idx="768">
                  <c:v>15</c:v>
                </c:pt>
                <c:pt idx="769">
                  <c:v>10</c:v>
                </c:pt>
                <c:pt idx="770">
                  <c:v>7</c:v>
                </c:pt>
                <c:pt idx="771">
                  <c:v>17</c:v>
                </c:pt>
                <c:pt idx="772">
                  <c:v>6</c:v>
                </c:pt>
                <c:pt idx="773">
                  <c:v>15</c:v>
                </c:pt>
                <c:pt idx="774">
                  <c:v>5</c:v>
                </c:pt>
                <c:pt idx="775">
                  <c:v>7</c:v>
                </c:pt>
                <c:pt idx="776">
                  <c:v>8</c:v>
                </c:pt>
                <c:pt idx="777">
                  <c:v>12</c:v>
                </c:pt>
                <c:pt idx="778">
                  <c:v>11</c:v>
                </c:pt>
                <c:pt idx="779">
                  <c:v>11</c:v>
                </c:pt>
                <c:pt idx="780">
                  <c:v>6</c:v>
                </c:pt>
                <c:pt idx="781">
                  <c:v>8</c:v>
                </c:pt>
                <c:pt idx="782">
                  <c:v>7</c:v>
                </c:pt>
                <c:pt idx="783">
                  <c:v>9</c:v>
                </c:pt>
                <c:pt idx="784">
                  <c:v>11</c:v>
                </c:pt>
                <c:pt idx="785">
                  <c:v>6</c:v>
                </c:pt>
                <c:pt idx="786">
                  <c:v>8</c:v>
                </c:pt>
                <c:pt idx="787">
                  <c:v>14</c:v>
                </c:pt>
                <c:pt idx="788">
                  <c:v>13</c:v>
                </c:pt>
                <c:pt idx="789">
                  <c:v>14</c:v>
                </c:pt>
                <c:pt idx="790">
                  <c:v>13</c:v>
                </c:pt>
                <c:pt idx="791">
                  <c:v>6</c:v>
                </c:pt>
                <c:pt idx="792">
                  <c:v>8</c:v>
                </c:pt>
                <c:pt idx="793">
                  <c:v>8</c:v>
                </c:pt>
                <c:pt idx="794">
                  <c:v>11</c:v>
                </c:pt>
                <c:pt idx="795">
                  <c:v>16</c:v>
                </c:pt>
                <c:pt idx="796">
                  <c:v>7</c:v>
                </c:pt>
                <c:pt idx="797">
                  <c:v>10</c:v>
                </c:pt>
                <c:pt idx="798">
                  <c:v>13</c:v>
                </c:pt>
                <c:pt idx="799">
                  <c:v>12</c:v>
                </c:pt>
                <c:pt idx="800">
                  <c:v>5</c:v>
                </c:pt>
                <c:pt idx="801">
                  <c:v>13</c:v>
                </c:pt>
                <c:pt idx="802">
                  <c:v>8</c:v>
                </c:pt>
                <c:pt idx="803">
                  <c:v>11</c:v>
                </c:pt>
                <c:pt idx="804">
                  <c:v>10</c:v>
                </c:pt>
                <c:pt idx="805">
                  <c:v>9</c:v>
                </c:pt>
                <c:pt idx="806">
                  <c:v>24</c:v>
                </c:pt>
                <c:pt idx="807">
                  <c:v>9</c:v>
                </c:pt>
                <c:pt idx="808">
                  <c:v>16</c:v>
                </c:pt>
                <c:pt idx="809">
                  <c:v>9</c:v>
                </c:pt>
                <c:pt idx="810">
                  <c:v>10</c:v>
                </c:pt>
                <c:pt idx="811">
                  <c:v>6</c:v>
                </c:pt>
                <c:pt idx="812">
                  <c:v>8</c:v>
                </c:pt>
                <c:pt idx="813">
                  <c:v>10</c:v>
                </c:pt>
                <c:pt idx="814">
                  <c:v>6</c:v>
                </c:pt>
                <c:pt idx="815">
                  <c:v>7</c:v>
                </c:pt>
                <c:pt idx="816">
                  <c:v>9</c:v>
                </c:pt>
                <c:pt idx="817">
                  <c:v>13</c:v>
                </c:pt>
                <c:pt idx="818">
                  <c:v>6</c:v>
                </c:pt>
                <c:pt idx="819">
                  <c:v>9</c:v>
                </c:pt>
                <c:pt idx="820">
                  <c:v>7</c:v>
                </c:pt>
                <c:pt idx="821">
                  <c:v>9</c:v>
                </c:pt>
                <c:pt idx="822">
                  <c:v>9</c:v>
                </c:pt>
                <c:pt idx="823">
                  <c:v>9</c:v>
                </c:pt>
                <c:pt idx="824">
                  <c:v>12</c:v>
                </c:pt>
                <c:pt idx="825">
                  <c:v>11</c:v>
                </c:pt>
                <c:pt idx="826">
                  <c:v>7</c:v>
                </c:pt>
                <c:pt idx="827">
                  <c:v>13</c:v>
                </c:pt>
                <c:pt idx="828">
                  <c:v>17</c:v>
                </c:pt>
                <c:pt idx="829">
                  <c:v>10</c:v>
                </c:pt>
                <c:pt idx="830">
                  <c:v>13</c:v>
                </c:pt>
                <c:pt idx="831">
                  <c:v>7</c:v>
                </c:pt>
                <c:pt idx="832">
                  <c:v>7</c:v>
                </c:pt>
                <c:pt idx="833">
                  <c:v>7</c:v>
                </c:pt>
                <c:pt idx="834">
                  <c:v>15</c:v>
                </c:pt>
                <c:pt idx="835">
                  <c:v>17</c:v>
                </c:pt>
                <c:pt idx="836">
                  <c:v>9</c:v>
                </c:pt>
                <c:pt idx="837">
                  <c:v>7</c:v>
                </c:pt>
                <c:pt idx="838">
                  <c:v>9</c:v>
                </c:pt>
                <c:pt idx="839">
                  <c:v>9</c:v>
                </c:pt>
                <c:pt idx="840">
                  <c:v>11</c:v>
                </c:pt>
                <c:pt idx="841">
                  <c:v>7</c:v>
                </c:pt>
                <c:pt idx="842">
                  <c:v>6</c:v>
                </c:pt>
                <c:pt idx="843">
                  <c:v>15</c:v>
                </c:pt>
                <c:pt idx="844">
                  <c:v>11</c:v>
                </c:pt>
                <c:pt idx="845">
                  <c:v>7</c:v>
                </c:pt>
                <c:pt idx="846">
                  <c:v>8</c:v>
                </c:pt>
                <c:pt idx="847">
                  <c:v>6</c:v>
                </c:pt>
                <c:pt idx="848">
                  <c:v>11</c:v>
                </c:pt>
                <c:pt idx="849">
                  <c:v>15</c:v>
                </c:pt>
                <c:pt idx="850">
                  <c:v>7</c:v>
                </c:pt>
                <c:pt idx="851">
                  <c:v>11</c:v>
                </c:pt>
                <c:pt idx="852">
                  <c:v>12</c:v>
                </c:pt>
                <c:pt idx="853">
                  <c:v>11</c:v>
                </c:pt>
                <c:pt idx="854">
                  <c:v>7</c:v>
                </c:pt>
                <c:pt idx="855">
                  <c:v>6</c:v>
                </c:pt>
                <c:pt idx="856">
                  <c:v>10</c:v>
                </c:pt>
                <c:pt idx="857">
                  <c:v>13</c:v>
                </c:pt>
                <c:pt idx="858">
                  <c:v>10</c:v>
                </c:pt>
                <c:pt idx="859">
                  <c:v>9</c:v>
                </c:pt>
                <c:pt idx="860">
                  <c:v>7</c:v>
                </c:pt>
                <c:pt idx="861">
                  <c:v>13</c:v>
                </c:pt>
                <c:pt idx="862">
                  <c:v>12</c:v>
                </c:pt>
                <c:pt idx="863">
                  <c:v>9</c:v>
                </c:pt>
                <c:pt idx="864">
                  <c:v>11</c:v>
                </c:pt>
                <c:pt idx="865">
                  <c:v>8</c:v>
                </c:pt>
                <c:pt idx="866">
                  <c:v>9</c:v>
                </c:pt>
                <c:pt idx="867">
                  <c:v>11</c:v>
                </c:pt>
                <c:pt idx="868">
                  <c:v>11</c:v>
                </c:pt>
                <c:pt idx="869">
                  <c:v>22</c:v>
                </c:pt>
                <c:pt idx="870">
                  <c:v>13</c:v>
                </c:pt>
                <c:pt idx="871">
                  <c:v>8</c:v>
                </c:pt>
                <c:pt idx="872">
                  <c:v>9</c:v>
                </c:pt>
                <c:pt idx="873">
                  <c:v>11</c:v>
                </c:pt>
                <c:pt idx="874">
                  <c:v>9</c:v>
                </c:pt>
                <c:pt idx="875">
                  <c:v>9</c:v>
                </c:pt>
                <c:pt idx="876">
                  <c:v>7</c:v>
                </c:pt>
                <c:pt idx="877">
                  <c:v>10</c:v>
                </c:pt>
                <c:pt idx="878">
                  <c:v>12</c:v>
                </c:pt>
                <c:pt idx="879">
                  <c:v>10</c:v>
                </c:pt>
                <c:pt idx="880">
                  <c:v>9</c:v>
                </c:pt>
                <c:pt idx="881">
                  <c:v>9</c:v>
                </c:pt>
                <c:pt idx="882">
                  <c:v>7</c:v>
                </c:pt>
                <c:pt idx="883">
                  <c:v>11</c:v>
                </c:pt>
                <c:pt idx="884">
                  <c:v>9</c:v>
                </c:pt>
                <c:pt idx="885">
                  <c:v>4</c:v>
                </c:pt>
                <c:pt idx="886">
                  <c:v>10</c:v>
                </c:pt>
                <c:pt idx="887">
                  <c:v>10</c:v>
                </c:pt>
                <c:pt idx="888">
                  <c:v>12</c:v>
                </c:pt>
                <c:pt idx="889">
                  <c:v>11</c:v>
                </c:pt>
                <c:pt idx="890">
                  <c:v>7</c:v>
                </c:pt>
                <c:pt idx="891">
                  <c:v>9</c:v>
                </c:pt>
                <c:pt idx="892">
                  <c:v>9</c:v>
                </c:pt>
                <c:pt idx="893">
                  <c:v>12</c:v>
                </c:pt>
                <c:pt idx="894">
                  <c:v>16</c:v>
                </c:pt>
                <c:pt idx="895">
                  <c:v>12</c:v>
                </c:pt>
                <c:pt idx="896">
                  <c:v>14</c:v>
                </c:pt>
                <c:pt idx="897">
                  <c:v>8</c:v>
                </c:pt>
                <c:pt idx="898">
                  <c:v>8</c:v>
                </c:pt>
                <c:pt idx="899">
                  <c:v>12</c:v>
                </c:pt>
                <c:pt idx="900">
                  <c:v>8</c:v>
                </c:pt>
                <c:pt idx="901">
                  <c:v>9</c:v>
                </c:pt>
                <c:pt idx="902">
                  <c:v>9</c:v>
                </c:pt>
                <c:pt idx="903">
                  <c:v>12</c:v>
                </c:pt>
                <c:pt idx="904">
                  <c:v>6</c:v>
                </c:pt>
                <c:pt idx="905">
                  <c:v>8</c:v>
                </c:pt>
                <c:pt idx="906">
                  <c:v>7</c:v>
                </c:pt>
                <c:pt idx="907">
                  <c:v>11</c:v>
                </c:pt>
                <c:pt idx="908">
                  <c:v>9</c:v>
                </c:pt>
                <c:pt idx="909">
                  <c:v>13</c:v>
                </c:pt>
                <c:pt idx="910">
                  <c:v>10</c:v>
                </c:pt>
                <c:pt idx="911">
                  <c:v>8</c:v>
                </c:pt>
                <c:pt idx="912">
                  <c:v>9</c:v>
                </c:pt>
                <c:pt idx="913">
                  <c:v>5</c:v>
                </c:pt>
                <c:pt idx="914">
                  <c:v>9</c:v>
                </c:pt>
                <c:pt idx="915">
                  <c:v>10</c:v>
                </c:pt>
                <c:pt idx="916">
                  <c:v>9</c:v>
                </c:pt>
                <c:pt idx="917">
                  <c:v>12</c:v>
                </c:pt>
                <c:pt idx="918">
                  <c:v>15</c:v>
                </c:pt>
                <c:pt idx="919">
                  <c:v>10</c:v>
                </c:pt>
                <c:pt idx="920">
                  <c:v>10</c:v>
                </c:pt>
                <c:pt idx="921">
                  <c:v>11</c:v>
                </c:pt>
                <c:pt idx="922">
                  <c:v>5</c:v>
                </c:pt>
                <c:pt idx="923">
                  <c:v>10</c:v>
                </c:pt>
                <c:pt idx="924">
                  <c:v>10</c:v>
                </c:pt>
                <c:pt idx="925">
                  <c:v>7</c:v>
                </c:pt>
                <c:pt idx="926">
                  <c:v>19</c:v>
                </c:pt>
                <c:pt idx="927">
                  <c:v>8</c:v>
                </c:pt>
                <c:pt idx="928">
                  <c:v>12</c:v>
                </c:pt>
                <c:pt idx="929">
                  <c:v>8</c:v>
                </c:pt>
                <c:pt idx="930">
                  <c:v>10</c:v>
                </c:pt>
                <c:pt idx="931">
                  <c:v>10</c:v>
                </c:pt>
                <c:pt idx="932">
                  <c:v>7</c:v>
                </c:pt>
                <c:pt idx="933">
                  <c:v>11</c:v>
                </c:pt>
                <c:pt idx="934">
                  <c:v>9</c:v>
                </c:pt>
                <c:pt idx="935">
                  <c:v>12</c:v>
                </c:pt>
                <c:pt idx="936">
                  <c:v>3</c:v>
                </c:pt>
                <c:pt idx="937">
                  <c:v>9</c:v>
                </c:pt>
                <c:pt idx="938">
                  <c:v>13</c:v>
                </c:pt>
                <c:pt idx="939">
                  <c:v>8</c:v>
                </c:pt>
                <c:pt idx="940">
                  <c:v>10</c:v>
                </c:pt>
                <c:pt idx="941">
                  <c:v>7</c:v>
                </c:pt>
                <c:pt idx="942">
                  <c:v>8</c:v>
                </c:pt>
                <c:pt idx="943">
                  <c:v>6</c:v>
                </c:pt>
                <c:pt idx="944">
                  <c:v>7</c:v>
                </c:pt>
                <c:pt idx="945">
                  <c:v>12</c:v>
                </c:pt>
                <c:pt idx="946">
                  <c:v>9</c:v>
                </c:pt>
                <c:pt idx="947">
                  <c:v>8</c:v>
                </c:pt>
                <c:pt idx="948">
                  <c:v>15</c:v>
                </c:pt>
                <c:pt idx="949">
                  <c:v>7</c:v>
                </c:pt>
                <c:pt idx="950">
                  <c:v>10</c:v>
                </c:pt>
                <c:pt idx="951">
                  <c:v>8</c:v>
                </c:pt>
                <c:pt idx="952">
                  <c:v>8</c:v>
                </c:pt>
                <c:pt idx="953">
                  <c:v>16</c:v>
                </c:pt>
                <c:pt idx="954">
                  <c:v>7</c:v>
                </c:pt>
                <c:pt idx="955">
                  <c:v>11</c:v>
                </c:pt>
                <c:pt idx="956">
                  <c:v>8</c:v>
                </c:pt>
                <c:pt idx="957">
                  <c:v>9</c:v>
                </c:pt>
                <c:pt idx="958">
                  <c:v>6</c:v>
                </c:pt>
                <c:pt idx="959">
                  <c:v>7</c:v>
                </c:pt>
                <c:pt idx="960">
                  <c:v>10</c:v>
                </c:pt>
                <c:pt idx="961">
                  <c:v>10</c:v>
                </c:pt>
                <c:pt idx="962">
                  <c:v>8</c:v>
                </c:pt>
                <c:pt idx="963">
                  <c:v>11</c:v>
                </c:pt>
                <c:pt idx="964">
                  <c:v>8</c:v>
                </c:pt>
                <c:pt idx="965">
                  <c:v>6</c:v>
                </c:pt>
                <c:pt idx="966">
                  <c:v>12</c:v>
                </c:pt>
                <c:pt idx="967">
                  <c:v>4</c:v>
                </c:pt>
                <c:pt idx="968">
                  <c:v>8</c:v>
                </c:pt>
                <c:pt idx="969">
                  <c:v>9</c:v>
                </c:pt>
                <c:pt idx="970">
                  <c:v>11</c:v>
                </c:pt>
                <c:pt idx="971">
                  <c:v>9</c:v>
                </c:pt>
                <c:pt idx="972">
                  <c:v>9</c:v>
                </c:pt>
                <c:pt idx="973">
                  <c:v>15</c:v>
                </c:pt>
                <c:pt idx="974">
                  <c:v>10</c:v>
                </c:pt>
                <c:pt idx="975">
                  <c:v>11</c:v>
                </c:pt>
                <c:pt idx="976">
                  <c:v>8</c:v>
                </c:pt>
                <c:pt idx="977">
                  <c:v>11</c:v>
                </c:pt>
                <c:pt idx="978">
                  <c:v>8</c:v>
                </c:pt>
                <c:pt idx="979">
                  <c:v>9</c:v>
                </c:pt>
                <c:pt idx="980">
                  <c:v>12</c:v>
                </c:pt>
                <c:pt idx="981">
                  <c:v>11</c:v>
                </c:pt>
                <c:pt idx="982">
                  <c:v>7</c:v>
                </c:pt>
                <c:pt idx="983">
                  <c:v>9</c:v>
                </c:pt>
                <c:pt idx="984">
                  <c:v>11</c:v>
                </c:pt>
                <c:pt idx="985">
                  <c:v>11</c:v>
                </c:pt>
                <c:pt idx="986">
                  <c:v>11</c:v>
                </c:pt>
                <c:pt idx="987">
                  <c:v>9</c:v>
                </c:pt>
                <c:pt idx="988">
                  <c:v>10</c:v>
                </c:pt>
                <c:pt idx="989">
                  <c:v>7</c:v>
                </c:pt>
                <c:pt idx="990">
                  <c:v>16</c:v>
                </c:pt>
                <c:pt idx="991">
                  <c:v>6</c:v>
                </c:pt>
                <c:pt idx="992">
                  <c:v>5</c:v>
                </c:pt>
                <c:pt idx="993">
                  <c:v>11</c:v>
                </c:pt>
                <c:pt idx="994">
                  <c:v>9</c:v>
                </c:pt>
                <c:pt idx="995">
                  <c:v>11</c:v>
                </c:pt>
                <c:pt idx="996">
                  <c:v>8</c:v>
                </c:pt>
                <c:pt idx="997">
                  <c:v>6</c:v>
                </c:pt>
                <c:pt idx="998">
                  <c:v>8</c:v>
                </c:pt>
                <c:pt idx="999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20-2D49-A157-CAD802481A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124271"/>
        <c:axId val="78125919"/>
      </c:scatterChart>
      <c:valAx>
        <c:axId val="78124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Height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25919"/>
        <c:crosses val="autoZero"/>
        <c:crossBetween val="midCat"/>
      </c:valAx>
      <c:valAx>
        <c:axId val="78125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Rings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242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_xlchart.v1.51</cx:f>
      </cx:numDim>
    </cx:data>
    <cx:data id="1">
      <cx:numDim type="val">
        <cx:f>_xlchart.v1.53</cx:f>
      </cx:numDim>
    </cx:data>
    <cx:data id="2">
      <cx:numDim type="val">
        <cx:f>_xlchart.v1.55</cx:f>
      </cx:numDim>
    </cx:data>
  </cx:chartData>
  <cx:chart>
    <cx:title pos="t" align="ctr" overlay="0">
      <cx:tx>
        <cx:txData>
          <cx:v>Relationship Between Whole Weight And Gender 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r>
            <a:rPr kumimoji="0" lang="en-US" sz="1600" b="1" i="0" u="none" strike="noStrike" kern="0" cap="none" spc="100" normalizeH="0" baseline="0" noProof="0">
              <a:ln>
                <a:noFill/>
              </a:ln>
              <a:solidFill>
                <a:schemeClr val="tx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uLnTx/>
              <a:uFillTx/>
              <a:latin typeface="Calibri" panose="020F0502020204030204"/>
            </a:rPr>
            <a:t>Relationship Between Whole Weight And Gender </a:t>
          </a:r>
        </a:p>
      </cx:txPr>
    </cx:title>
    <cx:plotArea>
      <cx:plotAreaRegion>
        <cx:series layoutId="boxWhisker" uniqueId="{91579A94-24B6-DD49-9A11-DEE389602002}">
          <cx:tx>
            <cx:txData>
              <cx:f>_xlchart.v1.50</cx:f>
              <cx:v>MALE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60A634AB-6ED9-1846-83B0-C6C3A02BD626}">
          <cx:tx>
            <cx:txData>
              <cx:f>_xlchart.v1.52</cx:f>
              <cx:v>FEMALE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24A348C7-1BFC-E64B-ADFD-564A975B13EB}">
          <cx:tx>
            <cx:txData>
              <cx:f>_xlchart.v1.54</cx:f>
              <cx:v>INFANT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.5"/>
        <cx:tickLabels/>
      </cx:axis>
      <cx:axis id="1">
        <cx:valScaling/>
        <cx:majorGridlines/>
        <cx:min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microsoft.com/office/2014/relationships/chartEx" Target="../charts/chartEx1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27</xdr:col>
      <xdr:colOff>102161</xdr:colOff>
      <xdr:row>36</xdr:row>
      <xdr:rowOff>49161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DC1F8F5-D8A7-6E44-9099-99D6B9EB86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41</xdr:row>
      <xdr:rowOff>22188</xdr:rowOff>
    </xdr:from>
    <xdr:to>
      <xdr:col>27</xdr:col>
      <xdr:colOff>102161</xdr:colOff>
      <xdr:row>74</xdr:row>
      <xdr:rowOff>72988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F3A170B-6345-E740-95CF-72EE5E4BE0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79</xdr:row>
      <xdr:rowOff>0</xdr:rowOff>
    </xdr:from>
    <xdr:to>
      <xdr:col>27</xdr:col>
      <xdr:colOff>102161</xdr:colOff>
      <xdr:row>112</xdr:row>
      <xdr:rowOff>50799</xdr:rowOff>
    </xdr:to>
    <xdr:graphicFrame macro="">
      <xdr:nvGraphicFramePr>
        <xdr:cNvPr id="5" name="Category 3">
          <a:extLst>
            <a:ext uri="{FF2B5EF4-FFF2-40B4-BE49-F238E27FC236}">
              <a16:creationId xmlns:a16="http://schemas.microsoft.com/office/drawing/2014/main" id="{AB88C8CC-0686-5249-8F8C-CC2C876E54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49368</xdr:colOff>
      <xdr:row>0</xdr:row>
      <xdr:rowOff>0</xdr:rowOff>
    </xdr:from>
    <xdr:to>
      <xdr:col>19</xdr:col>
      <xdr:colOff>1226899</xdr:colOff>
      <xdr:row>20</xdr:row>
      <xdr:rowOff>156796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C395A2-DE85-444C-A85D-6025AB7EB9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42838</xdr:colOff>
      <xdr:row>23</xdr:row>
      <xdr:rowOff>9944</xdr:rowOff>
    </xdr:from>
    <xdr:to>
      <xdr:col>19</xdr:col>
      <xdr:colOff>1246403</xdr:colOff>
      <xdr:row>94</xdr:row>
      <xdr:rowOff>179459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2FDBBD8-8006-564D-BBFE-C53633D294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38432</xdr:colOff>
      <xdr:row>0</xdr:row>
      <xdr:rowOff>0</xdr:rowOff>
    </xdr:from>
    <xdr:to>
      <xdr:col>46</xdr:col>
      <xdr:colOff>174123</xdr:colOff>
      <xdr:row>40</xdr:row>
      <xdr:rowOff>53662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DE27823-3524-4BAD-BA3C-F12958EDDE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115957</xdr:colOff>
      <xdr:row>5</xdr:row>
      <xdr:rowOff>143565</xdr:rowOff>
    </xdr:from>
    <xdr:to>
      <xdr:col>9</xdr:col>
      <xdr:colOff>596348</xdr:colOff>
      <xdr:row>24</xdr:row>
      <xdr:rowOff>140252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3FDBFC6-D832-2B4D-B4BF-FC568E948D8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957" y="1082261"/>
              <a:ext cx="7106478" cy="35637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115956</xdr:colOff>
      <xdr:row>25</xdr:row>
      <xdr:rowOff>22086</xdr:rowOff>
    </xdr:from>
    <xdr:to>
      <xdr:col>15</xdr:col>
      <xdr:colOff>677333</xdr:colOff>
      <xdr:row>51</xdr:row>
      <xdr:rowOff>0</xdr:rowOff>
    </xdr:to>
    <xdr:graphicFrame macro="">
      <xdr:nvGraphicFramePr>
        <xdr:cNvPr id="5" name="Chart 2">
          <a:extLst>
            <a:ext uri="{FF2B5EF4-FFF2-40B4-BE49-F238E27FC236}">
              <a16:creationId xmlns:a16="http://schemas.microsoft.com/office/drawing/2014/main" id="{71D75F96-6A70-8940-BAF1-39783407D3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115957</xdr:colOff>
      <xdr:row>52</xdr:row>
      <xdr:rowOff>0</xdr:rowOff>
    </xdr:from>
    <xdr:to>
      <xdr:col>16</xdr:col>
      <xdr:colOff>0</xdr:colOff>
      <xdr:row>74</xdr:row>
      <xdr:rowOff>0</xdr:rowOff>
    </xdr:to>
    <xdr:graphicFrame macro="">
      <xdr:nvGraphicFramePr>
        <xdr:cNvPr id="10" name="Chart 6">
          <a:extLst>
            <a:ext uri="{FF2B5EF4-FFF2-40B4-BE49-F238E27FC236}">
              <a16:creationId xmlns:a16="http://schemas.microsoft.com/office/drawing/2014/main" id="{F0FAE797-E33C-9645-9426-6DD24DA365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115957</xdr:colOff>
      <xdr:row>74</xdr:row>
      <xdr:rowOff>0</xdr:rowOff>
    </xdr:from>
    <xdr:to>
      <xdr:col>16</xdr:col>
      <xdr:colOff>0</xdr:colOff>
      <xdr:row>93</xdr:row>
      <xdr:rowOff>0</xdr:rowOff>
    </xdr:to>
    <xdr:graphicFrame macro="">
      <xdr:nvGraphicFramePr>
        <xdr:cNvPr id="11" name="Chart 7">
          <a:extLst>
            <a:ext uri="{FF2B5EF4-FFF2-40B4-BE49-F238E27FC236}">
              <a16:creationId xmlns:a16="http://schemas.microsoft.com/office/drawing/2014/main" id="{35730A92-98A8-EC49-9A89-9E68C4BF76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oonatic-V" refreshedDate="44645.058873726855" createdVersion="7" refreshedVersion="7" minRefreshableVersion="3" recordCount="1000" xr:uid="{2C8EC2CA-15B9-41C5-BDFC-018A32062448}">
  <cacheSource type="worksheet">
    <worksheetSource name="Table1"/>
  </cacheSource>
  <cacheFields count="21">
    <cacheField name="Abalone_id" numFmtId="0">
      <sharedItems containsMixedTypes="1" containsNumber="1" containsInteger="1" minValue="4" maxValue="4176"/>
    </cacheField>
    <cacheField name="Gender" numFmtId="0">
      <sharedItems/>
    </cacheField>
    <cacheField name="Length" numFmtId="0">
      <sharedItems containsSemiMixedTypes="0" containsString="0" containsNumber="1" minValue="0.13" maxValue="0.81499999999999995"/>
    </cacheField>
    <cacheField name="Diameter" numFmtId="0">
      <sharedItems containsSemiMixedTypes="0" containsString="0" containsNumber="1" minValue="9.5000000000000001E-2" maxValue="0.65"/>
    </cacheField>
    <cacheField name="Height" numFmtId="0">
      <sharedItems containsSemiMixedTypes="0" containsString="0" containsNumber="1" minValue="0" maxValue="0.25"/>
    </cacheField>
    <cacheField name="Whole_weight" numFmtId="0">
      <sharedItems containsSemiMixedTypes="0" containsString="0" containsNumber="1" minValue="1.0500000000000001E-2" maxValue="2.8254999999999999"/>
    </cacheField>
    <cacheField name="Shucked_weight" numFmtId="0">
      <sharedItems containsSemiMixedTypes="0" containsString="0" containsNumber="1" minValue="4.4999999999999997E-3" maxValue="1.2529999999999999"/>
    </cacheField>
    <cacheField name="Viscera_weight" numFmtId="0">
      <sharedItems containsSemiMixedTypes="0" containsString="0" containsNumber="1" minValue="3.0000000000000001E-3" maxValue="0.59"/>
    </cacheField>
    <cacheField name="Shell_weight" numFmtId="0">
      <sharedItems containsSemiMixedTypes="0" containsString="0" containsNumber="1" minValue="3.5000000000000001E-3" maxValue="0.89700000000000002"/>
    </cacheField>
    <cacheField name="Rings" numFmtId="0">
      <sharedItems containsSemiMixedTypes="0" containsString="0" containsNumber="1" containsInteger="1" minValue="3" maxValue="29"/>
    </cacheField>
    <cacheField name="Collector" numFmtId="0">
      <sharedItems containsMixedTypes="1" containsNumber="1" containsInteger="1" minValue="1" maxValue="15"/>
    </cacheField>
    <cacheField name="Collector_First" numFmtId="0">
      <sharedItems/>
    </cacheField>
    <cacheField name="Collector_last" numFmtId="0">
      <sharedItems/>
    </cacheField>
    <cacheField name="Collector_organization" numFmtId="0">
      <sharedItems/>
    </cacheField>
    <cacheField name="Water" numFmtId="0">
      <sharedItems containsMixedTypes="1" containsNumber="1" containsInteger="1" minValue="1" maxValue="10"/>
    </cacheField>
    <cacheField name="Water_region" numFmtId="0">
      <sharedItems/>
    </cacheField>
    <cacheField name="Feb_temp" numFmtId="0">
      <sharedItems containsSemiMixedTypes="0" containsString="0" containsNumber="1" minValue="1.9" maxValue="24.1"/>
    </cacheField>
    <cacheField name="Category All" numFmtId="0">
      <sharedItems/>
    </cacheField>
    <cacheField name="Category 1" numFmtId="0">
      <sharedItems count="2">
        <e v="#N/A"/>
        <s v="Yes"/>
      </sharedItems>
    </cacheField>
    <cacheField name="Category 2" numFmtId="0">
      <sharedItems count="2">
        <e v="#N/A"/>
        <s v="Yes"/>
      </sharedItems>
    </cacheField>
    <cacheField name="Category 3" numFmtId="0">
      <sharedItems count="2">
        <s v="Yes"/>
        <e v="#N/A"/>
      </sharedItems>
    </cacheField>
  </cacheFields>
  <extLst>
    <ext xmlns:x14="http://schemas.microsoft.com/office/spreadsheetml/2009/9/main" uri="{725AE2AE-9491-48be-B2B4-4EB974FC3084}">
      <x14:pivotCacheDefinition pivotCacheId="136427688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oonatic-V" refreshedDate="44645.068018518519" createdVersion="7" refreshedVersion="7" minRefreshableVersion="3" recordCount="1000" xr:uid="{D7A8A222-B4D4-9846-BF03-9AE6328B7FCB}">
  <cacheSource type="worksheet">
    <worksheetSource name="Table13"/>
  </cacheSource>
  <cacheFields count="26">
    <cacheField name="Abalone_id" numFmtId="0">
      <sharedItems containsMixedTypes="1" containsNumber="1" containsInteger="1" minValue="4" maxValue="4176"/>
    </cacheField>
    <cacheField name="Gender" numFmtId="0">
      <sharedItems/>
    </cacheField>
    <cacheField name="Length" numFmtId="0">
      <sharedItems containsSemiMixedTypes="0" containsString="0" containsNumber="1" minValue="0.13" maxValue="0.81499999999999995"/>
    </cacheField>
    <cacheField name="Diameter" numFmtId="0">
      <sharedItems containsSemiMixedTypes="0" containsString="0" containsNumber="1" minValue="9.5000000000000001E-2" maxValue="0.65"/>
    </cacheField>
    <cacheField name="Height" numFmtId="0">
      <sharedItems containsSemiMixedTypes="0" containsString="0" containsNumber="1" minValue="0" maxValue="0.25"/>
    </cacheField>
    <cacheField name="Whole_weight" numFmtId="0">
      <sharedItems containsSemiMixedTypes="0" containsString="0" containsNumber="1" minValue="1.0500000000000001E-2" maxValue="2.8254999999999999"/>
    </cacheField>
    <cacheField name="Shucked_weight" numFmtId="0">
      <sharedItems containsSemiMixedTypes="0" containsString="0" containsNumber="1" minValue="4.4999999999999997E-3" maxValue="1.2529999999999999"/>
    </cacheField>
    <cacheField name="Viscera_weight" numFmtId="0">
      <sharedItems containsSemiMixedTypes="0" containsString="0" containsNumber="1" minValue="3.0000000000000001E-3" maxValue="0.59"/>
    </cacheField>
    <cacheField name="Shell_weight" numFmtId="0">
      <sharedItems containsSemiMixedTypes="0" containsString="0" containsNumber="1" minValue="3.5000000000000001E-3" maxValue="0.89700000000000002"/>
    </cacheField>
    <cacheField name="Rings" numFmtId="0">
      <sharedItems containsSemiMixedTypes="0" containsString="0" containsNumber="1" containsInteger="1" minValue="3" maxValue="29"/>
    </cacheField>
    <cacheField name="Collector" numFmtId="0">
      <sharedItems containsMixedTypes="1" containsNumber="1" containsInteger="1" minValue="1" maxValue="15"/>
    </cacheField>
    <cacheField name="Collector_First" numFmtId="0">
      <sharedItems/>
    </cacheField>
    <cacheField name="Collector_last" numFmtId="0">
      <sharedItems/>
    </cacheField>
    <cacheField name="Collector_organization" numFmtId="0">
      <sharedItems/>
    </cacheField>
    <cacheField name="Water" numFmtId="0">
      <sharedItems containsMixedTypes="1" containsNumber="1" containsInteger="1" minValue="1" maxValue="10"/>
    </cacheField>
    <cacheField name="Water_region" numFmtId="0">
      <sharedItems count="10">
        <s v="Florida Atlantic Coast"/>
        <s v="Florida Gulf Coast"/>
        <s v="Mid-Atlantic"/>
        <s v="Southeast"/>
        <s v="West Coast"/>
        <s v="Pacific"/>
        <s v="Great Lakes"/>
        <s v="North Pacific"/>
        <s v="Gulf of Mexico_x0009_"/>
        <s v="Northeast"/>
      </sharedItems>
    </cacheField>
    <cacheField name="Feb_temp" numFmtId="0">
      <sharedItems containsSemiMixedTypes="0" containsString="0" containsNumber="1" minValue="1.9" maxValue="24.1"/>
    </cacheField>
    <cacheField name="Category All" numFmtId="0">
      <sharedItems/>
    </cacheField>
    <cacheField name="Category 1" numFmtId="0">
      <sharedItems/>
    </cacheField>
    <cacheField name="Category 2" numFmtId="0">
      <sharedItems/>
    </cacheField>
    <cacheField name="Category 3" numFmtId="0">
      <sharedItems/>
    </cacheField>
    <cacheField name="Base Abalone Value" numFmtId="0">
      <sharedItems containsSemiMixedTypes="0" containsString="0" containsNumber="1" minValue="0.77436125" maxValue="1.1319583333333332"/>
    </cacheField>
    <cacheField name="Value All" numFmtId="0">
      <sharedItems containsSemiMixedTypes="0" containsString="0" containsNumber="1" minValue="0.61948900000000007" maxValue="1.6310600000000002"/>
    </cacheField>
    <cacheField name="Value 1" numFmtId="0">
      <sharedItems containsMixedTypes="1" containsNumber="1" minValue="1.4004174999999999" maxValue="1.6310600000000002" count="12">
        <e v="#N/A"/>
        <n v="1.5924162499999999"/>
        <n v="1.5931099999999998"/>
        <n v="1.4219437499999998"/>
        <n v="1.4496718749999999"/>
        <n v="1.5751487499999999"/>
        <n v="1.498998125"/>
        <n v="1.4756625000000003"/>
        <n v="1.6310600000000002"/>
        <n v="1.4004174999999999"/>
        <n v="1.6099156249999997"/>
        <n v="1.5392249999999998"/>
      </sharedItems>
    </cacheField>
    <cacheField name="Value 2" numFmtId="0">
      <sharedItems containsMixedTypes="1" containsNumber="1" minValue="0.61948900000000007" maxValue="0.87236000000000002" count="632">
        <e v="#N/A"/>
        <n v="0.76378000000000001"/>
        <n v="0.77044133333333331"/>
        <n v="0.70219333333333334"/>
        <n v="0.74331666666666685"/>
        <n v="0.77310000000000001"/>
        <n v="0.74988800000000011"/>
        <n v="0.77873999999999999"/>
        <n v="0.73227999999999993"/>
        <n v="0.76731400000000005"/>
        <n v="0.76455333333333331"/>
        <n v="0.77485000000000004"/>
        <n v="0.78078166666666671"/>
        <n v="0.77568000000000004"/>
        <n v="0.76141600000000009"/>
        <n v="0.7888546666666667"/>
        <n v="0.76552666666666669"/>
        <n v="0.72995333333333345"/>
        <n v="0.69989666666666672"/>
        <n v="0.771536"/>
        <n v="0.76062833333333335"/>
        <n v="0.78243600000000013"/>
        <n v="0.7022143333333335"/>
        <n v="0.74458000000000002"/>
        <n v="0.73805333333333334"/>
        <n v="0.73398733333333332"/>
        <n v="0.77784900000000001"/>
        <n v="0.76467266666666678"/>
        <n v="0.77846799999999994"/>
        <n v="0.76912633333333336"/>
        <n v="0.72370266666666661"/>
        <n v="0.78271499999999994"/>
        <n v="0.74872000000000005"/>
        <n v="0.80690666666666666"/>
        <n v="0.80681666666666652"/>
        <n v="0.70874666666666664"/>
        <n v="0.82204200000000016"/>
        <n v="0.73415200000000003"/>
        <n v="0.74896666666666667"/>
        <n v="0.77934133333333333"/>
        <n v="0.64403733333333335"/>
        <n v="0.77288366666666675"/>
        <n v="0.85085166666666678"/>
        <n v="0.80841399999999997"/>
        <n v="0.75851999999999997"/>
        <n v="0.73996400000000007"/>
        <n v="0.76940733333333344"/>
        <n v="0.77950066666666684"/>
        <n v="0.72168233333333331"/>
        <n v="0.70397866666666664"/>
        <n v="0.79373933333333335"/>
        <n v="0.63878000000000013"/>
        <n v="0.79237866666666679"/>
        <n v="0.7811326666666667"/>
        <n v="0.79948199999999991"/>
        <n v="0.73981999999999992"/>
        <n v="0.77177899999999999"/>
        <n v="0.76068366666666665"/>
        <n v="0.76295700000000011"/>
        <n v="0.69601066666666678"/>
        <n v="0.74948999999999999"/>
        <n v="0.78952666666666671"/>
        <n v="0.72299933333333344"/>
        <n v="0.78895999999999999"/>
        <n v="0.77860833333333346"/>
        <n v="0.65022499999999994"/>
        <n v="0.77783333333333349"/>
        <n v="0.72693333333333332"/>
        <n v="0.76592000000000005"/>
        <n v="0.80205333333333328"/>
        <n v="0.73487599999999997"/>
        <n v="0.77110800000000002"/>
        <n v="0.81840666666666673"/>
        <n v="0.72253633333333334"/>
        <n v="0.77750000000000008"/>
        <n v="0.78502933333333347"/>
        <n v="0.74720266666666668"/>
        <n v="0.75005166666666667"/>
        <n v="0.78321466666666673"/>
        <n v="0.75503199999999993"/>
        <n v="0.78160166666666675"/>
        <n v="0.81428333333333347"/>
        <n v="0.73131333333333337"/>
        <n v="0.78278233333333336"/>
        <n v="0.84092333333333336"/>
        <n v="0.75738266666666665"/>
        <n v="0.78489066666666674"/>
        <n v="0.80995666666666666"/>
        <n v="0.78055000000000019"/>
        <n v="0.79867333333333346"/>
        <n v="0.72447966666666674"/>
        <n v="0.78506500000000001"/>
        <n v="0.78913000000000011"/>
        <n v="0.82239133333333347"/>
        <n v="0.79761666666666686"/>
        <n v="0.72442733333333331"/>
        <n v="0.7744553333333335"/>
        <n v="0.79073199999999999"/>
        <n v="0.75120866666666664"/>
        <n v="0.7863500000000001"/>
        <n v="0.80234466666666671"/>
        <n v="0.77552500000000002"/>
        <n v="0.84964000000000017"/>
        <n v="0.83572266666666684"/>
        <n v="0.74481333333333333"/>
        <n v="0.74521466666666669"/>
        <n v="0.7835713333333334"/>
        <n v="0.61948900000000007"/>
        <n v="0.80006966666666668"/>
        <n v="0.74092066666666678"/>
        <n v="0.74155800000000005"/>
        <n v="0.78983333333333339"/>
        <n v="0.73552600000000012"/>
        <n v="0.75368266666666672"/>
        <n v="0.76128666666666678"/>
        <n v="0.79628833333333338"/>
        <n v="0.79078400000000015"/>
        <n v="0.66769633333333345"/>
        <n v="0.74302000000000001"/>
        <n v="0.752938"/>
        <n v="0.78255600000000003"/>
        <n v="0.76737733333333347"/>
        <n v="0.68241166666666675"/>
        <n v="0.78690133333333323"/>
        <n v="0.79566666666666663"/>
        <n v="0.689612"/>
        <n v="0.76519000000000004"/>
        <n v="0.79964533333333343"/>
        <n v="0.69946666666666679"/>
        <n v="0.69972066666666666"/>
        <n v="0.71666333333333332"/>
        <n v="0.77798533333333342"/>
        <n v="0.80005766666666678"/>
        <n v="0.75395499999999993"/>
        <n v="0.75635666666666657"/>
        <n v="0.7992800000000001"/>
        <n v="0.7648653333333334"/>
        <n v="0.68348866666666686"/>
        <n v="0.80959199999999998"/>
        <n v="0.80548966666666666"/>
        <n v="0.81901666666666673"/>
        <n v="0.72939733333333345"/>
        <n v="0.77166333333333337"/>
        <n v="0.81972000000000012"/>
        <n v="0.75980133333333333"/>
        <n v="0.73243333333333338"/>
        <n v="0.76088066666666676"/>
        <n v="0.80694933333333341"/>
        <n v="0.7996766666666667"/>
        <n v="0.79063800000000006"/>
        <n v="0.65543400000000007"/>
        <n v="0.7451146666666667"/>
        <n v="0.73673833333333338"/>
        <n v="0.82097466666666685"/>
        <n v="0.80987466666666652"/>
        <n v="0.79954933333333322"/>
        <n v="0.70166399999999995"/>
        <n v="0.72841866666666677"/>
        <n v="0.78427466666666668"/>
        <n v="0.76833833333333335"/>
        <n v="0.87236000000000002"/>
        <n v="0.77061666666666673"/>
        <n v="0.77404966666666664"/>
        <n v="0.73729333333333336"/>
        <n v="0.72449333333333332"/>
        <n v="0.79925600000000008"/>
        <n v="0.69592333333333334"/>
        <n v="0.78814533333333348"/>
        <n v="0.77403100000000002"/>
        <n v="0.77311866666666673"/>
        <n v="0.77284400000000009"/>
        <n v="0.77228300000000005"/>
        <n v="0.7396733333333334"/>
        <n v="0.77449166666666669"/>
        <n v="0.79309733333333332"/>
        <n v="0.77548000000000006"/>
        <n v="0.69097333333333344"/>
        <n v="0.75861000000000001"/>
        <n v="0.77067733333333333"/>
        <n v="0.77478266666666662"/>
        <n v="0.73836666666666662"/>
        <n v="0.73776666666666668"/>
        <n v="0.72565766666666676"/>
        <n v="0.7864553333333334"/>
        <n v="0.7435586666666667"/>
        <n v="0.79368400000000006"/>
        <n v="0.73166000000000009"/>
        <n v="0.78376800000000002"/>
        <n v="0.77521366666666669"/>
        <n v="0.64407900000000007"/>
        <n v="0.78780799999999995"/>
        <n v="0.70037166666666673"/>
        <n v="0.80080066666666649"/>
        <n v="0.77355166666666675"/>
        <n v="0.78470333333333331"/>
        <n v="0.74770366666666677"/>
        <n v="0.80874033333333328"/>
        <n v="0.80315333333333339"/>
        <n v="0.73376000000000008"/>
        <n v="0.74460766666666667"/>
        <n v="0.7413333333333334"/>
        <n v="0.78265600000000002"/>
        <n v="0.63109999999999999"/>
        <n v="0.74775199999999997"/>
        <n v="0.77571133333333342"/>
        <n v="0.76643466666666671"/>
        <n v="0.76351866666666668"/>
        <n v="0.75785600000000009"/>
        <n v="0.69379600000000008"/>
        <n v="0.73253000000000001"/>
        <n v="0.76968800000000004"/>
        <n v="0.83792366666666673"/>
        <n v="0.80056266666666664"/>
        <n v="0.77355400000000019"/>
        <n v="0.75034566666666669"/>
        <n v="0.79295533333333335"/>
        <n v="0.70256333333333343"/>
        <n v="0.72020866666666672"/>
        <n v="0.7974500000000001"/>
        <n v="0.7378203333333333"/>
        <n v="0.67302666666666677"/>
        <n v="0.72466000000000008"/>
        <n v="0.78004833333333334"/>
        <n v="0.7153586666666667"/>
        <n v="0.81095399999999995"/>
        <n v="0.7394723333333334"/>
        <n v="0.77083733333333337"/>
        <n v="0.76016066666666671"/>
        <n v="0.73368"/>
        <n v="0.81040400000000012"/>
        <n v="0.79718133333333341"/>
        <n v="0.80558333333333343"/>
        <n v="0.78673233333333326"/>
        <n v="0.76903999999999995"/>
        <n v="0.73702666666666672"/>
        <n v="0.78144999999999998"/>
        <n v="0.69227733333333341"/>
        <n v="0.66286266666666671"/>
        <n v="0.75863333333333338"/>
        <n v="0.74622500000000003"/>
        <n v="0.80108666666666672"/>
        <n v="0.80333500000000013"/>
        <n v="0.77239466666666667"/>
        <n v="0.77848066666666671"/>
        <n v="0.81112666666666677"/>
        <n v="0.75581433333333337"/>
        <n v="0.72731633333333334"/>
        <n v="0.80326333333333333"/>
        <n v="0.78568933333333346"/>
        <n v="0.70109833333333338"/>
        <n v="0.76689333333333332"/>
        <n v="0.84187599999999996"/>
        <n v="0.82476533333333346"/>
        <n v="0.76441200000000009"/>
        <n v="0.77358400000000005"/>
        <n v="0.79011666666666669"/>
        <n v="0.75695733333333326"/>
        <n v="0.68204366666666683"/>
        <n v="0.80317333333333341"/>
        <n v="0.79687666666666668"/>
        <n v="0.83092133333333329"/>
        <n v="0.720974"/>
        <n v="0.77259600000000006"/>
        <n v="0.76358733333333328"/>
        <n v="0.79354666666666662"/>
        <n v="0.74802666666666662"/>
        <n v="0.76565100000000008"/>
        <n v="0.77950900000000001"/>
        <n v="0.72624666666666671"/>
        <n v="0.76898333333333335"/>
        <n v="0.75445333333333342"/>
        <n v="0.79346800000000006"/>
        <n v="0.77533333333333321"/>
        <n v="0.77706799999999998"/>
        <n v="0.78049599999999986"/>
        <n v="0.71633266666666673"/>
        <n v="0.75574666666666668"/>
        <n v="0.70052000000000003"/>
        <n v="0.76133466666666672"/>
        <n v="0.83025599999999999"/>
        <n v="0.80740800000000013"/>
        <n v="0.80968666666666678"/>
        <n v="0.66299866666666674"/>
        <n v="0.78222500000000006"/>
        <n v="0.76237466666666664"/>
        <n v="0.77809166666666663"/>
        <n v="0.776424"/>
        <n v="0.75548000000000004"/>
        <n v="0.75718933333333338"/>
        <n v="0.81656666666666666"/>
        <n v="0.70405833333333334"/>
        <n v="0.77384433333333336"/>
        <n v="0.78443466666666661"/>
        <n v="0.7698653333333334"/>
        <n v="0.80372533333333329"/>
        <n v="0.71973500000000001"/>
        <n v="0.78325866666666677"/>
        <n v="0.72644000000000009"/>
        <n v="0.82850333333333337"/>
        <n v="0.77108333333333334"/>
        <n v="0.75115200000000004"/>
        <n v="0.72278333333333344"/>
        <n v="0.80193066666666657"/>
        <n v="0.7685306666666667"/>
        <n v="0.72273133333333339"/>
        <n v="0.73458266666666672"/>
        <n v="0.80610133333333323"/>
        <n v="0.80090666666666666"/>
        <n v="0.76781866666666665"/>
        <n v="0.75064000000000008"/>
        <n v="0.78247000000000011"/>
        <n v="0.75645066666666683"/>
        <n v="0.80035200000000006"/>
        <n v="0.74598133333333339"/>
        <n v="0.76222133333333331"/>
        <n v="0.77104666666666666"/>
        <n v="0.76251333333333338"/>
        <n v="0.79476666666666684"/>
        <n v="0.77682866666666683"/>
        <n v="0.76795000000000013"/>
        <n v="0.81098399999999993"/>
        <n v="0.71265499999999993"/>
        <n v="0.80751466666666694"/>
        <n v="0.79407366666666679"/>
        <n v="0.77421866666666661"/>
        <n v="0.79104333333333343"/>
        <n v="0.8111166666666666"/>
        <n v="0.71209033333333338"/>
        <n v="0.79273333333333351"/>
        <n v="0.81793933333333335"/>
        <n v="0.69331200000000004"/>
        <n v="0.78925000000000001"/>
        <n v="0.68771000000000004"/>
        <n v="0.76643499999999998"/>
        <n v="0.76074600000000003"/>
        <n v="0.79571666666666685"/>
        <n v="0.71098666666666677"/>
        <n v="0.73835066666666671"/>
        <n v="0.71486666666666665"/>
        <n v="0.69818666666666673"/>
        <n v="0.75292500000000007"/>
        <n v="0.73614666666666662"/>
        <n v="0.74562400000000006"/>
        <n v="0.75889399999999996"/>
        <n v="0.71846333333333334"/>
        <n v="0.74144266666666669"/>
        <n v="0.80486433333333351"/>
        <n v="0.77428800000000009"/>
        <n v="0.78331333333333353"/>
        <n v="0.79614366666666669"/>
        <n v="0.75529666666666673"/>
        <n v="0.74892633333333336"/>
        <n v="0.69531900000000002"/>
        <n v="0.78664666666666672"/>
        <n v="0.76249199999999995"/>
        <n v="0.77582333333333331"/>
        <n v="0.7576613333333333"/>
        <n v="0.80864999999999998"/>
        <n v="0.75583500000000003"/>
        <n v="0.80092500000000022"/>
        <n v="0.73526666666666673"/>
        <n v="0.77386600000000005"/>
        <n v="0.85684000000000005"/>
        <n v="0.72048000000000012"/>
        <n v="0.7618906666666666"/>
        <n v="0.62069200000000002"/>
        <n v="0.72409333333333348"/>
        <n v="0.75296466666666673"/>
        <n v="0.752108"/>
        <n v="0.80439066666666648"/>
        <n v="0.78694399999999998"/>
        <n v="0.78163399999999994"/>
        <n v="0.80672200000000016"/>
        <n v="0.79130000000000011"/>
        <n v="0.80160000000000009"/>
        <n v="0.77314399999999994"/>
        <n v="0.72737933333333338"/>
        <n v="0.75382666666666676"/>
        <n v="0.71598866666666672"/>
        <n v="0.75056266666666671"/>
        <n v="0.71683933333333338"/>
        <n v="0.78736066666666671"/>
        <n v="0.766656"/>
        <n v="0.82294933333333331"/>
        <n v="0.78799933333333338"/>
        <n v="0.76153666666666675"/>
        <n v="0.79029333333333318"/>
        <n v="0.80651200000000012"/>
        <n v="0.76599200000000001"/>
        <n v="0.78102699999999992"/>
        <n v="0.71122666666666667"/>
        <n v="0.77382000000000017"/>
        <n v="0.78336233333333327"/>
        <n v="0.79294200000000004"/>
        <n v="0.76093866666666665"/>
        <n v="0.79328266666666658"/>
        <n v="0.79986666666666661"/>
        <n v="0.78907733333333341"/>
        <n v="0.7630840000000001"/>
        <n v="0.75394666666666665"/>
        <n v="0.75438033333333332"/>
        <n v="0.80899999999999983"/>
        <n v="0.7940936666666667"/>
        <n v="0.75584333333333342"/>
        <n v="0.81125666666666663"/>
        <n v="0.6349393333333333"/>
        <n v="0.78655066666666673"/>
        <n v="0.78081466666666677"/>
        <n v="0.77171333333333336"/>
        <n v="0.82010366666666656"/>
        <n v="0.76932433333333339"/>
        <n v="0.679512"/>
        <n v="0.79063433333333344"/>
        <n v="0.7810126666666668"/>
        <n v="0.79131033333333345"/>
        <n v="0.638656"/>
        <n v="0.77886166666666679"/>
        <n v="0.76339400000000002"/>
        <n v="0.65988366666666676"/>
        <n v="0.76563600000000009"/>
        <n v="0.63080000000000014"/>
        <n v="0.72548066666666677"/>
        <n v="0.68244266666666675"/>
        <n v="0.69705499999999998"/>
        <n v="0.71910000000000007"/>
        <n v="0.74803066666666673"/>
        <n v="0.71870766666666674"/>
        <n v="0.803844"/>
        <n v="0.77257400000000009"/>
        <n v="0.78289333333333333"/>
        <n v="0.79111133333333328"/>
        <n v="0.82678466666666672"/>
        <n v="0.69062400000000013"/>
        <n v="0.77109099999999997"/>
        <n v="0.80963333333333343"/>
        <n v="0.76764333333333346"/>
        <n v="0.7572000000000001"/>
        <n v="0.75872133333333336"/>
        <n v="0.79487066666666684"/>
        <n v="0.7622106666666667"/>
        <n v="0.6940993333333334"/>
        <n v="0.76981700000000008"/>
        <n v="0.65273466666666669"/>
        <n v="0.72587400000000002"/>
        <n v="0.74590533333333342"/>
        <n v="0.74774266666666667"/>
        <n v="0.73557466666666671"/>
        <n v="0.65046500000000007"/>
        <n v="0.75571033333333337"/>
        <n v="0.77234133333333332"/>
        <n v="0.70646500000000001"/>
        <n v="0.76686800000000011"/>
        <n v="0.79449933333333345"/>
        <n v="0.77556666666666674"/>
        <n v="0.72969399999999995"/>
        <n v="0.72072333333333338"/>
        <n v="0.80750066666666653"/>
        <n v="0.79600533333333345"/>
        <n v="0.78170333333333331"/>
        <n v="0.77738033333333334"/>
        <n v="0.76292533333333346"/>
        <n v="0.71591866666666659"/>
        <n v="0.75768500000000005"/>
        <n v="0.78242699999999998"/>
        <n v="0.79025733333333337"/>
        <n v="0.73013166666666685"/>
        <n v="0.74714666666666663"/>
        <n v="0.75729266666666673"/>
        <n v="0.79748000000000008"/>
        <n v="0.80287399999999998"/>
        <n v="0.70330633333333337"/>
        <n v="0.71942333333333341"/>
        <n v="0.7617033333333334"/>
        <n v="0.79322733333333328"/>
        <n v="0.87228933333333336"/>
        <n v="0.78203599999999995"/>
        <n v="0.72403333333333342"/>
        <n v="0.80086400000000024"/>
        <n v="0.63615733333333335"/>
        <n v="0.7965106666666667"/>
        <n v="0.77429833333333342"/>
        <n v="0.68411233333333332"/>
        <n v="0.7764120000000001"/>
        <n v="0.72330900000000009"/>
        <n v="0.82465000000000011"/>
        <n v="0.68636799999999998"/>
        <n v="0.7343400000000001"/>
        <n v="0.78367999999999993"/>
        <n v="0.81226433333333325"/>
        <n v="0.68321166666666677"/>
        <n v="0.70394000000000001"/>
        <n v="0.76718166666666665"/>
        <n v="0.77074233333333342"/>
        <n v="0.7330673333333334"/>
        <n v="0.75011433333333333"/>
        <n v="0.70390400000000009"/>
        <n v="0.7002316666666667"/>
        <n v="0.71367933333333333"/>
        <n v="0.70615133333333346"/>
        <n v="0.81193933333333335"/>
        <n v="0.70002200000000014"/>
        <n v="0.68229200000000001"/>
        <n v="0.76747733333333334"/>
        <n v="0.76357600000000003"/>
        <n v="0.78492866666666672"/>
        <n v="0.7792553333333333"/>
        <n v="0.77712133333333333"/>
        <n v="0.8415743333333332"/>
        <n v="0.77299400000000007"/>
        <n v="0.82663300000000006"/>
        <n v="0.76020766666666661"/>
        <n v="0.76623533333333338"/>
        <n v="0.70383133333333336"/>
        <n v="0.74376666666666669"/>
        <n v="0.7793903333333333"/>
        <n v="0.71671299999999993"/>
        <n v="0.7728600000000001"/>
        <n v="0.72650000000000003"/>
        <n v="0.77350999999999992"/>
        <n v="0.72906966666666673"/>
        <n v="0.777613"/>
        <n v="0.76835200000000003"/>
        <n v="0.7827046666666666"/>
        <n v="0.75647500000000001"/>
        <n v="0.77416733333333343"/>
        <n v="0.81321199999999993"/>
        <n v="0.72583333333333333"/>
        <n v="0.73525300000000016"/>
        <n v="0.76202066666666679"/>
        <n v="0.74225333333333332"/>
        <n v="0.81784000000000001"/>
        <n v="0.77392533333333347"/>
        <n v="0.67933600000000005"/>
        <n v="0.68570866666666674"/>
        <n v="0.82066666666666677"/>
        <n v="0.79569000000000001"/>
        <n v="0.71585733333333335"/>
        <n v="0.76277866666666672"/>
        <n v="0.8142166666666667"/>
        <n v="0.7567733333333333"/>
        <n v="0.77893233333333334"/>
        <n v="0.77382400000000007"/>
        <n v="0.79853033333333345"/>
        <n v="0.75164799999999998"/>
        <n v="0.80420099999999994"/>
        <n v="0.69040000000000001"/>
        <n v="0.78723333333333323"/>
        <n v="0.83318133333333333"/>
        <n v="0.74742400000000009"/>
        <n v="0.80788933333333335"/>
        <n v="0.81086199999999986"/>
        <n v="0.78939466666666669"/>
        <n v="0.72432266666666667"/>
        <n v="0.80016666666666669"/>
        <n v="0.76688766666666675"/>
        <n v="0.78179999999999994"/>
        <n v="0.77850000000000008"/>
        <n v="0.63884799999999997"/>
        <n v="0.80058333333333342"/>
        <n v="0.80445966666666657"/>
        <n v="0.79550833333333337"/>
        <n v="0.75745433333333345"/>
        <n v="0.75119066666666667"/>
        <n v="0.82288966666666674"/>
        <n v="0.71395533333333328"/>
        <n v="0.71986666666666677"/>
        <n v="0.75315200000000004"/>
        <n v="0.78648266666666677"/>
        <n v="0.78458333333333341"/>
        <n v="0.74380733333333338"/>
        <n v="0.75188266666666659"/>
        <n v="0.76815333333333335"/>
        <n v="0.75282400000000005"/>
        <n v="0.79893733333333339"/>
        <n v="0.7428530000000001"/>
        <n v="0.75352533333333338"/>
        <n v="0.73952700000000016"/>
        <n v="0.81353100000000012"/>
        <n v="0.8282333333333336"/>
        <n v="0.80177999999999994"/>
        <n v="0.68409600000000004"/>
        <n v="0.75626199999999999"/>
        <n v="0.75311266666666665"/>
        <n v="0.83282133333333341"/>
        <n v="0.74637866666666675"/>
        <n v="0.79069066666666687"/>
        <n v="0.77941833333333332"/>
        <n v="0.74447333333333343"/>
        <n v="0.76715800000000012"/>
        <n v="0.78274566666666667"/>
        <n v="0.65544733333333338"/>
        <n v="0.73835133333333347"/>
        <n v="0.7476626666666667"/>
        <n v="0.76475099999999996"/>
        <n v="0.76612666666666662"/>
        <n v="0.74862333333333342"/>
        <n v="0.73861333333333345"/>
        <n v="0.72440666666666675"/>
        <n v="0.78276533333333342"/>
        <n v="0.76874266666666669"/>
        <n v="0.69479933333333344"/>
        <n v="0.7765146666666668"/>
        <n v="0.77556533333333333"/>
        <n v="0.75586133333333339"/>
        <n v="0.77367866666666663"/>
        <n v="0.69178933333333337"/>
        <n v="0.7333400000000001"/>
        <n v="0.80060533333333339"/>
        <n v="0.7800813333333334"/>
        <n v="0.76630633333333342"/>
        <n v="0.77210000000000001"/>
        <n v="0.78195000000000014"/>
        <n v="0.71146666666666669"/>
        <n v="0.7420186666666666"/>
        <n v="0.62851666666666661"/>
        <n v="0.77668800000000005"/>
        <n v="0.72629333333333335"/>
        <n v="0.78093766666666664"/>
        <n v="0.76059766666666673"/>
        <n v="0.74865000000000004"/>
        <n v="0.76734999999999998"/>
        <n v="0.73957066666666682"/>
        <n v="0.80133333333333345"/>
        <n v="0.79680600000000013"/>
        <n v="0.73096099999999997"/>
        <n v="0.83794000000000013"/>
        <n v="0.71897500000000003"/>
        <n v="0.69126666666666658"/>
        <n v="0.77610000000000001"/>
        <n v="0.76619366666666666"/>
        <n v="0.73030399999999995"/>
        <n v="0.77960333333333343"/>
      </sharedItems>
    </cacheField>
    <cacheField name="Value 3" numFmtId="0">
      <sharedItems containsMixedTypes="1" containsNumber="1" minValue="0.94131583333333324" maxValue="1.1319583333333332" count="357">
        <n v="1.02825375"/>
        <e v="#N/A"/>
        <n v="1.0837666666666665"/>
        <n v="1.0433641666666666"/>
        <n v="1.0401220833333336"/>
        <n v="1.0704149999999999"/>
        <n v="1.0560624999999999"/>
        <n v="1.0174333333333332"/>
        <n v="1.0251004166666666"/>
        <n v="1.0119066666666667"/>
        <n v="1.0032833333333333"/>
        <n v="1.0154800000000002"/>
        <n v="1.0288733333333335"/>
        <n v="0.96971333333333321"/>
        <n v="1.0642091666666667"/>
        <n v="1.0297000000000001"/>
        <n v="0.99060000000000004"/>
        <n v="1.0746666666666667"/>
        <n v="1.0303354166666667"/>
        <n v="0.9893729166666666"/>
        <n v="1.0550929166666667"/>
        <n v="0.96693833333333346"/>
        <n v="1.0034583333333333"/>
        <n v="1.0374833333333333"/>
        <n v="1.05278"/>
        <n v="1.0095400000000001"/>
        <n v="1.0346900000000001"/>
        <n v="1.0549533333333334"/>
        <n v="1.0126633333333332"/>
        <n v="1.0388991666666667"/>
        <n v="1.0010366666666668"/>
        <n v="1.02065625"/>
        <n v="1.0058333333333334"/>
        <n v="1.0249266666666668"/>
        <n v="1.0268262500000001"/>
        <n v="1.0167600000000001"/>
        <n v="1.0350229166666667"/>
        <n v="1.0481829166666665"/>
        <n v="1.0333924999999999"/>
        <n v="1.0358233333333333"/>
        <n v="1.0565166666666668"/>
        <n v="1.0273700000000001"/>
        <n v="1.0281183333333332"/>
        <n v="1.0435274999999999"/>
        <n v="1.0043199999999999"/>
        <n v="0.97764583333333333"/>
        <n v="1.0252191666666666"/>
        <n v="0.99751666666666683"/>
        <n v="1.0155624999999999"/>
        <n v="1.05813"/>
        <n v="1.0170416666666666"/>
        <n v="0.9902291666666666"/>
        <n v="1.0223174999999998"/>
        <n v="1.0318066666666665"/>
        <n v="1.02688125"/>
        <n v="0.97706208333333333"/>
        <n v="1.0540483333333335"/>
        <n v="1.0456916666666669"/>
        <n v="1.0056591666666665"/>
        <n v="1.0175208333333332"/>
        <n v="1.0297958333333335"/>
        <n v="1.0140845833333332"/>
        <n v="1.018"/>
        <n v="1.0412312500000001"/>
        <n v="0.96563499999999991"/>
        <n v="1.0152475000000001"/>
        <n v="1.0431116666666667"/>
        <n v="1.0172875000000001"/>
        <n v="1.0157500000000002"/>
        <n v="0.98420833333333324"/>
        <n v="1.0206458333333333"/>
        <n v="1.0367833333333332"/>
        <n v="1.0571499999999998"/>
        <n v="0.99663708333333345"/>
        <n v="1.0340499999999999"/>
        <n v="1.0125000000000002"/>
        <n v="1.0118949999999998"/>
        <n v="1.0272625000000002"/>
        <n v="1.0342516666666668"/>
        <n v="1.0016041666666666"/>
        <n v="1.0221666666666667"/>
        <n v="1.0150916666666665"/>
        <n v="1.0209570833333332"/>
        <n v="1.0294266666666667"/>
        <n v="0.99370458333333345"/>
        <n v="1.0495166666666667"/>
        <n v="1.0660433333333332"/>
        <n v="1.0115208333333334"/>
        <n v="1.0381158333333333"/>
        <n v="1.0274166666666666"/>
        <n v="1.0412354166666666"/>
        <n v="1.0328504166666665"/>
        <n v="0.94131583333333324"/>
        <n v="1.0128174999999999"/>
        <n v="1.0200549999999999"/>
        <n v="1.0325458333333333"/>
        <n v="1.0522808333333333"/>
        <n v="1.0289783333333333"/>
        <n v="1.0659000000000001"/>
        <n v="1.0224849999999999"/>
        <n v="1.0089166666666667"/>
        <n v="1.0620124999999998"/>
        <n v="1.0373041666666667"/>
        <n v="1.0581295833333333"/>
        <n v="1.0365491666666669"/>
        <n v="1.0241037499999999"/>
        <n v="1.0282266666666668"/>
        <n v="1.0094449999999999"/>
        <n v="1.0457645833333333"/>
        <n v="1.0141516666666666"/>
        <n v="1.0331258333333333"/>
        <n v="0.99196458333333337"/>
        <n v="1.045445"/>
        <n v="1.0235975000000002"/>
        <n v="1.0517133333333335"/>
        <n v="0.98496333333333341"/>
        <n v="1.0178566666666669"/>
        <n v="1.0150908333333331"/>
        <n v="1.0148266666666668"/>
        <n v="1.0501329166666666"/>
        <n v="1.0414049999999999"/>
        <n v="1.0771274999999998"/>
        <n v="1.0076779166666665"/>
        <n v="1.016"/>
        <n v="1.0391216666666665"/>
        <n v="1.0283108333333335"/>
        <n v="1.0468208333333333"/>
        <n v="1.0336329166666667"/>
        <n v="1.0151891666666666"/>
        <n v="1.0467916666666668"/>
        <n v="1.0023066666666665"/>
        <n v="1.0306358333333334"/>
        <n v="1.0490379166666666"/>
        <n v="1.0200291666666668"/>
        <n v="1.0307229166666667"/>
        <n v="1.0273937500000001"/>
        <n v="1.0618974999999999"/>
        <n v="1.0150416666666668"/>
        <n v="1.0790329166666666"/>
        <n v="1.0118445833333332"/>
        <n v="1.0319"/>
        <n v="0.99420291666666671"/>
        <n v="1.0241512500000001"/>
        <n v="1.0096799999999999"/>
        <n v="0.99356250000000002"/>
        <n v="0.99246999999999996"/>
        <n v="1.051525"/>
        <n v="1.0209683333333333"/>
        <n v="1.0547575"/>
        <n v="0.98616666666666675"/>
        <n v="1.0361979166666666"/>
        <n v="1.0341850000000001"/>
        <n v="1.0020150000000001"/>
        <n v="1.0310633333333332"/>
        <n v="1.04353125"/>
        <n v="1.0242441666666668"/>
        <n v="1.0559833333333333"/>
        <n v="0.99766666666666659"/>
        <n v="1.0198954166666669"/>
        <n v="1.0657958333333333"/>
        <n v="1.05058875"/>
        <n v="1.0600870833333333"/>
        <n v="1.0152262500000002"/>
        <n v="0.99611249999999996"/>
        <n v="1.0585716666666665"/>
        <n v="1.0210475000000001"/>
        <n v="1.0180041666666666"/>
        <n v="1.0215274999999999"/>
        <n v="1.0004024999999999"/>
        <n v="1.0037699999999998"/>
        <n v="1.0232658333333333"/>
        <n v="1.0223541666666667"/>
        <n v="0.99029166666666657"/>
        <n v="1.0178395833333334"/>
        <n v="1.0059166666666666"/>
        <n v="1.0318000000000001"/>
        <n v="1.0089066666666666"/>
        <n v="1.0295191666666665"/>
        <n v="1.01932"/>
        <n v="1.0293666666666668"/>
        <n v="1.0120908333333332"/>
        <n v="1.0344116666666667"/>
        <n v="1.0051533333333333"/>
        <n v="1.0079037500000001"/>
        <n v="1.0580241666666668"/>
        <n v="1.0413354166666666"/>
        <n v="1.0310024999999998"/>
        <n v="1.0503333333333336"/>
        <n v="1.0293266666666665"/>
        <n v="1.0619229166666664"/>
        <n v="1.0376395833333334"/>
        <n v="1.0397516666666669"/>
        <n v="1.0328908333333335"/>
        <n v="1.0051033333333335"/>
        <n v="1.0266416666666667"/>
        <n v="1.0403420833333334"/>
        <n v="1.0040024999999999"/>
        <n v="1.0700208333333334"/>
        <n v="1.0286104166666667"/>
        <n v="1.0804258333333334"/>
        <n v="1.0337991666666666"/>
        <n v="1.0115749999999999"/>
        <n v="1.0068112500000002"/>
        <n v="1.0322616666666664"/>
        <n v="0.99087875000000003"/>
        <n v="1.1319583333333332"/>
        <n v="0.99457708333333339"/>
        <n v="0.99554166666666677"/>
        <n v="1.0183312499999999"/>
        <n v="1.0369983333333335"/>
        <n v="1.0004770833333334"/>
        <n v="1.00935"/>
        <n v="1.0573533333333334"/>
        <n v="1.0346716666666667"/>
        <n v="1.0129729166666666"/>
        <n v="1.0475766666666668"/>
        <n v="1.0403175"/>
        <n v="1.0149624999999998"/>
        <n v="1.0356541666666668"/>
        <n v="1.0195079166666665"/>
        <n v="1.0581499999999999"/>
        <n v="1.01912"/>
        <n v="1.0230524999999999"/>
        <n v="1.0125333333333333"/>
        <n v="1.0388033333333333"/>
        <n v="1.0126666666666666"/>
        <n v="1.0492879166666667"/>
        <n v="1.0371400000000002"/>
        <n v="0.98492666666666662"/>
        <n v="1.0153375"/>
        <n v="1.0208537499999999"/>
        <n v="1.0571829166666666"/>
        <n v="1.0423895833333334"/>
        <n v="1.0422175"/>
        <n v="1.0208266666666665"/>
        <n v="1.0364612500000001"/>
        <n v="1.0499020833333335"/>
        <n v="1.0223116666666665"/>
        <n v="0.99381583333333312"/>
        <n v="1.0378208333333334"/>
        <n v="1.0634833333333333"/>
        <n v="0.97473333333333334"/>
        <n v="1.0167137499999999"/>
        <n v="1.0476999999999999"/>
        <n v="1.0443862500000001"/>
        <n v="1.0260716666666667"/>
        <n v="1.0186733333333333"/>
        <n v="1.0208499999999998"/>
        <n v="1.0267025000000001"/>
        <n v="1.0243958333333334"/>
        <n v="1.0521133333333335"/>
        <n v="1.0175891666666665"/>
        <n v="1.0335066666666668"/>
        <n v="1.0235208333333334"/>
        <n v="1.0011666666666668"/>
        <n v="1.0620166666666666"/>
        <n v="1.0738391666666667"/>
        <n v="1.0671166666666667"/>
        <n v="1.0575179166666666"/>
        <n v="1.0065183333333334"/>
        <n v="1.0230816666666667"/>
        <n v="1.0362608333333332"/>
        <n v="1.0025333333333333"/>
        <n v="1.0010395833333334"/>
        <n v="1.0440283333333333"/>
        <n v="1.0239770833333333"/>
        <n v="1.0514845833333331"/>
        <n v="1.0353308333333333"/>
        <n v="1.0878008333333333"/>
        <n v="1.0201995833333333"/>
        <n v="1.0333749999999999"/>
        <n v="1.0589995833333334"/>
        <n v="1.0691933333333332"/>
        <n v="0.9878870833333333"/>
        <n v="1.0133595833333333"/>
        <n v="0.98883874999999999"/>
        <n v="1.0024795833333335"/>
        <n v="1.0302575"/>
        <n v="1.05030625"/>
        <n v="1.0445245833333332"/>
        <n v="1.0195199999999998"/>
        <n v="1.0687125"/>
        <n v="1.0139166666666666"/>
        <n v="1.024"/>
        <n v="1.0118541666666665"/>
        <n v="1.0547133333333334"/>
        <n v="1.0113400000000001"/>
        <n v="1.04440625"/>
        <n v="1.0057683333333334"/>
        <n v="1.0028333333333332"/>
        <n v="1.0109399999999999"/>
        <n v="1.0676512499999999"/>
        <n v="1.0221895833333334"/>
        <n v="1.0296937500000001"/>
        <n v="0.99404375"/>
        <n v="1.0419266666666669"/>
        <n v="1.0450016666666668"/>
        <n v="1.0412166666666667"/>
        <n v="1.0579991666666666"/>
        <n v="1.0027187499999999"/>
        <n v="0.99987333333333328"/>
        <n v="1.0271091666666667"/>
        <n v="1.0332912499999998"/>
        <n v="1.0067066666666666"/>
        <n v="1.0218291666666668"/>
        <n v="1.0167983333333335"/>
        <n v="0.99737500000000001"/>
        <n v="1.06412"/>
        <n v="0.99219041666666685"/>
        <n v="1.0247483333333336"/>
        <n v="1.0273454166666665"/>
        <n v="1.0076466666666668"/>
        <n v="1.0761670833333332"/>
        <n v="1.0382266666666669"/>
        <n v="1.0475229166666666"/>
        <n v="1.0054399999999999"/>
        <n v="1.0316933333333334"/>
        <n v="1.0230783333333333"/>
        <n v="1.0474229166666666"/>
        <n v="1.017273333333333"/>
        <n v="1.0517437500000002"/>
        <n v="1.0350120833333332"/>
        <n v="1.03766"/>
        <n v="1.0162441666666666"/>
        <n v="1.0252725"/>
        <n v="1.0369833333333331"/>
        <n v="1.0029566666666665"/>
        <n v="1.0347599999999999"/>
        <n v="1.0486600000000001"/>
        <n v="1.0226320833333333"/>
        <n v="1.0209999999999999"/>
        <n v="1.03439375"/>
        <n v="1.0325666666666669"/>
        <n v="1.0155654166666666"/>
        <n v="1.0299375000000002"/>
        <n v="1.0474158333333332"/>
        <n v="1.0611629166666667"/>
        <n v="1.0024612500000001"/>
        <n v="1.0447295833333334"/>
        <n v="1.00796375"/>
        <n v="1.0244199999999999"/>
        <n v="0.99277833333333321"/>
        <n v="1.0169970833333333"/>
        <n v="1.0472700000000001"/>
        <n v="1.0184562500000001"/>
        <n v="1.0258783333333334"/>
        <n v="1.0746125"/>
        <n v="1.0798079166666665"/>
        <n v="1.0236112499999999"/>
        <n v="1.0294941666666668"/>
        <n v="0.96379333333333328"/>
        <n v="1.0411483333333333"/>
        <n v="1.0629191666666666"/>
        <n v="1.0201041666666666"/>
        <n v="1.0255516666666664"/>
        <n v="1.0237579166666668"/>
        <n v="1.013637916666666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52"/>
    <s v="F"/>
    <n v="0.60499999999999998"/>
    <n v="0.5"/>
    <n v="0.185"/>
    <n v="1.1185"/>
    <n v="0.46899999999999997"/>
    <n v="0.25850000000000001"/>
    <n v="0.33500000000000002"/>
    <n v="9"/>
    <n v="12"/>
    <s v="Rebecca"/>
    <s v="Bennett"/>
    <s v="University of Houston"/>
    <n v="1"/>
    <s v="Florida Atlantic Coast"/>
    <n v="22.1"/>
    <s v="Category 3"/>
    <x v="0"/>
    <x v="0"/>
    <x v="0"/>
  </r>
  <r>
    <n v="3344"/>
    <s v="F"/>
    <n v="0.45500000000000002"/>
    <n v="0.36499999999999999"/>
    <n v="0.11"/>
    <n v="0.38500000000000001"/>
    <n v="0.16600000000000001"/>
    <n v="4.5999999999999999E-2"/>
    <n v="0.13450000000000001"/>
    <n v="13"/>
    <n v="11"/>
    <s v="Naima"/>
    <s v="Reyes"/>
    <s v="University of Houston"/>
    <n v="2"/>
    <s v="Florida Gulf Coast"/>
    <n v="18"/>
    <s v="Category 2"/>
    <x v="0"/>
    <x v="1"/>
    <x v="1"/>
  </r>
  <r>
    <n v="1424"/>
    <s v="F"/>
    <n v="0.72499999999999998"/>
    <n v="0.6"/>
    <n v="0.2"/>
    <n v="1.7370000000000001"/>
    <n v="0.69699999999999995"/>
    <n v="0.35849999999999999"/>
    <n v="0.59499999999999997"/>
    <n v="11"/>
    <n v="1"/>
    <s v="Jan"/>
    <s v="Odom"/>
    <s v="University of Houston"/>
    <n v="4"/>
    <s v="Mid-Atlantic"/>
    <n v="6.1"/>
    <s v="Category 3"/>
    <x v="0"/>
    <x v="0"/>
    <x v="0"/>
  </r>
  <r>
    <n v="3755"/>
    <s v="I"/>
    <n v="0.48499999999999999"/>
    <n v="0.37"/>
    <n v="0.14000000000000001"/>
    <n v="0.50649999999999995"/>
    <n v="0.24249999999999999"/>
    <n v="8.7999999999999995E-2"/>
    <n v="0.14649999999999999"/>
    <n v="8"/>
    <n v="13"/>
    <s v="Betty"/>
    <s v="Berg"/>
    <s v="University of Houston"/>
    <n v="5"/>
    <s v="Southeast"/>
    <n v="12.8"/>
    <s v="Category 2"/>
    <x v="0"/>
    <x v="1"/>
    <x v="1"/>
  </r>
  <r>
    <n v="884"/>
    <s v="M"/>
    <n v="0.66"/>
    <n v="0.53"/>
    <n v="0.17"/>
    <n v="1.3905000000000001"/>
    <n v="0.59050000000000002"/>
    <n v="0.21199999999999999"/>
    <n v="0.45300000000000001"/>
    <n v="15"/>
    <n v="10"/>
    <s v="Hazel"/>
    <s v="Villa"/>
    <s v="University of Minnesota"/>
    <n v="8"/>
    <s v="West Coast"/>
    <n v="12.3"/>
    <s v="Category 3"/>
    <x v="0"/>
    <x v="0"/>
    <x v="0"/>
  </r>
  <r>
    <n v="2797"/>
    <s v="M"/>
    <n v="0.63"/>
    <n v="0.52500000000000002"/>
    <n v="0.19500000000000001"/>
    <n v="1.3134999999999999"/>
    <n v="0.49349999999999999"/>
    <n v="0.25650000000000001"/>
    <n v="0.46500000000000002"/>
    <n v="10"/>
    <n v="9"/>
    <s v="Danica"/>
    <s v="Tyler"/>
    <s v="University of Florida_x0009_"/>
    <n v="2"/>
    <s v="Florida Gulf Coast"/>
    <n v="18"/>
    <s v="Category 3"/>
    <x v="0"/>
    <x v="0"/>
    <x v="0"/>
  </r>
  <r>
    <n v="618"/>
    <s v="M"/>
    <n v="0.32"/>
    <n v="0.24"/>
    <n v="8.5000000000000006E-2"/>
    <n v="0.17"/>
    <n v="6.5500000000000003E-2"/>
    <n v="4.7E-2"/>
    <n v="4.9000000000000002E-2"/>
    <n v="7"/>
    <n v="11"/>
    <s v="Naima"/>
    <s v="Reyes"/>
    <s v="University of Houston"/>
    <n v="4"/>
    <s v="Mid-Atlantic"/>
    <n v="6.1"/>
    <s v="Category 2"/>
    <x v="0"/>
    <x v="1"/>
    <x v="1"/>
  </r>
  <r>
    <n v="1078"/>
    <s v="I"/>
    <n v="0.42"/>
    <n v="0.32"/>
    <n v="0.11"/>
    <n v="0.36249999999999999"/>
    <n v="0.17399999999999999"/>
    <n v="6.3500000000000001E-2"/>
    <n v="0.105"/>
    <n v="7"/>
    <n v="14"/>
    <s v="Santiago"/>
    <s v="Vaughan"/>
    <s v="Ohio State University_x0009_"/>
    <n v="1"/>
    <s v="Florida Atlantic Coast"/>
    <n v="22.1"/>
    <s v="Category 2"/>
    <x v="0"/>
    <x v="1"/>
    <x v="1"/>
  </r>
  <r>
    <n v="1982"/>
    <s v="F"/>
    <n v="0.72"/>
    <n v="0.57499999999999996"/>
    <n v="0.18"/>
    <n v="1.6705000000000001"/>
    <n v="0.73199999999999998"/>
    <n v="0.36049999999999999"/>
    <n v="0.501"/>
    <n v="12"/>
    <n v="5"/>
    <s v="Haniya"/>
    <s v="Talley"/>
    <s v="Prince William Sound Science Center"/>
    <n v="2"/>
    <s v="Florida Gulf Coast"/>
    <n v="18"/>
    <s v="Category 3"/>
    <x v="0"/>
    <x v="0"/>
    <x v="0"/>
  </r>
  <r>
    <n v="729"/>
    <s v="M"/>
    <n v="0.505"/>
    <n v="0.4"/>
    <n v="0.125"/>
    <n v="0.77"/>
    <n v="0.27350000000000002"/>
    <n v="0.159"/>
    <n v="0.255"/>
    <n v="13"/>
    <n v="11"/>
    <s v="Naima"/>
    <s v="Reyes"/>
    <s v="University of Houston"/>
    <n v="5"/>
    <s v="Southeast"/>
    <n v="12.8"/>
    <s v="Category 2"/>
    <x v="0"/>
    <x v="1"/>
    <x v="1"/>
  </r>
  <r>
    <n v="2050"/>
    <s v="I"/>
    <n v="0.44500000000000001"/>
    <n v="0.32"/>
    <n v="0.12"/>
    <n v="0.378"/>
    <n v="0.152"/>
    <n v="8.2500000000000004E-2"/>
    <n v="0.12"/>
    <n v="8"/>
    <n v="8"/>
    <s v="Kali"/>
    <s v="Metcalfe"/>
    <s v="Mote Marine Laboratory"/>
    <n v="5"/>
    <s v="Southeast"/>
    <n v="12.8"/>
    <s v="Category 2"/>
    <x v="0"/>
    <x v="1"/>
    <x v="1"/>
  </r>
  <r>
    <n v="2642"/>
    <s v="I"/>
    <n v="0.47499999999999998"/>
    <n v="0.36499999999999999"/>
    <n v="0.1"/>
    <n v="0.13150000000000001"/>
    <n v="0.20250000000000001"/>
    <n v="8.7499999999999994E-2"/>
    <n v="0.123"/>
    <n v="7"/>
    <n v="2"/>
    <s v="Tiegan"/>
    <s v="Davie"/>
    <s v="University of California, Davis"/>
    <n v="1"/>
    <s v="Florida Atlantic Coast"/>
    <n v="22.1"/>
    <s v="Category 2"/>
    <x v="0"/>
    <x v="1"/>
    <x v="1"/>
  </r>
  <r>
    <n v="2044"/>
    <s v="I"/>
    <n v="0.39500000000000002"/>
    <n v="0.29499999999999998"/>
    <n v="0.1"/>
    <n v="0.29299999999999998"/>
    <n v="0.14000000000000001"/>
    <n v="6.2E-2"/>
    <n v="8.2000000000000003E-2"/>
    <n v="7"/>
    <n v="7"/>
    <s v="Iona"/>
    <s v="Connolly"/>
    <s v="Florida Atlantic University"/>
    <n v="10"/>
    <s v="Pacific"/>
    <n v="24.1"/>
    <s v="Category 2"/>
    <x v="0"/>
    <x v="1"/>
    <x v="1"/>
  </r>
  <r>
    <n v="1527"/>
    <s v="M"/>
    <n v="0.70499999999999996"/>
    <n v="0.56000000000000005"/>
    <n v="0.16500000000000001"/>
    <n v="1.675"/>
    <n v="0.79700000000000004"/>
    <n v="0.40949999999999998"/>
    <n v="0.38800000000000001"/>
    <n v="10"/>
    <n v="13"/>
    <s v="Betty"/>
    <s v="Berg"/>
    <s v="University of Houston"/>
    <n v="8"/>
    <s v="West Coast"/>
    <n v="12.3"/>
    <s v="Category 3"/>
    <x v="0"/>
    <x v="0"/>
    <x v="0"/>
  </r>
  <r>
    <n v="1678"/>
    <s v="M"/>
    <n v="0.61499999999999999"/>
    <n v="0.47499999999999998"/>
    <n v="0.17499999999999999"/>
    <n v="1.224"/>
    <n v="0.60350000000000004"/>
    <n v="0.26100000000000001"/>
    <n v="0.311"/>
    <n v="9"/>
    <n v="1"/>
    <s v="Jan"/>
    <s v="Odom"/>
    <s v="University of Houston"/>
    <n v="2"/>
    <s v="Florida Gulf Coast"/>
    <n v="18"/>
    <s v="Category 3"/>
    <x v="0"/>
    <x v="0"/>
    <x v="0"/>
  </r>
  <r>
    <n v="726"/>
    <s v="F"/>
    <n v="0.49"/>
    <n v="0.36"/>
    <n v="0.11"/>
    <n v="0.50049999999999994"/>
    <n v="0.161"/>
    <n v="0.107"/>
    <n v="0.19500000000000001"/>
    <n v="17"/>
    <n v="5"/>
    <s v="Haniya"/>
    <s v="Talley"/>
    <s v="Prince William Sound Science Center"/>
    <n v="1"/>
    <s v="Florida Atlantic Coast"/>
    <n v="22.1"/>
    <s v="Category 2"/>
    <x v="0"/>
    <x v="1"/>
    <x v="1"/>
  </r>
  <r>
    <n v="3548"/>
    <s v="I"/>
    <n v="0.48"/>
    <n v="0.35499999999999998"/>
    <n v="0.125"/>
    <n v="0.49399999999999999"/>
    <n v="0.23849999999999999"/>
    <n v="8.3500000000000005E-2"/>
    <n v="0.15"/>
    <n v="9"/>
    <n v="6"/>
    <s v="Martin"/>
    <s v="Gaines"/>
    <s v="San Diego State University"/>
    <n v="8"/>
    <s v="West Coast"/>
    <n v="12.3"/>
    <s v="Category 2"/>
    <x v="0"/>
    <x v="1"/>
    <x v="1"/>
  </r>
  <r>
    <n v="1172"/>
    <s v="M"/>
    <n v="0.625"/>
    <n v="0.48"/>
    <n v="0.185"/>
    <n v="1.2064999999999999"/>
    <n v="0.58699999999999997"/>
    <n v="0.28999999999999998"/>
    <n v="0.28599999999999998"/>
    <n v="8"/>
    <n v="12"/>
    <s v="Rebecca"/>
    <s v="Bennett"/>
    <s v="University of Houston"/>
    <n v="7"/>
    <s v="Great Lakes"/>
    <n v="2.5"/>
    <s v="Category 3"/>
    <x v="0"/>
    <x v="0"/>
    <x v="0"/>
  </r>
  <r>
    <n v="2287"/>
    <s v="F"/>
    <n v="0.5"/>
    <n v="0.39500000000000002"/>
    <n v="0.15"/>
    <n v="0.71450000000000002"/>
    <n v="0.32350000000000001"/>
    <n v="0.17299999999999999"/>
    <n v="0.19500000000000001"/>
    <n v="9"/>
    <n v="9"/>
    <s v="Danica"/>
    <s v="Tyler"/>
    <s v="University of Florida_x0009_"/>
    <n v="4"/>
    <s v="Mid-Atlantic"/>
    <n v="6.1"/>
    <s v="Category 2"/>
    <x v="0"/>
    <x v="1"/>
    <x v="1"/>
  </r>
  <r>
    <n v="2886"/>
    <s v="I"/>
    <n v="0.505"/>
    <n v="0.4"/>
    <n v="0.125"/>
    <n v="0.5605"/>
    <n v="0.22550000000000001"/>
    <n v="0.14349999999999999"/>
    <n v="0.17"/>
    <n v="8"/>
    <n v="3"/>
    <s v="Inaya"/>
    <s v="Bernard"/>
    <s v="Stanford University"/>
    <n v="1"/>
    <s v="Florida Atlantic Coast"/>
    <n v="22.1"/>
    <s v="Category 2"/>
    <x v="0"/>
    <x v="1"/>
    <x v="1"/>
  </r>
  <r>
    <n v="3347"/>
    <s v="I"/>
    <n v="0.47"/>
    <n v="0.4"/>
    <n v="0.16"/>
    <n v="0.51"/>
    <n v="0.1615"/>
    <n v="7.2999999999999995E-2"/>
    <n v="0.19800000000000001"/>
    <n v="14"/>
    <n v="10"/>
    <s v="Hazel"/>
    <s v="Villa"/>
    <s v="University of Minnesota"/>
    <n v="9"/>
    <s v="North Pacific"/>
    <n v="1.9"/>
    <s v="Category 2"/>
    <x v="0"/>
    <x v="1"/>
    <x v="1"/>
  </r>
  <r>
    <n v="2640"/>
    <s v="I"/>
    <n v="0.46"/>
    <n v="0.37"/>
    <n v="0.12"/>
    <n v="0.53349999999999997"/>
    <n v="0.26450000000000001"/>
    <n v="0.108"/>
    <n v="0.13450000000000001"/>
    <n v="6"/>
    <n v="6"/>
    <s v="Martin"/>
    <s v="Gaines"/>
    <s v="San Diego State University"/>
    <n v="2"/>
    <s v="Florida Gulf Coast"/>
    <n v="18"/>
    <s v="Category 2"/>
    <x v="0"/>
    <x v="1"/>
    <x v="1"/>
  </r>
  <r>
    <n v="3951"/>
    <s v="F"/>
    <n v="0.53"/>
    <n v="0.42499999999999999"/>
    <n v="0.13"/>
    <n v="0.71699999999999997"/>
    <n v="0.21149999999999999"/>
    <n v="0.16600000000000001"/>
    <n v="0.255"/>
    <n v="13"/>
    <n v="6"/>
    <s v="Martin"/>
    <s v="Gaines"/>
    <s v="San Diego State University"/>
    <n v="2"/>
    <s v="Florida Gulf Coast"/>
    <n v="18"/>
    <s v="Category 2"/>
    <x v="0"/>
    <x v="1"/>
    <x v="1"/>
  </r>
  <r>
    <n v="1571"/>
    <s v="M"/>
    <n v="0.47499999999999998"/>
    <n v="0.36"/>
    <n v="0.1"/>
    <n v="0.42849999999999999"/>
    <n v="0.19650000000000001"/>
    <n v="9.9000000000000005E-2"/>
    <n v="0.112"/>
    <n v="7"/>
    <n v="5"/>
    <s v="Haniya"/>
    <s v="Talley"/>
    <s v="Prince William Sound Science Center"/>
    <n v="6"/>
    <s v="Gulf of Mexico_x0009_"/>
    <n v="14.1"/>
    <s v="Category 2"/>
    <x v="0"/>
    <x v="1"/>
    <x v="1"/>
  </r>
  <r>
    <n v="1035"/>
    <s v="F"/>
    <n v="0.65500000000000003"/>
    <n v="0.46"/>
    <n v="0.16"/>
    <n v="1.494"/>
    <n v="0.6895"/>
    <n v="0.33100000000000002"/>
    <n v="0.1825"/>
    <n v="9"/>
    <n v="1"/>
    <s v="Jan"/>
    <s v="Odom"/>
    <s v="University of Houston"/>
    <n v="8"/>
    <s v="West Coast"/>
    <n v="12.3"/>
    <s v="Category 3"/>
    <x v="0"/>
    <x v="0"/>
    <x v="0"/>
  </r>
  <r>
    <n v="4165"/>
    <s v="I"/>
    <n v="0.39"/>
    <n v="0.28999999999999998"/>
    <n v="0.1"/>
    <n v="0.28449999999999998"/>
    <n v="0.1255"/>
    <n v="6.3500000000000001E-2"/>
    <n v="8.1000000000000003E-2"/>
    <n v="7"/>
    <n v="10"/>
    <s v="Hazel"/>
    <s v="Villa"/>
    <s v="University of Minnesota"/>
    <n v="5"/>
    <s v="Southeast"/>
    <n v="12.8"/>
    <s v="Category 2"/>
    <x v="0"/>
    <x v="1"/>
    <x v="1"/>
  </r>
  <r>
    <n v="2818"/>
    <s v="I"/>
    <n v="0.33"/>
    <n v="0.22500000000000001"/>
    <n v="7.4999999999999997E-2"/>
    <n v="0.187"/>
    <n v="9.4500000000000001E-2"/>
    <n v="3.95E-2"/>
    <n v="4.2500000000000003E-2"/>
    <n v="7"/>
    <n v="1"/>
    <s v="Jan"/>
    <s v="Odom"/>
    <s v="University of Houston"/>
    <n v="8"/>
    <s v="West Coast"/>
    <n v="12.3"/>
    <s v="Category 2"/>
    <x v="0"/>
    <x v="1"/>
    <x v="1"/>
  </r>
  <r>
    <n v="1274"/>
    <s v="I"/>
    <n v="0.47499999999999998"/>
    <n v="0.38"/>
    <n v="0.12"/>
    <n v="0.441"/>
    <n v="0.17849999999999999"/>
    <n v="8.8499999999999995E-2"/>
    <n v="0.15049999999999999"/>
    <n v="8"/>
    <n v="3"/>
    <s v="Inaya"/>
    <s v="Bernard"/>
    <s v="Stanford University"/>
    <n v="8"/>
    <s v="West Coast"/>
    <n v="12.3"/>
    <s v="Category 2"/>
    <x v="0"/>
    <x v="1"/>
    <x v="1"/>
  </r>
  <r>
    <n v="386"/>
    <s v="F"/>
    <n v="0.45500000000000002"/>
    <n v="0.37"/>
    <n v="0.105"/>
    <n v="0.49249999999999999"/>
    <n v="0.216"/>
    <n v="0.1245"/>
    <n v="0.13500000000000001"/>
    <n v="9"/>
    <n v="10"/>
    <s v="Hazel"/>
    <s v="Villa"/>
    <s v="University of Minnesota"/>
    <n v="7"/>
    <s v="Great Lakes"/>
    <n v="2.5"/>
    <s v="Category 2"/>
    <x v="0"/>
    <x v="1"/>
    <x v="1"/>
  </r>
  <r>
    <n v="3488"/>
    <s v="I"/>
    <n v="0.51"/>
    <n v="0.40500000000000003"/>
    <n v="0.13"/>
    <n v="0.59899999999999998"/>
    <n v="0.30649999999999999"/>
    <n v="0.11550000000000001"/>
    <n v="0.14849999999999999"/>
    <n v="8"/>
    <n v="10"/>
    <s v="Hazel"/>
    <s v="Villa"/>
    <s v="University of Minnesota"/>
    <n v="9"/>
    <s v="North Pacific"/>
    <n v="1.9"/>
    <s v="Category 2"/>
    <x v="0"/>
    <x v="1"/>
    <x v="1"/>
  </r>
  <r>
    <n v="3526"/>
    <s v="I"/>
    <n v="0.33"/>
    <n v="0.23"/>
    <n v="8.5000000000000006E-2"/>
    <n v="0.16950000000000001"/>
    <n v="7.9000000000000001E-2"/>
    <n v="2.5999999999999999E-2"/>
    <n v="5.0500000000000003E-2"/>
    <n v="6"/>
    <n v="5"/>
    <s v="Haniya"/>
    <s v="Talley"/>
    <s v="Prince William Sound Science Center"/>
    <n v="3"/>
    <s v="Northeast"/>
    <n v="3.6"/>
    <s v="Category 2"/>
    <x v="0"/>
    <x v="1"/>
    <x v="1"/>
  </r>
  <r>
    <n v="3412"/>
    <s v="I"/>
    <n v="0.43"/>
    <n v="0.32"/>
    <n v="0.1"/>
    <n v="0.38550000000000001"/>
    <n v="0.192"/>
    <n v="7.4499999999999997E-2"/>
    <n v="0.1"/>
    <n v="7"/>
    <n v="11"/>
    <s v="Naima"/>
    <s v="Reyes"/>
    <s v="University of Houston"/>
    <n v="6"/>
    <s v="Gulf of Mexico_x0009_"/>
    <n v="14.1"/>
    <s v="Category 2"/>
    <x v="0"/>
    <x v="1"/>
    <x v="1"/>
  </r>
  <r>
    <n v="1075"/>
    <s v="I"/>
    <n v="0.41"/>
    <n v="0.3"/>
    <n v="0.1"/>
    <n v="0.28199999999999997"/>
    <n v="0.1255"/>
    <n v="5.7000000000000002E-2"/>
    <n v="8.7499999999999994E-2"/>
    <n v="7"/>
    <n v="12"/>
    <s v="Rebecca"/>
    <s v="Bennett"/>
    <s v="University of Houston"/>
    <n v="1"/>
    <s v="Florida Atlantic Coast"/>
    <n v="22.1"/>
    <s v="Category 2"/>
    <x v="0"/>
    <x v="1"/>
    <x v="1"/>
  </r>
  <r>
    <n v="426"/>
    <s v="M"/>
    <n v="0.57999999999999996"/>
    <n v="0.45"/>
    <n v="0.17499999999999999"/>
    <n v="1.0680000000000001"/>
    <n v="0.42499999999999999"/>
    <n v="0.20300000000000001"/>
    <n v="0.32"/>
    <n v="13"/>
    <n v="11"/>
    <s v="Naima"/>
    <s v="Reyes"/>
    <s v="University of Houston"/>
    <n v="3"/>
    <s v="Northeast"/>
    <n v="3.6"/>
    <s v="Category 3"/>
    <x v="0"/>
    <x v="0"/>
    <x v="0"/>
  </r>
  <r>
    <n v="3722"/>
    <s v="M"/>
    <n v="0.43"/>
    <n v="0.31"/>
    <n v="0.13"/>
    <n v="0.64849999999999997"/>
    <n v="0.27350000000000002"/>
    <n v="0.16300000000000001"/>
    <n v="0.184"/>
    <n v="9"/>
    <n v="15"/>
    <s v="Conan"/>
    <s v="Dalton"/>
    <s v="University of Houston"/>
    <n v="10"/>
    <s v="Pacific"/>
    <n v="24.1"/>
    <s v="Category 2"/>
    <x v="0"/>
    <x v="1"/>
    <x v="1"/>
  </r>
  <r>
    <n v="2305"/>
    <s v="M"/>
    <n v="0.59"/>
    <n v="0.49"/>
    <n v="0.13500000000000001"/>
    <n v="1.008"/>
    <n v="0.42199999999999999"/>
    <n v="0.22450000000000001"/>
    <n v="0.28499999999999998"/>
    <n v="11"/>
    <n v="3"/>
    <s v="Inaya"/>
    <s v="Bernard"/>
    <s v="Stanford University"/>
    <n v="1"/>
    <s v="Florida Atlantic Coast"/>
    <n v="22.1"/>
    <s v="Category 3"/>
    <x v="0"/>
    <x v="0"/>
    <x v="0"/>
  </r>
  <r>
    <n v="2320"/>
    <s v="F"/>
    <n v="0.505"/>
    <n v="0.39500000000000002"/>
    <n v="0.14499999999999999"/>
    <n v="0.65149999999999997"/>
    <n v="0.26950000000000002"/>
    <n v="0.153"/>
    <n v="0.20499999999999999"/>
    <n v="15"/>
    <n v="10"/>
    <s v="Hazel"/>
    <s v="Villa"/>
    <s v="University of Minnesota"/>
    <n v="3"/>
    <s v="Northeast"/>
    <n v="3.6"/>
    <s v="Category 2"/>
    <x v="0"/>
    <x v="1"/>
    <x v="1"/>
  </r>
  <r>
    <n v="2189"/>
    <s v="M"/>
    <n v="0.47"/>
    <n v="0.37"/>
    <n v="0.13500000000000001"/>
    <n v="0.54700000000000004"/>
    <n v="0.222"/>
    <n v="0.13250000000000001"/>
    <n v="0.17"/>
    <n v="12"/>
    <n v="13"/>
    <s v="Betty"/>
    <s v="Berg"/>
    <s v="University of Houston"/>
    <n v="4"/>
    <s v="Mid-Atlantic"/>
    <n v="6.1"/>
    <s v="Category 2"/>
    <x v="0"/>
    <x v="1"/>
    <x v="1"/>
  </r>
  <r>
    <n v="3462"/>
    <s v="F"/>
    <n v="0.625"/>
    <n v="0.495"/>
    <n v="0.16"/>
    <n v="1.1114999999999999"/>
    <n v="0.44950000000000001"/>
    <n v="0.28249999999999997"/>
    <n v="0.34499999999999997"/>
    <n v="11"/>
    <n v="10"/>
    <s v="Hazel"/>
    <s v="Villa"/>
    <s v="University of Minnesota"/>
    <n v="1"/>
    <s v="Florida Atlantic Coast"/>
    <n v="22.1"/>
    <s v="Category 3"/>
    <x v="0"/>
    <x v="0"/>
    <x v="0"/>
  </r>
  <r>
    <n v="3891"/>
    <s v="M"/>
    <n v="0.51500000000000001"/>
    <n v="0.4"/>
    <n v="0.14000000000000001"/>
    <n v="0.73650000000000004"/>
    <n v="0.29549999999999998"/>
    <n v="0.184"/>
    <n v="0.185"/>
    <n v="16"/>
    <n v="3"/>
    <s v="Inaya"/>
    <s v="Bernard"/>
    <s v="Stanford University"/>
    <n v="4"/>
    <s v="Mid-Atlantic"/>
    <n v="6.1"/>
    <s v="Category 2"/>
    <x v="0"/>
    <x v="1"/>
    <x v="1"/>
  </r>
  <r>
    <n v="2126"/>
    <s v="M"/>
    <n v="0.47"/>
    <n v="0.375"/>
    <n v="0.115"/>
    <n v="0.42649999999999999"/>
    <n v="0.16850000000000001"/>
    <n v="7.5499999999999998E-2"/>
    <n v="0.15"/>
    <n v="8"/>
    <n v="11"/>
    <s v="Naima"/>
    <s v="Reyes"/>
    <s v="University of Houston"/>
    <n v="2"/>
    <s v="Florida Gulf Coast"/>
    <n v="18"/>
    <s v="Category 2"/>
    <x v="0"/>
    <x v="1"/>
    <x v="1"/>
  </r>
  <r>
    <n v="1792"/>
    <s v="M"/>
    <n v="0.55000000000000004"/>
    <n v="0.42"/>
    <n v="0.16"/>
    <n v="1.3405"/>
    <n v="0.63249999999999995"/>
    <n v="0.311"/>
    <n v="0.34399999999999997"/>
    <n v="10"/>
    <n v="6"/>
    <s v="Martin"/>
    <s v="Gaines"/>
    <s v="San Diego State University"/>
    <n v="5"/>
    <s v="Southeast"/>
    <n v="12.8"/>
    <s v="Category 3"/>
    <x v="0"/>
    <x v="0"/>
    <x v="0"/>
  </r>
  <r>
    <n v="2197"/>
    <s v="I"/>
    <n v="0.37"/>
    <n v="0.28000000000000003"/>
    <n v="0.09"/>
    <n v="0.23300000000000001"/>
    <n v="9.0499999999999997E-2"/>
    <n v="5.45E-2"/>
    <n v="7.0000000000000007E-2"/>
    <n v="11"/>
    <n v="3"/>
    <s v="Inaya"/>
    <s v="Bernard"/>
    <s v="Stanford University"/>
    <n v="3"/>
    <s v="Northeast"/>
    <n v="3.6"/>
    <s v="Category 2"/>
    <x v="0"/>
    <x v="1"/>
    <x v="1"/>
  </r>
  <r>
    <n v="1865"/>
    <s v="I"/>
    <n v="0.52"/>
    <n v="0.39500000000000002"/>
    <n v="0.125"/>
    <n v="0.58050000000000002"/>
    <n v="0.2445"/>
    <n v="0.14599999999999999"/>
    <n v="0.16500000000000001"/>
    <n v="9"/>
    <n v="2"/>
    <s v="Tiegan"/>
    <s v="Davie"/>
    <s v="University of California, Davis"/>
    <n v="1"/>
    <s v="Florida Atlantic Coast"/>
    <n v="22.1"/>
    <s v="Category 2"/>
    <x v="0"/>
    <x v="1"/>
    <x v="1"/>
  </r>
  <r>
    <n v="2863"/>
    <s v="M"/>
    <n v="0.73499999999999999"/>
    <n v="0.56999999999999995"/>
    <n v="0.21"/>
    <n v="2.2355"/>
    <n v="1.1705000000000001"/>
    <n v="0.46300000000000002"/>
    <n v="0.53149999999999997"/>
    <n v="10"/>
    <n v="2"/>
    <s v="Tiegan"/>
    <s v="Davie"/>
    <s v="University of California, Davis"/>
    <n v="5"/>
    <s v="Southeast"/>
    <n v="12.8"/>
    <s v="Category 3"/>
    <x v="0"/>
    <x v="0"/>
    <x v="0"/>
  </r>
  <r>
    <n v="924"/>
    <s v="I"/>
    <n v="0.42499999999999999"/>
    <n v="0.34"/>
    <n v="0.1"/>
    <n v="0.38200000000000001"/>
    <n v="0.16400000000000001"/>
    <n v="9.6000000000000002E-2"/>
    <n v="0.1"/>
    <n v="6"/>
    <n v="3"/>
    <s v="Inaya"/>
    <s v="Bernard"/>
    <s v="Stanford University"/>
    <n v="7"/>
    <s v="Great Lakes"/>
    <n v="2.5"/>
    <s v="Category 2"/>
    <x v="0"/>
    <x v="1"/>
    <x v="1"/>
  </r>
  <r>
    <n v="3611"/>
    <s v="M"/>
    <n v="0.57999999999999996"/>
    <n v="0.45"/>
    <n v="0.16"/>
    <n v="0.86750000000000005"/>
    <n v="0.39350000000000002"/>
    <n v="0.221"/>
    <n v="0.215"/>
    <n v="9"/>
    <n v="11"/>
    <s v="Naima"/>
    <s v="Reyes"/>
    <s v="University of Houston"/>
    <n v="1"/>
    <s v="Florida Atlantic Coast"/>
    <n v="22.1"/>
    <s v="Category 2"/>
    <x v="0"/>
    <x v="1"/>
    <x v="1"/>
  </r>
  <r>
    <n v="1399"/>
    <s v="M"/>
    <n v="0.64500000000000002"/>
    <n v="0.52500000000000002"/>
    <n v="0.16"/>
    <n v="1.5075000000000001"/>
    <n v="0.74550000000000005"/>
    <n v="0.245"/>
    <n v="0.4325"/>
    <n v="11"/>
    <n v="13"/>
    <s v="Betty"/>
    <s v="Berg"/>
    <s v="University of Houston"/>
    <n v="9"/>
    <s v="North Pacific"/>
    <n v="1.9"/>
    <s v="Category 3"/>
    <x v="0"/>
    <x v="0"/>
    <x v="0"/>
  </r>
  <r>
    <n v="3492"/>
    <s v="M"/>
    <n v="0.55000000000000004"/>
    <n v="0.44"/>
    <n v="0.16"/>
    <n v="0.98499999999999999"/>
    <n v="0.46450000000000002"/>
    <n v="0.20100000000000001"/>
    <n v="0.27"/>
    <n v="8"/>
    <n v="9"/>
    <s v="Danica"/>
    <s v="Tyler"/>
    <s v="University of Florida_x0009_"/>
    <n v="4"/>
    <s v="Mid-Atlantic"/>
    <n v="6.1"/>
    <s v="Category 3"/>
    <x v="0"/>
    <x v="0"/>
    <x v="0"/>
  </r>
  <r>
    <n v="2176"/>
    <s v="M"/>
    <n v="0.57499999999999996"/>
    <n v="0.45"/>
    <n v="0.185"/>
    <n v="0.92500000000000004"/>
    <n v="0.34200000000000003"/>
    <n v="0.19700000000000001"/>
    <n v="0.35"/>
    <n v="12"/>
    <n v="12"/>
    <s v="Rebecca"/>
    <s v="Bennett"/>
    <s v="University of Houston"/>
    <n v="1"/>
    <s v="Florida Atlantic Coast"/>
    <n v="22.1"/>
    <s v="Category 2"/>
    <x v="0"/>
    <x v="1"/>
    <x v="1"/>
  </r>
  <r>
    <n v="2708"/>
    <s v="M"/>
    <n v="0.72499999999999998"/>
    <n v="0.55000000000000004"/>
    <n v="0.2"/>
    <n v="1.51"/>
    <n v="0.87350000000000005"/>
    <n v="0.42649999999999999"/>
    <n v="0.50849999999999995"/>
    <n v="9"/>
    <n v="2"/>
    <s v="Tiegan"/>
    <s v="Davie"/>
    <s v="University of California, Davis"/>
    <n v="4"/>
    <s v="Mid-Atlantic"/>
    <n v="6.1"/>
    <s v="Category 3"/>
    <x v="0"/>
    <x v="0"/>
    <x v="0"/>
  </r>
  <r>
    <n v="4140"/>
    <s v="F"/>
    <n v="0.63500000000000001"/>
    <n v="0.495"/>
    <n v="0.17499999999999999"/>
    <n v="1.2355"/>
    <n v="0.52049999999999996"/>
    <n v="0.3085"/>
    <n v="0.34699999999999998"/>
    <n v="10"/>
    <n v="5"/>
    <s v="Haniya"/>
    <s v="Talley"/>
    <s v="Prince William Sound Science Center"/>
    <n v="1"/>
    <s v="Florida Atlantic Coast"/>
    <n v="22.1"/>
    <s v="Category 3"/>
    <x v="0"/>
    <x v="0"/>
    <x v="0"/>
  </r>
  <r>
    <n v="3559"/>
    <s v="I"/>
    <n v="0.55000000000000004"/>
    <n v="0.42499999999999999"/>
    <n v="0.155"/>
    <n v="0.87250000000000005"/>
    <n v="0.41199999999999998"/>
    <n v="0.187"/>
    <n v="0.24249999999999999"/>
    <n v="10"/>
    <n v="14"/>
    <s v="Santiago"/>
    <s v="Vaughan"/>
    <s v="Ohio State University_x0009_"/>
    <n v="4"/>
    <s v="Mid-Atlantic"/>
    <n v="6.1"/>
    <s v="Category 3"/>
    <x v="0"/>
    <x v="0"/>
    <x v="0"/>
  </r>
  <r>
    <s v="NULL"/>
    <s v="M"/>
    <n v="0.71"/>
    <n v="0.55500000000000005"/>
    <n v="0.19500000000000001"/>
    <n v="1.9484999999999999"/>
    <n v="0.94550000000000001"/>
    <n v="0.3765"/>
    <n v="0.495"/>
    <n v="12"/>
    <s v="NULL"/>
    <s v="Jan"/>
    <s v="Odom"/>
    <s v="University of Houston"/>
    <s v="NULL"/>
    <s v="Florida Atlantic Coast"/>
    <n v="22.1"/>
    <s v="Category 3"/>
    <x v="0"/>
    <x v="0"/>
    <x v="0"/>
  </r>
  <r>
    <n v="1787"/>
    <s v="I"/>
    <n v="0.53500000000000003"/>
    <n v="0.38500000000000001"/>
    <n v="0.18"/>
    <n v="1.0834999999999999"/>
    <n v="0.4955"/>
    <n v="0.22950000000000001"/>
    <n v="0.30399999999999999"/>
    <n v="8"/>
    <n v="7"/>
    <s v="Iona"/>
    <s v="Connolly"/>
    <s v="Florida Atlantic University"/>
    <n v="5"/>
    <s v="Southeast"/>
    <n v="12.8"/>
    <s v="Category 3"/>
    <x v="0"/>
    <x v="0"/>
    <x v="0"/>
  </r>
  <r>
    <n v="1999"/>
    <s v="I"/>
    <n v="0.35"/>
    <n v="0.23499999999999999"/>
    <n v="0.08"/>
    <n v="0.17"/>
    <n v="7.2499999999999995E-2"/>
    <n v="4.65E-2"/>
    <n v="4.9500000000000002E-2"/>
    <n v="7"/>
    <n v="3"/>
    <s v="Inaya"/>
    <s v="Bernard"/>
    <s v="Stanford University"/>
    <n v="4"/>
    <s v="Mid-Atlantic"/>
    <n v="6.1"/>
    <s v="Category 2"/>
    <x v="0"/>
    <x v="1"/>
    <x v="1"/>
  </r>
  <r>
    <n v="4134"/>
    <s v="M"/>
    <n v="0.58499999999999996"/>
    <n v="0.45"/>
    <n v="0.15"/>
    <n v="0.997"/>
    <n v="0.40550000000000003"/>
    <n v="0.28299999999999997"/>
    <n v="0.251"/>
    <n v="11"/>
    <n v="5"/>
    <s v="Haniya"/>
    <s v="Talley"/>
    <s v="Prince William Sound Science Center"/>
    <n v="1"/>
    <s v="Florida Atlantic Coast"/>
    <n v="22.1"/>
    <s v="Category 3"/>
    <x v="0"/>
    <x v="0"/>
    <x v="0"/>
  </r>
  <r>
    <n v="3987"/>
    <s v="F"/>
    <n v="0.64500000000000002"/>
    <n v="0.52500000000000002"/>
    <n v="0.17"/>
    <n v="1.37"/>
    <n v="0.61350000000000005"/>
    <n v="0.28299999999999997"/>
    <n v="0.34"/>
    <n v="10"/>
    <n v="7"/>
    <s v="Iona"/>
    <s v="Connolly"/>
    <s v="Florida Atlantic University"/>
    <n v="5"/>
    <s v="Southeast"/>
    <n v="12.8"/>
    <s v="Category 3"/>
    <x v="0"/>
    <x v="0"/>
    <x v="0"/>
  </r>
  <r>
    <n v="3217"/>
    <s v="M"/>
    <n v="0.63"/>
    <n v="0.51"/>
    <n v="0.19"/>
    <n v="1.4984999999999999"/>
    <n v="0.41249999999999998"/>
    <n v="0.3075"/>
    <n v="0.54500000000000004"/>
    <n v="16"/>
    <n v="1"/>
    <s v="Jan"/>
    <s v="Odom"/>
    <s v="University of Houston"/>
    <n v="8"/>
    <s v="West Coast"/>
    <n v="12.3"/>
    <s v="Category 2"/>
    <x v="0"/>
    <x v="1"/>
    <x v="1"/>
  </r>
  <r>
    <n v="3111"/>
    <s v="I"/>
    <n v="0.39500000000000002"/>
    <n v="0.3"/>
    <n v="0.12"/>
    <n v="0.29949999999999999"/>
    <n v="0.1265"/>
    <n v="6.8000000000000005E-2"/>
    <n v="8.9499999999999996E-2"/>
    <n v="8"/>
    <n v="1"/>
    <s v="Jan"/>
    <s v="Odom"/>
    <s v="University of Houston"/>
    <n v="3"/>
    <s v="Northeast"/>
    <n v="3.6"/>
    <s v="Category 2"/>
    <x v="0"/>
    <x v="1"/>
    <x v="1"/>
  </r>
  <r>
    <n v="3836"/>
    <s v="F"/>
    <n v="0.42499999999999999"/>
    <n v="0.35"/>
    <n v="0.1"/>
    <n v="0.4425"/>
    <n v="0.17499999999999999"/>
    <n v="7.5499999999999998E-2"/>
    <n v="0.17499999999999999"/>
    <n v="7"/>
    <n v="2"/>
    <s v="Tiegan"/>
    <s v="Davie"/>
    <s v="University of California, Davis"/>
    <n v="3"/>
    <s v="Northeast"/>
    <n v="3.6"/>
    <s v="Category 2"/>
    <x v="0"/>
    <x v="1"/>
    <x v="1"/>
  </r>
  <r>
    <n v="156"/>
    <s v="M"/>
    <n v="0.51500000000000001"/>
    <n v="0.40500000000000003"/>
    <n v="0.13"/>
    <n v="0.72199999999999998"/>
    <n v="0.32"/>
    <n v="0.13100000000000001"/>
    <n v="0.21"/>
    <n v="10"/>
    <n v="15"/>
    <s v="Conan"/>
    <s v="Dalton"/>
    <s v="University of Houston"/>
    <n v="2"/>
    <s v="Florida Gulf Coast"/>
    <n v="18"/>
    <s v="Category 2"/>
    <x v="0"/>
    <x v="1"/>
    <x v="1"/>
  </r>
  <r>
    <n v="1825"/>
    <s v="I"/>
    <n v="0.185"/>
    <n v="0.13500000000000001"/>
    <n v="0.04"/>
    <n v="2.7E-2"/>
    <n v="1.0500000000000001E-2"/>
    <n v="5.4999999999999997E-3"/>
    <n v="8.9999999999999993E-3"/>
    <n v="5"/>
    <n v="9"/>
    <s v="Danica"/>
    <s v="Tyler"/>
    <s v="University of Florida_x0009_"/>
    <n v="10"/>
    <s v="Pacific"/>
    <n v="24.1"/>
    <s v="Category 2"/>
    <x v="0"/>
    <x v="1"/>
    <x v="1"/>
  </r>
  <r>
    <n v="3941"/>
    <s v="M"/>
    <n v="0.505"/>
    <n v="0.39"/>
    <n v="0.105"/>
    <n v="0.65549999999999997"/>
    <n v="0.25950000000000001"/>
    <n v="0.18"/>
    <n v="0.19"/>
    <n v="11"/>
    <n v="4"/>
    <s v="Nate"/>
    <s v="Craig"/>
    <s v="NOAA Fisheries"/>
    <n v="6"/>
    <s v="Gulf of Mexico_x0009_"/>
    <n v="14.1"/>
    <s v="Category 2"/>
    <x v="0"/>
    <x v="1"/>
    <x v="1"/>
  </r>
  <r>
    <n v="481"/>
    <s v="F"/>
    <n v="0.7"/>
    <n v="0.58499999999999996"/>
    <n v="0.185"/>
    <n v="1.8075000000000001"/>
    <n v="0.70550000000000002"/>
    <n v="0.32150000000000001"/>
    <n v="0.47499999999999998"/>
    <n v="29"/>
    <n v="11"/>
    <s v="Naima"/>
    <s v="Reyes"/>
    <s v="University of Houston"/>
    <n v="5"/>
    <s v="Southeast"/>
    <n v="12.8"/>
    <s v="Category 2"/>
    <x v="0"/>
    <x v="1"/>
    <x v="1"/>
  </r>
  <r>
    <n v="3516"/>
    <s v="F"/>
    <n v="0.69"/>
    <n v="0.52500000000000002"/>
    <n v="0.19"/>
    <n v="1.492"/>
    <n v="0.64249999999999996"/>
    <n v="0.39050000000000001"/>
    <n v="0.42"/>
    <n v="12"/>
    <n v="4"/>
    <s v="Nate"/>
    <s v="Craig"/>
    <s v="NOAA Fisheries"/>
    <n v="9"/>
    <s v="North Pacific"/>
    <n v="1.9"/>
    <s v="Category 3"/>
    <x v="0"/>
    <x v="0"/>
    <x v="0"/>
  </r>
  <r>
    <n v="2672"/>
    <s v="F"/>
    <n v="0.59"/>
    <n v="0.46"/>
    <n v="0.16"/>
    <n v="1.0115000000000001"/>
    <n v="0.44500000000000001"/>
    <n v="0.26150000000000001"/>
    <n v="0.25650000000000001"/>
    <n v="8"/>
    <n v="4"/>
    <s v="Nate"/>
    <s v="Craig"/>
    <s v="NOAA Fisheries"/>
    <n v="9"/>
    <s v="North Pacific"/>
    <n v="1.9"/>
    <s v="Category 3"/>
    <x v="0"/>
    <x v="0"/>
    <x v="0"/>
  </r>
  <r>
    <n v="3499"/>
    <s v="M"/>
    <n v="0.59"/>
    <n v="0.46"/>
    <n v="0.14499999999999999"/>
    <n v="0.92900000000000005"/>
    <n v="0.38"/>
    <n v="0.24"/>
    <n v="0.255"/>
    <n v="10"/>
    <n v="5"/>
    <s v="Haniya"/>
    <s v="Talley"/>
    <s v="Prince William Sound Science Center"/>
    <n v="1"/>
    <s v="Florida Atlantic Coast"/>
    <n v="22.1"/>
    <s v="Category 2"/>
    <x v="0"/>
    <x v="1"/>
    <x v="1"/>
  </r>
  <r>
    <n v="2568"/>
    <s v="F"/>
    <n v="0.46"/>
    <n v="0.35"/>
    <n v="0.115"/>
    <n v="0.46"/>
    <n v="0.20250000000000001"/>
    <n v="0.1115"/>
    <n v="0.11650000000000001"/>
    <n v="6"/>
    <n v="13"/>
    <s v="Betty"/>
    <s v="Berg"/>
    <s v="University of Houston"/>
    <n v="1"/>
    <s v="Florida Atlantic Coast"/>
    <n v="22.1"/>
    <s v="Category 2"/>
    <x v="0"/>
    <x v="1"/>
    <x v="1"/>
  </r>
  <r>
    <n v="3590"/>
    <s v="M"/>
    <n v="0.65"/>
    <n v="0.51500000000000001"/>
    <n v="0.18"/>
    <n v="1.4630000000000001"/>
    <n v="0.65800000000000003"/>
    <n v="0.3135"/>
    <n v="0.41149999999999998"/>
    <n v="11"/>
    <n v="13"/>
    <s v="Betty"/>
    <s v="Berg"/>
    <s v="University of Houston"/>
    <n v="3"/>
    <s v="Northeast"/>
    <n v="3.6"/>
    <s v="Category 3"/>
    <x v="0"/>
    <x v="0"/>
    <x v="0"/>
  </r>
  <r>
    <n v="1722"/>
    <s v="M"/>
    <n v="0.65500000000000003"/>
    <n v="0.55000000000000004"/>
    <n v="0.18"/>
    <n v="1.274"/>
    <n v="0.58599999999999997"/>
    <n v="0.28100000000000003"/>
    <n v="0.36499999999999999"/>
    <n v="10"/>
    <n v="15"/>
    <s v="Conan"/>
    <s v="Dalton"/>
    <s v="University of Houston"/>
    <n v="4"/>
    <s v="Mid-Atlantic"/>
    <n v="6.1"/>
    <s v="Category 3"/>
    <x v="0"/>
    <x v="0"/>
    <x v="0"/>
  </r>
  <r>
    <n v="2324"/>
    <s v="I"/>
    <n v="0.39500000000000002"/>
    <n v="0.32500000000000001"/>
    <n v="0.105"/>
    <n v="0.30599999999999999"/>
    <n v="0.111"/>
    <n v="7.3499999999999996E-2"/>
    <n v="9.5000000000000001E-2"/>
    <n v="8"/>
    <n v="2"/>
    <s v="Tiegan"/>
    <s v="Davie"/>
    <s v="University of California, Davis"/>
    <n v="10"/>
    <s v="Pacific"/>
    <n v="24.1"/>
    <s v="Category 2"/>
    <x v="0"/>
    <x v="1"/>
    <x v="1"/>
  </r>
  <r>
    <n v="2644"/>
    <s v="I"/>
    <n v="0.48499999999999999"/>
    <n v="0.375"/>
    <n v="0.13"/>
    <n v="0.55349999999999999"/>
    <n v="0.26600000000000001"/>
    <n v="0.112"/>
    <n v="0.157"/>
    <n v="8"/>
    <n v="2"/>
    <s v="Tiegan"/>
    <s v="Davie"/>
    <s v="University of California, Davis"/>
    <n v="8"/>
    <s v="West Coast"/>
    <n v="12.3"/>
    <s v="Category 2"/>
    <x v="0"/>
    <x v="1"/>
    <x v="1"/>
  </r>
  <r>
    <n v="328"/>
    <s v="M"/>
    <n v="0.51"/>
    <n v="0.4"/>
    <n v="0.13"/>
    <n v="0.64349999999999996"/>
    <n v="0.27"/>
    <n v="0.16650000000000001"/>
    <n v="0.20499999999999999"/>
    <n v="12"/>
    <n v="7"/>
    <s v="Iona"/>
    <s v="Connolly"/>
    <s v="Florida Atlantic University"/>
    <n v="2"/>
    <s v="Florida Gulf Coast"/>
    <n v="18"/>
    <s v="Category 2"/>
    <x v="0"/>
    <x v="1"/>
    <x v="1"/>
  </r>
  <r>
    <n v="915"/>
    <s v="I"/>
    <n v="0.37"/>
    <n v="0.28000000000000003"/>
    <n v="9.5000000000000001E-2"/>
    <n v="0.28649999999999998"/>
    <n v="0.15049999999999999"/>
    <n v="6.9000000000000006E-2"/>
    <n v="7.9500000000000001E-2"/>
    <n v="7"/>
    <n v="12"/>
    <s v="Rebecca"/>
    <s v="Bennett"/>
    <s v="University of Houston"/>
    <n v="1"/>
    <s v="Florida Atlantic Coast"/>
    <n v="22.1"/>
    <s v="Category 2"/>
    <x v="0"/>
    <x v="1"/>
    <x v="1"/>
  </r>
  <r>
    <n v="2781"/>
    <s v="M"/>
    <n v="0.59"/>
    <n v="0.47499999999999998"/>
    <n v="0.14000000000000001"/>
    <n v="0.97699999999999998"/>
    <n v="0.46250000000000002"/>
    <n v="0.20250000000000001"/>
    <n v="0.27500000000000002"/>
    <n v="10"/>
    <n v="5"/>
    <s v="Haniya"/>
    <s v="Talley"/>
    <s v="Prince William Sound Science Center"/>
    <n v="9"/>
    <s v="North Pacific"/>
    <n v="1.9"/>
    <s v="Category 3"/>
    <x v="0"/>
    <x v="0"/>
    <x v="0"/>
  </r>
  <r>
    <n v="2042"/>
    <s v="I"/>
    <n v="0.32500000000000001"/>
    <n v="0.24"/>
    <n v="7.0000000000000007E-2"/>
    <n v="0.152"/>
    <n v="5.6500000000000002E-2"/>
    <n v="3.0499999999999999E-2"/>
    <n v="5.3999999999999999E-2"/>
    <n v="8"/>
    <n v="1"/>
    <s v="Jan"/>
    <s v="Odom"/>
    <s v="University of Houston"/>
    <n v="9"/>
    <s v="North Pacific"/>
    <n v="1.9"/>
    <s v="Category 2"/>
    <x v="0"/>
    <x v="1"/>
    <x v="1"/>
  </r>
  <r>
    <n v="3790"/>
    <s v="F"/>
    <n v="0.64500000000000002"/>
    <n v="0.51"/>
    <n v="0.155"/>
    <n v="1.129"/>
    <n v="0.50149999999999995"/>
    <n v="0.24"/>
    <n v="0.34200000000000003"/>
    <n v="10"/>
    <n v="14"/>
    <s v="Santiago"/>
    <s v="Vaughan"/>
    <s v="Ohio State University_x0009_"/>
    <n v="10"/>
    <s v="Pacific"/>
    <n v="24.1"/>
    <s v="Category 3"/>
    <x v="0"/>
    <x v="0"/>
    <x v="0"/>
  </r>
  <r>
    <n v="3860"/>
    <s v="F"/>
    <n v="0.56999999999999995"/>
    <n v="0.44"/>
    <n v="0.19"/>
    <n v="1.018"/>
    <n v="0.44700000000000001"/>
    <n v="0.20699999999999999"/>
    <n v="0.26500000000000001"/>
    <n v="9"/>
    <n v="6"/>
    <s v="Martin"/>
    <s v="Gaines"/>
    <s v="San Diego State University"/>
    <n v="1"/>
    <s v="Florida Atlantic Coast"/>
    <n v="22.1"/>
    <s v="Category 3"/>
    <x v="0"/>
    <x v="0"/>
    <x v="0"/>
  </r>
  <r>
    <n v="71"/>
    <s v="M"/>
    <n v="0.55500000000000005"/>
    <n v="0.42499999999999999"/>
    <n v="0.13"/>
    <n v="0.76649999999999996"/>
    <n v="0.26400000000000001"/>
    <n v="0.16800000000000001"/>
    <n v="0.27500000000000002"/>
    <n v="13"/>
    <n v="9"/>
    <s v="Danica"/>
    <s v="Tyler"/>
    <s v="University of Florida_x0009_"/>
    <n v="2"/>
    <s v="Florida Gulf Coast"/>
    <n v="18"/>
    <s v="Category 2"/>
    <x v="0"/>
    <x v="1"/>
    <x v="1"/>
  </r>
  <r>
    <n v="3592"/>
    <s v="F"/>
    <n v="0.65"/>
    <n v="0.47499999999999998"/>
    <n v="0.16500000000000001"/>
    <n v="1.3875"/>
    <n v="0.57999999999999996"/>
    <n v="0.34849999999999998"/>
    <n v="0.3095"/>
    <n v="9"/>
    <n v="4"/>
    <s v="Nate"/>
    <s v="Craig"/>
    <s v="NOAA Fisheries"/>
    <n v="1"/>
    <s v="Florida Atlantic Coast"/>
    <n v="22.1"/>
    <s v="Category 3"/>
    <x v="0"/>
    <x v="0"/>
    <x v="0"/>
  </r>
  <r>
    <n v="150"/>
    <s v="I"/>
    <n v="0.17"/>
    <n v="0.13"/>
    <n v="9.5000000000000001E-2"/>
    <n v="0.03"/>
    <n v="1.2999999999999999E-2"/>
    <n v="8.0000000000000002E-3"/>
    <n v="0.01"/>
    <n v="4"/>
    <n v="7"/>
    <s v="Iona"/>
    <s v="Connolly"/>
    <s v="Florida Atlantic University"/>
    <n v="6"/>
    <s v="Gulf of Mexico_x0009_"/>
    <n v="14.1"/>
    <s v="Category 2"/>
    <x v="0"/>
    <x v="1"/>
    <x v="1"/>
  </r>
  <r>
    <n v="2027"/>
    <s v="F"/>
    <n v="0.56000000000000005"/>
    <n v="0.41"/>
    <n v="0.16"/>
    <n v="0.82150000000000001"/>
    <n v="0.34200000000000003"/>
    <n v="0.184"/>
    <n v="0.253"/>
    <n v="9"/>
    <n v="4"/>
    <s v="Nate"/>
    <s v="Craig"/>
    <s v="NOAA Fisheries"/>
    <n v="5"/>
    <s v="Southeast"/>
    <n v="12.8"/>
    <s v="Category 2"/>
    <x v="0"/>
    <x v="1"/>
    <x v="1"/>
  </r>
  <r>
    <n v="3119"/>
    <s v="M"/>
    <n v="0.51"/>
    <n v="0.41499999999999998"/>
    <n v="0.14499999999999999"/>
    <n v="0.751"/>
    <n v="0.32950000000000002"/>
    <n v="0.1835"/>
    <n v="0.20300000000000001"/>
    <n v="8"/>
    <n v="11"/>
    <s v="Naima"/>
    <s v="Reyes"/>
    <s v="University of Houston"/>
    <n v="8"/>
    <s v="West Coast"/>
    <n v="12.3"/>
    <s v="Category 2"/>
    <x v="0"/>
    <x v="1"/>
    <x v="1"/>
  </r>
  <r>
    <n v="4045"/>
    <s v="F"/>
    <n v="0.57999999999999996"/>
    <n v="0.42499999999999999"/>
    <n v="0.155"/>
    <n v="0.873"/>
    <n v="0.36149999999999999"/>
    <n v="0.249"/>
    <n v="0.23899999999999999"/>
    <n v="10"/>
    <n v="9"/>
    <s v="Danica"/>
    <s v="Tyler"/>
    <s v="University of Florida_x0009_"/>
    <n v="5"/>
    <s v="Southeast"/>
    <n v="12.8"/>
    <s v="Category 2"/>
    <x v="0"/>
    <x v="1"/>
    <x v="1"/>
  </r>
  <r>
    <n v="1652"/>
    <s v="F"/>
    <n v="0.59499999999999997"/>
    <n v="0.435"/>
    <n v="0.15"/>
    <n v="0.9"/>
    <n v="0.41749999999999998"/>
    <n v="0.17"/>
    <n v="0.26500000000000001"/>
    <n v="8"/>
    <n v="14"/>
    <s v="Santiago"/>
    <s v="Vaughan"/>
    <s v="Ohio State University_x0009_"/>
    <n v="8"/>
    <s v="West Coast"/>
    <n v="12.3"/>
    <s v="Category 3"/>
    <x v="0"/>
    <x v="0"/>
    <x v="0"/>
  </r>
  <r>
    <n v="3163"/>
    <s v="M"/>
    <n v="0.64"/>
    <n v="0.49"/>
    <n v="0.14000000000000001"/>
    <n v="1.194"/>
    <n v="0.44450000000000001"/>
    <n v="0.23799999999999999"/>
    <n v="0.375"/>
    <n v="15"/>
    <n v="14"/>
    <s v="Santiago"/>
    <s v="Vaughan"/>
    <s v="Ohio State University_x0009_"/>
    <n v="2"/>
    <s v="Florida Gulf Coast"/>
    <n v="18"/>
    <s v="Category 3"/>
    <x v="0"/>
    <x v="0"/>
    <x v="0"/>
  </r>
  <r>
    <n v="3066"/>
    <s v="F"/>
    <n v="0.64"/>
    <n v="0.48499999999999999"/>
    <n v="0.14499999999999999"/>
    <n v="1.1335"/>
    <n v="0.55249999999999999"/>
    <n v="0.2505"/>
    <n v="0.30149999999999999"/>
    <n v="11"/>
    <n v="3"/>
    <s v="Inaya"/>
    <s v="Bernard"/>
    <s v="Stanford University"/>
    <n v="10"/>
    <s v="Pacific"/>
    <n v="24.1"/>
    <s v="Category 3"/>
    <x v="0"/>
    <x v="0"/>
    <x v="0"/>
  </r>
  <r>
    <n v="2103"/>
    <s v="I"/>
    <n v="0.41"/>
    <n v="0.31"/>
    <n v="0.11"/>
    <n v="0.315"/>
    <n v="0.124"/>
    <n v="8.2000000000000003E-2"/>
    <n v="9.5000000000000001E-2"/>
    <n v="9"/>
    <n v="7"/>
    <s v="Iona"/>
    <s v="Connolly"/>
    <s v="Florida Atlantic University"/>
    <n v="6"/>
    <s v="Gulf of Mexico_x0009_"/>
    <n v="14.1"/>
    <s v="Category 2"/>
    <x v="0"/>
    <x v="1"/>
    <x v="1"/>
  </r>
  <r>
    <n v="1465"/>
    <s v="F"/>
    <n v="0.505"/>
    <n v="0.38"/>
    <n v="0.13500000000000001"/>
    <n v="0.6855"/>
    <n v="0.36099999999999999"/>
    <n v="0.1565"/>
    <n v="0.161"/>
    <n v="9"/>
    <n v="15"/>
    <s v="Conan"/>
    <s v="Dalton"/>
    <s v="University of Houston"/>
    <n v="3"/>
    <s v="Northeast"/>
    <n v="3.6"/>
    <s v="Category 2"/>
    <x v="0"/>
    <x v="1"/>
    <x v="1"/>
  </r>
  <r>
    <n v="2998"/>
    <s v="F"/>
    <n v="0.625"/>
    <n v="0.49"/>
    <n v="0.11"/>
    <n v="1.1359999999999999"/>
    <n v="0.52649999999999997"/>
    <n v="0.1915"/>
    <n v="0.29249999999999998"/>
    <n v="9"/>
    <n v="4"/>
    <s v="Nate"/>
    <s v="Craig"/>
    <s v="NOAA Fisheries"/>
    <n v="1"/>
    <s v="Florida Atlantic Coast"/>
    <n v="22.1"/>
    <s v="Category 3"/>
    <x v="0"/>
    <x v="0"/>
    <x v="0"/>
  </r>
  <r>
    <n v="1501"/>
    <s v="F"/>
    <n v="0.63"/>
    <n v="0.5"/>
    <n v="0.17499999999999999"/>
    <n v="1.1105"/>
    <n v="0.46700000000000003"/>
    <n v="0.26800000000000002"/>
    <n v="0.32900000000000001"/>
    <n v="10"/>
    <n v="6"/>
    <s v="Martin"/>
    <s v="Gaines"/>
    <s v="San Diego State University"/>
    <n v="6"/>
    <s v="Gulf of Mexico_x0009_"/>
    <n v="14.1"/>
    <s v="Category 3"/>
    <x v="0"/>
    <x v="0"/>
    <x v="0"/>
  </r>
  <r>
    <n v="3413"/>
    <s v="I"/>
    <n v="0.48"/>
    <n v="0.35499999999999998"/>
    <n v="0.115"/>
    <n v="0.57850000000000001"/>
    <n v="0.25"/>
    <n v="0.106"/>
    <n v="0.184"/>
    <n v="8"/>
    <n v="9"/>
    <s v="Danica"/>
    <s v="Tyler"/>
    <s v="University of Florida_x0009_"/>
    <n v="6"/>
    <s v="Gulf of Mexico_x0009_"/>
    <n v="14.1"/>
    <s v="Category 2"/>
    <x v="0"/>
    <x v="1"/>
    <x v="1"/>
  </r>
  <r>
    <n v="372"/>
    <s v="F"/>
    <n v="0.66"/>
    <n v="0.56499999999999995"/>
    <n v="0.19500000000000001"/>
    <n v="1.7605"/>
    <n v="0.69199999999999995"/>
    <n v="0.32650000000000001"/>
    <n v="0.5"/>
    <n v="16"/>
    <n v="8"/>
    <s v="Kali"/>
    <s v="Metcalfe"/>
    <s v="Mote Marine Laboratory"/>
    <n v="1"/>
    <s v="Florida Atlantic Coast"/>
    <n v="22.1"/>
    <s v="Category 3"/>
    <x v="0"/>
    <x v="0"/>
    <x v="0"/>
  </r>
  <r>
    <n v="3833"/>
    <s v="F"/>
    <n v="0.46"/>
    <n v="0.36499999999999999"/>
    <n v="0.115"/>
    <n v="0.44850000000000001"/>
    <n v="0.16500000000000001"/>
    <n v="8.3000000000000004E-2"/>
    <n v="0.17"/>
    <n v="14"/>
    <n v="14"/>
    <s v="Santiago"/>
    <s v="Vaughan"/>
    <s v="Ohio State University_x0009_"/>
    <n v="2"/>
    <s v="Florida Gulf Coast"/>
    <n v="18"/>
    <s v="Category 2"/>
    <x v="0"/>
    <x v="1"/>
    <x v="1"/>
  </r>
  <r>
    <n v="1710"/>
    <s v="M"/>
    <n v="0.64500000000000002"/>
    <n v="0.51"/>
    <n v="0.19"/>
    <n v="1.4744999999999999"/>
    <n v="0.60499999999999998"/>
    <n v="0.34499999999999997"/>
    <n v="0.48"/>
    <n v="9"/>
    <n v="13"/>
    <s v="Betty"/>
    <s v="Berg"/>
    <s v="University of Houston"/>
    <n v="1"/>
    <s v="Florida Atlantic Coast"/>
    <n v="22.1"/>
    <s v="Category 3"/>
    <x v="0"/>
    <x v="0"/>
    <x v="0"/>
  </r>
  <r>
    <n v="2434"/>
    <s v="F"/>
    <n v="0.66"/>
    <n v="0.51500000000000001"/>
    <n v="0.18"/>
    <n v="1.5229999999999999"/>
    <n v="0.54"/>
    <n v="0.33650000000000002"/>
    <n v="0.55500000000000005"/>
    <n v="16"/>
    <n v="15"/>
    <s v="Conan"/>
    <s v="Dalton"/>
    <s v="University of Houston"/>
    <n v="4"/>
    <s v="Mid-Atlantic"/>
    <n v="6.1"/>
    <s v="Category 3"/>
    <x v="0"/>
    <x v="0"/>
    <x v="0"/>
  </r>
  <r>
    <n v="137"/>
    <s v="F"/>
    <n v="0.30499999999999999"/>
    <n v="0.23"/>
    <n v="0.08"/>
    <n v="0.156"/>
    <n v="6.7500000000000004E-2"/>
    <n v="3.4500000000000003E-2"/>
    <n v="4.8000000000000001E-2"/>
    <n v="7"/>
    <n v="4"/>
    <s v="Nate"/>
    <s v="Craig"/>
    <s v="NOAA Fisheries"/>
    <n v="7"/>
    <s v="Great Lakes"/>
    <n v="2.5"/>
    <s v="Category 2"/>
    <x v="0"/>
    <x v="1"/>
    <x v="1"/>
  </r>
  <r>
    <n v="3018"/>
    <s v="I"/>
    <n v="0.435"/>
    <n v="0.32500000000000001"/>
    <n v="0.105"/>
    <n v="0.33500000000000002"/>
    <n v="0.13600000000000001"/>
    <n v="6.5000000000000002E-2"/>
    <n v="0.115"/>
    <n v="8"/>
    <n v="1"/>
    <s v="Jan"/>
    <s v="Odom"/>
    <s v="University of Houston"/>
    <n v="10"/>
    <s v="Pacific"/>
    <n v="24.1"/>
    <s v="Category 2"/>
    <x v="0"/>
    <x v="1"/>
    <x v="1"/>
  </r>
  <r>
    <n v="3427"/>
    <s v="M"/>
    <n v="0.71"/>
    <n v="0.55000000000000004"/>
    <n v="0.2"/>
    <n v="1.9045000000000001"/>
    <n v="0.88200000000000001"/>
    <n v="0.44"/>
    <n v="0.5"/>
    <n v="13"/>
    <n v="3"/>
    <s v="Inaya"/>
    <s v="Bernard"/>
    <s v="Stanford University"/>
    <n v="5"/>
    <s v="Southeast"/>
    <n v="12.8"/>
    <s v="Category 3"/>
    <x v="0"/>
    <x v="0"/>
    <x v="0"/>
  </r>
  <r>
    <n v="781"/>
    <s v="M"/>
    <n v="0.56000000000000005"/>
    <n v="0.41"/>
    <n v="0.16500000000000001"/>
    <n v="0.93"/>
    <n v="0.35049999999999998"/>
    <n v="0.23699999999999999"/>
    <n v="0.3"/>
    <n v="13"/>
    <n v="12"/>
    <s v="Rebecca"/>
    <s v="Bennett"/>
    <s v="University of Houston"/>
    <n v="1"/>
    <s v="Florida Atlantic Coast"/>
    <n v="22.1"/>
    <s v="Category 2"/>
    <x v="0"/>
    <x v="1"/>
    <x v="1"/>
  </r>
  <r>
    <n v="2871"/>
    <s v="I"/>
    <n v="0.37"/>
    <n v="0.27"/>
    <n v="0.09"/>
    <n v="0.1855"/>
    <n v="7.0000000000000007E-2"/>
    <n v="4.2500000000000003E-2"/>
    <n v="6.5000000000000002E-2"/>
    <n v="7"/>
    <n v="3"/>
    <s v="Inaya"/>
    <s v="Bernard"/>
    <s v="Stanford University"/>
    <n v="3"/>
    <s v="Northeast"/>
    <n v="3.6"/>
    <s v="Category 2"/>
    <x v="0"/>
    <x v="1"/>
    <x v="1"/>
  </r>
  <r>
    <n v="3141"/>
    <s v="M"/>
    <n v="0.55000000000000004"/>
    <n v="0.42499999999999999"/>
    <n v="0.16"/>
    <n v="0.97"/>
    <n v="0.28849999999999998"/>
    <n v="0.13900000000000001"/>
    <n v="0.48"/>
    <n v="20"/>
    <n v="5"/>
    <s v="Haniya"/>
    <s v="Talley"/>
    <s v="Prince William Sound Science Center"/>
    <n v="1"/>
    <s v="Florida Atlantic Coast"/>
    <n v="22.1"/>
    <s v="Category 2"/>
    <x v="0"/>
    <x v="1"/>
    <x v="1"/>
  </r>
  <r>
    <n v="186"/>
    <s v="M"/>
    <n v="0.62"/>
    <n v="0.49"/>
    <n v="0.19"/>
    <n v="1.218"/>
    <n v="0.54549999999999998"/>
    <n v="0.29649999999999999"/>
    <n v="0.35499999999999998"/>
    <n v="13"/>
    <n v="2"/>
    <s v="Tiegan"/>
    <s v="Davie"/>
    <s v="University of California, Davis"/>
    <n v="5"/>
    <s v="Southeast"/>
    <n v="12.8"/>
    <s v="Category 3"/>
    <x v="0"/>
    <x v="0"/>
    <x v="0"/>
  </r>
  <r>
    <n v="1040"/>
    <s v="F"/>
    <n v="0.66"/>
    <n v="0.47499999999999998"/>
    <n v="0.18"/>
    <n v="1.3694999999999999"/>
    <n v="0.64100000000000001"/>
    <n v="0.29399999999999998"/>
    <n v="0.33500000000000002"/>
    <n v="6"/>
    <n v="8"/>
    <s v="Kali"/>
    <s v="Metcalfe"/>
    <s v="Mote Marine Laboratory"/>
    <n v="10"/>
    <s v="Pacific"/>
    <n v="24.1"/>
    <s v="Category 3"/>
    <x v="0"/>
    <x v="0"/>
    <x v="0"/>
  </r>
  <r>
    <n v="3236"/>
    <s v="M"/>
    <n v="0.66500000000000004"/>
    <n v="0.53500000000000003"/>
    <n v="0.155"/>
    <n v="1.383"/>
    <n v="0.59599999999999997"/>
    <n v="0.25650000000000001"/>
    <n v="0.48499999999999999"/>
    <n v="14"/>
    <n v="12"/>
    <s v="Rebecca"/>
    <s v="Bennett"/>
    <s v="University of Houston"/>
    <n v="2"/>
    <s v="Florida Gulf Coast"/>
    <n v="18"/>
    <s v="Category 3"/>
    <x v="0"/>
    <x v="0"/>
    <x v="0"/>
  </r>
  <r>
    <n v="2844"/>
    <s v="M"/>
    <n v="0.6"/>
    <n v="0.45"/>
    <n v="0.16"/>
    <n v="1.1419999999999999"/>
    <n v="0.53900000000000003"/>
    <n v="0.22500000000000001"/>
    <n v="0.307"/>
    <n v="10"/>
    <n v="4"/>
    <s v="Nate"/>
    <s v="Craig"/>
    <s v="NOAA Fisheries"/>
    <n v="6"/>
    <s v="Gulf of Mexico_x0009_"/>
    <n v="14.1"/>
    <s v="Category 3"/>
    <x v="0"/>
    <x v="0"/>
    <x v="0"/>
  </r>
  <r>
    <n v="761"/>
    <s v="M"/>
    <n v="0.58499999999999996"/>
    <n v="0.40500000000000003"/>
    <n v="0.15"/>
    <n v="1.2565"/>
    <n v="0.435"/>
    <n v="0.20200000000000001"/>
    <n v="0.32500000000000001"/>
    <n v="15"/>
    <n v="3"/>
    <s v="Inaya"/>
    <s v="Bernard"/>
    <s v="Stanford University"/>
    <n v="4"/>
    <s v="Mid-Atlantic"/>
    <n v="6.1"/>
    <s v="Category 3"/>
    <x v="0"/>
    <x v="0"/>
    <x v="0"/>
  </r>
  <r>
    <n v="3068"/>
    <s v="M"/>
    <n v="0.65"/>
    <n v="0.505"/>
    <n v="0.17"/>
    <n v="1.5595000000000001"/>
    <n v="0.69499999999999995"/>
    <n v="0.35149999999999998"/>
    <n v="0.39500000000000002"/>
    <n v="11"/>
    <n v="1"/>
    <s v="Jan"/>
    <s v="Odom"/>
    <s v="University of Houston"/>
    <n v="6"/>
    <s v="Gulf of Mexico_x0009_"/>
    <n v="14.1"/>
    <s v="Category 3"/>
    <x v="0"/>
    <x v="0"/>
    <x v="0"/>
  </r>
  <r>
    <n v="86"/>
    <s v="F"/>
    <n v="0.56999999999999995"/>
    <n v="0.46500000000000002"/>
    <n v="0.18"/>
    <n v="1.2949999999999999"/>
    <n v="0.33900000000000002"/>
    <n v="0.2225"/>
    <n v="0.44"/>
    <n v="12"/>
    <n v="11"/>
    <s v="Naima"/>
    <s v="Reyes"/>
    <s v="University of Houston"/>
    <n v="7"/>
    <s v="Great Lakes"/>
    <n v="2.5"/>
    <s v="Category 3"/>
    <x v="0"/>
    <x v="0"/>
    <x v="0"/>
  </r>
  <r>
    <n v="4035"/>
    <s v="M"/>
    <n v="0.51"/>
    <n v="0.40500000000000003"/>
    <n v="0.125"/>
    <n v="0.6925"/>
    <n v="0.32700000000000001"/>
    <n v="0.155"/>
    <n v="0.18049999999999999"/>
    <n v="7"/>
    <n v="6"/>
    <s v="Martin"/>
    <s v="Gaines"/>
    <s v="San Diego State University"/>
    <n v="2"/>
    <s v="Florida Gulf Coast"/>
    <n v="18"/>
    <s v="Category 2"/>
    <x v="0"/>
    <x v="1"/>
    <x v="1"/>
  </r>
  <r>
    <n v="1055"/>
    <s v="I"/>
    <n v="0.19500000000000001"/>
    <n v="0.15"/>
    <n v="4.4999999999999998E-2"/>
    <n v="3.7499999999999999E-2"/>
    <n v="1.7999999999999999E-2"/>
    <n v="6.0000000000000001E-3"/>
    <n v="1.0999999999999999E-2"/>
    <n v="3"/>
    <n v="6"/>
    <s v="Martin"/>
    <s v="Gaines"/>
    <s v="San Diego State University"/>
    <n v="5"/>
    <s v="Southeast"/>
    <n v="12.8"/>
    <s v="Category 2"/>
    <x v="0"/>
    <x v="1"/>
    <x v="1"/>
  </r>
  <r>
    <n v="2652"/>
    <s v="I"/>
    <n v="0.51"/>
    <n v="0.38500000000000001"/>
    <n v="0.15"/>
    <n v="0.625"/>
    <n v="0.3095"/>
    <n v="0.11899999999999999"/>
    <n v="0.17249999999999999"/>
    <n v="8"/>
    <n v="12"/>
    <s v="Rebecca"/>
    <s v="Bennett"/>
    <s v="University of Houston"/>
    <n v="5"/>
    <s v="Southeast"/>
    <n v="12.8"/>
    <s v="Category 2"/>
    <x v="0"/>
    <x v="1"/>
    <x v="1"/>
  </r>
  <r>
    <n v="2722"/>
    <s v="I"/>
    <n v="0.375"/>
    <n v="0.28999999999999998"/>
    <n v="0.14000000000000001"/>
    <n v="0.3"/>
    <n v="0.14000000000000001"/>
    <n v="6.25E-2"/>
    <n v="8.2500000000000004E-2"/>
    <n v="8"/>
    <n v="12"/>
    <s v="Rebecca"/>
    <s v="Bennett"/>
    <s v="University of Houston"/>
    <n v="2"/>
    <s v="Florida Gulf Coast"/>
    <n v="18"/>
    <s v="Category 2"/>
    <x v="0"/>
    <x v="1"/>
    <x v="1"/>
  </r>
  <r>
    <n v="1271"/>
    <s v="I"/>
    <n v="0.47"/>
    <n v="0.35499999999999998"/>
    <n v="0.18"/>
    <n v="0.48"/>
    <n v="0.20549999999999999"/>
    <n v="0.105"/>
    <n v="0.15049999999999999"/>
    <n v="8"/>
    <n v="7"/>
    <s v="Iona"/>
    <s v="Connolly"/>
    <s v="Florida Atlantic University"/>
    <n v="1"/>
    <s v="Florida Atlantic Coast"/>
    <n v="22.1"/>
    <s v="Category 2"/>
    <x v="0"/>
    <x v="1"/>
    <x v="1"/>
  </r>
  <r>
    <n v="90"/>
    <s v="F"/>
    <n v="0.57499999999999996"/>
    <n v="0.45"/>
    <n v="0.16"/>
    <n v="0.97750000000000004"/>
    <n v="0.3135"/>
    <n v="0.23100000000000001"/>
    <n v="0.33"/>
    <n v="12"/>
    <n v="1"/>
    <s v="Jan"/>
    <s v="Odom"/>
    <s v="University of Houston"/>
    <n v="2"/>
    <s v="Florida Gulf Coast"/>
    <n v="18"/>
    <s v="Category 2"/>
    <x v="0"/>
    <x v="1"/>
    <x v="1"/>
  </r>
  <r>
    <n v="2789"/>
    <s v="F"/>
    <n v="0.61499999999999999"/>
    <n v="0.46"/>
    <n v="0.15"/>
    <n v="1.0265"/>
    <n v="0.49349999999999999"/>
    <n v="0.20100000000000001"/>
    <n v="0.27450000000000002"/>
    <n v="10"/>
    <n v="1"/>
    <s v="Jan"/>
    <s v="Odom"/>
    <s v="University of Houston"/>
    <n v="1"/>
    <s v="Florida Atlantic Coast"/>
    <n v="22.1"/>
    <s v="Category 3"/>
    <x v="0"/>
    <x v="0"/>
    <x v="0"/>
  </r>
  <r>
    <n v="3015"/>
    <s v="I"/>
    <n v="0.39500000000000002"/>
    <n v="0.3"/>
    <n v="0.09"/>
    <n v="0.253"/>
    <n v="0.11550000000000001"/>
    <n v="0.05"/>
    <n v="7.4999999999999997E-2"/>
    <n v="6"/>
    <n v="8"/>
    <s v="Kali"/>
    <s v="Metcalfe"/>
    <s v="Mote Marine Laboratory"/>
    <n v="5"/>
    <s v="Southeast"/>
    <n v="12.8"/>
    <s v="Category 2"/>
    <x v="0"/>
    <x v="1"/>
    <x v="1"/>
  </r>
  <r>
    <n v="1421"/>
    <s v="F"/>
    <n v="0.71"/>
    <n v="0.55000000000000004"/>
    <n v="0.17"/>
    <n v="1.6140000000000001"/>
    <n v="0.74299999999999999"/>
    <n v="0.34499999999999997"/>
    <n v="0.45"/>
    <n v="11"/>
    <n v="2"/>
    <s v="Tiegan"/>
    <s v="Davie"/>
    <s v="University of California, Davis"/>
    <n v="8"/>
    <s v="West Coast"/>
    <n v="12.3"/>
    <s v="Category 3"/>
    <x v="0"/>
    <x v="0"/>
    <x v="0"/>
  </r>
  <r>
    <n v="2399"/>
    <s v="I"/>
    <n v="0.5"/>
    <n v="0.38500000000000001"/>
    <n v="0.155"/>
    <n v="0.76200000000000001"/>
    <n v="0.3795"/>
    <n v="0.161"/>
    <n v="0.19"/>
    <n v="14"/>
    <n v="9"/>
    <s v="Danica"/>
    <s v="Tyler"/>
    <s v="University of Florida_x0009_"/>
    <n v="10"/>
    <s v="Pacific"/>
    <n v="24.1"/>
    <s v="Category 2"/>
    <x v="0"/>
    <x v="1"/>
    <x v="1"/>
  </r>
  <r>
    <n v="1503"/>
    <s v="M"/>
    <n v="0.63"/>
    <n v="0.48"/>
    <n v="0.15"/>
    <n v="1.2709999999999999"/>
    <n v="0.66049999999999998"/>
    <n v="0.24249999999999999"/>
    <n v="0.31"/>
    <n v="11"/>
    <n v="4"/>
    <s v="Nate"/>
    <s v="Craig"/>
    <s v="NOAA Fisheries"/>
    <n v="1"/>
    <s v="Florida Atlantic Coast"/>
    <n v="22.1"/>
    <s v="Category 3"/>
    <x v="0"/>
    <x v="0"/>
    <x v="0"/>
  </r>
  <r>
    <n v="3152"/>
    <s v="F"/>
    <n v="0.66500000000000004"/>
    <n v="0.5"/>
    <n v="0.17499999999999999"/>
    <n v="1.742"/>
    <n v="0.59499999999999997"/>
    <n v="0.30249999999999999"/>
    <n v="0.72499999999999998"/>
    <n v="21"/>
    <n v="13"/>
    <s v="Betty"/>
    <s v="Berg"/>
    <s v="University of Houston"/>
    <n v="1"/>
    <s v="Florida Atlantic Coast"/>
    <n v="22.1"/>
    <s v="Category 2"/>
    <x v="0"/>
    <x v="1"/>
    <x v="1"/>
  </r>
  <r>
    <n v="210"/>
    <s v="I"/>
    <n v="0.37"/>
    <n v="0.28000000000000003"/>
    <n v="9.5000000000000001E-2"/>
    <n v="0.26550000000000001"/>
    <n v="0.122"/>
    <n v="5.1999999999999998E-2"/>
    <n v="0.08"/>
    <n v="7"/>
    <n v="3"/>
    <s v="Inaya"/>
    <s v="Bernard"/>
    <s v="Stanford University"/>
    <n v="7"/>
    <s v="Great Lakes"/>
    <n v="2.5"/>
    <s v="Category 2"/>
    <x v="0"/>
    <x v="1"/>
    <x v="1"/>
  </r>
  <r>
    <n v="1314"/>
    <s v="M"/>
    <n v="0.55000000000000004"/>
    <n v="0.43"/>
    <n v="0.15"/>
    <n v="0.87450000000000006"/>
    <n v="0.41299999999999998"/>
    <n v="0.1905"/>
    <n v="0.248"/>
    <n v="9"/>
    <n v="14"/>
    <s v="Santiago"/>
    <s v="Vaughan"/>
    <s v="Ohio State University_x0009_"/>
    <n v="9"/>
    <s v="North Pacific"/>
    <n v="1.9"/>
    <s v="Category 3"/>
    <x v="0"/>
    <x v="0"/>
    <x v="0"/>
  </r>
  <r>
    <n v="1366"/>
    <s v="M"/>
    <n v="0.61"/>
    <n v="0.47499999999999998"/>
    <n v="0.17"/>
    <n v="1.0265"/>
    <n v="0.435"/>
    <n v="0.23350000000000001"/>
    <n v="0.30349999999999999"/>
    <n v="10"/>
    <n v="14"/>
    <s v="Santiago"/>
    <s v="Vaughan"/>
    <s v="Ohio State University_x0009_"/>
    <n v="5"/>
    <s v="Southeast"/>
    <n v="12.8"/>
    <s v="Category 3"/>
    <x v="0"/>
    <x v="0"/>
    <x v="0"/>
  </r>
  <r>
    <n v="1784"/>
    <s v="M"/>
    <n v="0.52500000000000002"/>
    <n v="0.38"/>
    <n v="0.125"/>
    <n v="0.65"/>
    <n v="0.30299999999999999"/>
    <n v="0.155"/>
    <n v="0.159"/>
    <n v="7"/>
    <n v="12"/>
    <s v="Rebecca"/>
    <s v="Bennett"/>
    <s v="University of Houston"/>
    <n v="3"/>
    <s v="Northeast"/>
    <n v="3.6"/>
    <s v="Category 2"/>
    <x v="0"/>
    <x v="1"/>
    <x v="1"/>
  </r>
  <r>
    <n v="1030"/>
    <s v="F"/>
    <n v="0.64500000000000002"/>
    <n v="0.5"/>
    <n v="0.16"/>
    <n v="1.2464999999999999"/>
    <n v="0.54749999999999999"/>
    <n v="0.32700000000000001"/>
    <n v="0.3"/>
    <n v="10"/>
    <n v="14"/>
    <s v="Santiago"/>
    <s v="Vaughan"/>
    <s v="Ohio State University_x0009_"/>
    <n v="6"/>
    <s v="Gulf of Mexico_x0009_"/>
    <n v="14.1"/>
    <s v="Category 3"/>
    <x v="0"/>
    <x v="0"/>
    <x v="0"/>
  </r>
  <r>
    <n v="2658"/>
    <s v="F"/>
    <n v="0.54500000000000004"/>
    <n v="0.4"/>
    <n v="0.14000000000000001"/>
    <n v="0.77800000000000002"/>
    <n v="0.36799999999999999"/>
    <n v="0.215"/>
    <n v="0.18"/>
    <n v="9"/>
    <n v="1"/>
    <s v="Jan"/>
    <s v="Odom"/>
    <s v="University of Houston"/>
    <n v="5"/>
    <s v="Southeast"/>
    <n v="12.8"/>
    <s v="Category 2"/>
    <x v="0"/>
    <x v="1"/>
    <x v="1"/>
  </r>
  <r>
    <n v="2242"/>
    <s v="F"/>
    <n v="0.435"/>
    <n v="0.32"/>
    <n v="0.12"/>
    <n v="0.3785"/>
    <n v="0.152"/>
    <n v="9.1499999999999998E-2"/>
    <n v="0.125"/>
    <n v="11"/>
    <n v="10"/>
    <s v="Hazel"/>
    <s v="Villa"/>
    <s v="University of Minnesota"/>
    <n v="6"/>
    <s v="Gulf of Mexico_x0009_"/>
    <n v="14.1"/>
    <s v="Category 2"/>
    <x v="0"/>
    <x v="1"/>
    <x v="1"/>
  </r>
  <r>
    <n v="184"/>
    <s v="F"/>
    <n v="0.62"/>
    <n v="0.47499999999999998"/>
    <n v="0.17499999999999999"/>
    <n v="1.0165"/>
    <n v="0.4355"/>
    <n v="0.214"/>
    <n v="0.32500000000000001"/>
    <n v="10"/>
    <n v="3"/>
    <s v="Inaya"/>
    <s v="Bernard"/>
    <s v="Stanford University"/>
    <n v="4"/>
    <s v="Mid-Atlantic"/>
    <n v="6.1"/>
    <s v="Category 3"/>
    <x v="0"/>
    <x v="0"/>
    <x v="0"/>
  </r>
  <r>
    <n v="3333"/>
    <s v="I"/>
    <n v="0.44"/>
    <n v="0.34"/>
    <n v="0.125"/>
    <n v="0.48949999999999999"/>
    <n v="0.17349999999999999"/>
    <n v="8.7499999999999994E-2"/>
    <n v="0.2"/>
    <n v="13"/>
    <n v="15"/>
    <s v="Conan"/>
    <s v="Dalton"/>
    <s v="University of Houston"/>
    <n v="2"/>
    <s v="Florida Gulf Coast"/>
    <n v="18"/>
    <s v="Category 2"/>
    <x v="0"/>
    <x v="1"/>
    <x v="1"/>
  </r>
  <r>
    <n v="1121"/>
    <s v="M"/>
    <n v="0.54500000000000004"/>
    <n v="0.39"/>
    <n v="0.13500000000000001"/>
    <n v="0.78349999999999997"/>
    <n v="0.42249999999999999"/>
    <n v="0.18149999999999999"/>
    <n v="0.156"/>
    <n v="7"/>
    <n v="10"/>
    <s v="Hazel"/>
    <s v="Villa"/>
    <s v="University of Minnesota"/>
    <n v="8"/>
    <s v="West Coast"/>
    <n v="12.3"/>
    <s v="Category 3"/>
    <x v="0"/>
    <x v="0"/>
    <x v="0"/>
  </r>
  <r>
    <n v="3913"/>
    <s v="I"/>
    <n v="0.52"/>
    <n v="0.40500000000000003"/>
    <n v="0.14000000000000001"/>
    <n v="0.67649999999999999"/>
    <n v="0.28649999999999998"/>
    <n v="0.14599999999999999"/>
    <n v="0.20499999999999999"/>
    <n v="15"/>
    <n v="10"/>
    <s v="Hazel"/>
    <s v="Villa"/>
    <s v="University of Minnesota"/>
    <n v="4"/>
    <s v="Mid-Atlantic"/>
    <n v="6.1"/>
    <s v="Category 2"/>
    <x v="0"/>
    <x v="1"/>
    <x v="1"/>
  </r>
  <r>
    <n v="3317"/>
    <s v="M"/>
    <n v="0.44"/>
    <n v="0.35"/>
    <n v="0.14000000000000001"/>
    <n v="0.45100000000000001"/>
    <n v="0.17100000000000001"/>
    <n v="7.0499999999999993E-2"/>
    <n v="0.184"/>
    <n v="16"/>
    <n v="1"/>
    <s v="Jan"/>
    <s v="Odom"/>
    <s v="University of Houston"/>
    <n v="4"/>
    <s v="Mid-Atlantic"/>
    <n v="6.1"/>
    <s v="Category 2"/>
    <x v="0"/>
    <x v="1"/>
    <x v="1"/>
  </r>
  <r>
    <n v="2702"/>
    <s v="F"/>
    <n v="0.67500000000000004"/>
    <n v="0.55000000000000004"/>
    <n v="0.19"/>
    <n v="1.5509999999999999"/>
    <n v="0.71050000000000002"/>
    <n v="0.36849999999999999"/>
    <n v="0.41199999999999998"/>
    <n v="13"/>
    <n v="3"/>
    <s v="Inaya"/>
    <s v="Bernard"/>
    <s v="Stanford University"/>
    <n v="1"/>
    <s v="Florida Atlantic Coast"/>
    <n v="22.1"/>
    <s v="Category 3"/>
    <x v="0"/>
    <x v="0"/>
    <x v="0"/>
  </r>
  <r>
    <n v="3392"/>
    <s v="M"/>
    <n v="0.54500000000000004"/>
    <n v="0.42"/>
    <n v="0.125"/>
    <n v="0.97450000000000003"/>
    <n v="0.35299999999999998"/>
    <n v="0.17399999999999999"/>
    <n v="0.30499999999999999"/>
    <n v="13"/>
    <n v="5"/>
    <s v="Haniya"/>
    <s v="Talley"/>
    <s v="Prince William Sound Science Center"/>
    <n v="9"/>
    <s v="North Pacific"/>
    <n v="1.9"/>
    <s v="Category 2"/>
    <x v="0"/>
    <x v="1"/>
    <x v="1"/>
  </r>
  <r>
    <n v="2130"/>
    <s v="M"/>
    <n v="0.59499999999999997"/>
    <n v="0.47"/>
    <n v="0.15"/>
    <n v="0.89149999999999996"/>
    <n v="0.35899999999999999"/>
    <n v="0.21049999999999999"/>
    <n v="0.245"/>
    <n v="12"/>
    <n v="13"/>
    <s v="Betty"/>
    <s v="Berg"/>
    <s v="University of Houston"/>
    <n v="4"/>
    <s v="Mid-Atlantic"/>
    <n v="6.1"/>
    <s v="Category 2"/>
    <x v="0"/>
    <x v="1"/>
    <x v="1"/>
  </r>
  <r>
    <n v="3179"/>
    <s v="M"/>
    <n v="0.38"/>
    <n v="0.3"/>
    <n v="0.1"/>
    <n v="0.2505"/>
    <n v="0.106"/>
    <n v="5.3499999999999999E-2"/>
    <n v="7.7499999999999999E-2"/>
    <n v="8"/>
    <n v="8"/>
    <s v="Kali"/>
    <s v="Metcalfe"/>
    <s v="Mote Marine Laboratory"/>
    <n v="10"/>
    <s v="Pacific"/>
    <n v="24.1"/>
    <s v="Category 2"/>
    <x v="0"/>
    <x v="1"/>
    <x v="1"/>
  </r>
  <r>
    <n v="3710"/>
    <s v="M"/>
    <n v="0.68500000000000005"/>
    <n v="0.55000000000000004"/>
    <n v="0.19"/>
    <n v="1.885"/>
    <n v="0.89"/>
    <n v="0.41"/>
    <n v="0.48949999999999999"/>
    <n v="10"/>
    <n v="7"/>
    <s v="Iona"/>
    <s v="Connolly"/>
    <s v="Florida Atlantic University"/>
    <n v="1"/>
    <s v="Florida Atlantic Coast"/>
    <n v="22.1"/>
    <s v="Category 3"/>
    <x v="0"/>
    <x v="0"/>
    <x v="0"/>
  </r>
  <r>
    <n v="2384"/>
    <s v="F"/>
    <n v="0.52500000000000002"/>
    <n v="0.39"/>
    <n v="0.13500000000000001"/>
    <n v="0.60050000000000003"/>
    <n v="0.22650000000000001"/>
    <n v="0.13100000000000001"/>
    <n v="0.21"/>
    <n v="16"/>
    <n v="6"/>
    <s v="Martin"/>
    <s v="Gaines"/>
    <s v="San Diego State University"/>
    <n v="3"/>
    <s v="Northeast"/>
    <n v="3.6"/>
    <s v="Category 2"/>
    <x v="0"/>
    <x v="1"/>
    <x v="1"/>
  </r>
  <r>
    <n v="996"/>
    <s v="M"/>
    <n v="0.57999999999999996"/>
    <n v="0.49"/>
    <n v="0.13"/>
    <n v="1.1335"/>
    <n v="0.58599999999999997"/>
    <n v="0.25650000000000001"/>
    <n v="0.23699999999999999"/>
    <n v="9"/>
    <n v="4"/>
    <s v="Nate"/>
    <s v="Craig"/>
    <s v="NOAA Fisheries"/>
    <n v="8"/>
    <s v="West Coast"/>
    <n v="12.3"/>
    <s v="Category 3"/>
    <x v="0"/>
    <x v="0"/>
    <x v="0"/>
  </r>
  <r>
    <n v="339"/>
    <s v="M"/>
    <n v="0.62"/>
    <n v="0.47499999999999998"/>
    <n v="0.185"/>
    <n v="1.325"/>
    <n v="0.60450000000000004"/>
    <n v="0.32500000000000001"/>
    <n v="0.33"/>
    <n v="13"/>
    <n v="5"/>
    <s v="Haniya"/>
    <s v="Talley"/>
    <s v="Prince William Sound Science Center"/>
    <n v="3"/>
    <s v="Northeast"/>
    <n v="3.6"/>
    <s v="Category 3"/>
    <x v="0"/>
    <x v="0"/>
    <x v="0"/>
  </r>
  <r>
    <n v="1027"/>
    <s v="M"/>
    <n v="0.64500000000000002"/>
    <n v="0.52"/>
    <n v="0.17499999999999999"/>
    <n v="1.5609999999999999"/>
    <n v="0.70899999999999996"/>
    <n v="0.35549999999999998"/>
    <n v="0.4"/>
    <n v="8"/>
    <n v="7"/>
    <s v="Iona"/>
    <s v="Connolly"/>
    <s v="Florida Atlantic University"/>
    <n v="5"/>
    <s v="Southeast"/>
    <n v="12.8"/>
    <s v="Category 3"/>
    <x v="0"/>
    <x v="0"/>
    <x v="0"/>
  </r>
  <r>
    <n v="478"/>
    <s v="M"/>
    <n v="0.66500000000000004"/>
    <n v="0.54"/>
    <n v="0.17499999999999999"/>
    <n v="1.347"/>
    <n v="0.4955"/>
    <n v="0.254"/>
    <n v="0.41499999999999998"/>
    <n v="17"/>
    <n v="2"/>
    <s v="Tiegan"/>
    <s v="Davie"/>
    <s v="University of California, Davis"/>
    <n v="3"/>
    <s v="Northeast"/>
    <n v="3.6"/>
    <s v="Category 2"/>
    <x v="0"/>
    <x v="1"/>
    <x v="1"/>
  </r>
  <r>
    <n v="779"/>
    <s v="M"/>
    <n v="0.46500000000000002"/>
    <n v="0.35"/>
    <n v="0.14000000000000001"/>
    <n v="0.57550000000000001"/>
    <n v="0.20150000000000001"/>
    <n v="0.15049999999999999"/>
    <n v="0.19"/>
    <n v="15"/>
    <n v="12"/>
    <s v="Rebecca"/>
    <s v="Bennett"/>
    <s v="University of Houston"/>
    <n v="4"/>
    <s v="Mid-Atlantic"/>
    <n v="6.1"/>
    <s v="Category 2"/>
    <x v="0"/>
    <x v="1"/>
    <x v="1"/>
  </r>
  <r>
    <n v="2780"/>
    <s v="M"/>
    <n v="0.59"/>
    <n v="0.47"/>
    <n v="0.14499999999999999"/>
    <n v="0.92349999999999999"/>
    <n v="0.45450000000000002"/>
    <n v="0.17299999999999999"/>
    <n v="0.254"/>
    <n v="9"/>
    <n v="3"/>
    <s v="Inaya"/>
    <s v="Bernard"/>
    <s v="Stanford University"/>
    <n v="5"/>
    <s v="Southeast"/>
    <n v="12.8"/>
    <s v="Category 3"/>
    <x v="0"/>
    <x v="0"/>
    <x v="0"/>
  </r>
  <r>
    <n v="3173"/>
    <s v="F"/>
    <n v="0.505"/>
    <n v="0.40500000000000003"/>
    <n v="0.18"/>
    <n v="0.60599999999999998"/>
    <n v="0.23899999999999999"/>
    <n v="0.1235"/>
    <n v="0.18"/>
    <n v="11"/>
    <n v="12"/>
    <s v="Rebecca"/>
    <s v="Bennett"/>
    <s v="University of Houston"/>
    <n v="9"/>
    <s v="North Pacific"/>
    <n v="1.9"/>
    <s v="Category 2"/>
    <x v="0"/>
    <x v="1"/>
    <x v="1"/>
  </r>
  <r>
    <n v="2337"/>
    <s v="F"/>
    <n v="0.56499999999999995"/>
    <n v="0.48"/>
    <n v="0.17499999999999999"/>
    <n v="0.95699999999999996"/>
    <n v="0.38850000000000001"/>
    <n v="0.215"/>
    <n v="0.27500000000000002"/>
    <n v="18"/>
    <n v="2"/>
    <s v="Tiegan"/>
    <s v="Davie"/>
    <s v="University of California, Davis"/>
    <n v="10"/>
    <s v="Pacific"/>
    <n v="24.1"/>
    <s v="Category 2"/>
    <x v="0"/>
    <x v="1"/>
    <x v="1"/>
  </r>
  <r>
    <n v="3576"/>
    <s v="M"/>
    <n v="0.6"/>
    <n v="0.47"/>
    <n v="0.15"/>
    <n v="0.92800000000000005"/>
    <n v="0.42249999999999999"/>
    <n v="0.183"/>
    <n v="0.27500000000000002"/>
    <n v="8"/>
    <n v="2"/>
    <s v="Tiegan"/>
    <s v="Davie"/>
    <s v="University of California, Davis"/>
    <n v="2"/>
    <s v="Florida Gulf Coast"/>
    <n v="18"/>
    <s v="Category 3"/>
    <x v="0"/>
    <x v="0"/>
    <x v="0"/>
  </r>
  <r>
    <n v="1045"/>
    <s v="M"/>
    <n v="0.69"/>
    <n v="0.52500000000000002"/>
    <n v="0.17499999999999999"/>
    <n v="1.7004999999999999"/>
    <n v="0.82550000000000001"/>
    <n v="0.36199999999999999"/>
    <n v="0.40500000000000003"/>
    <n v="8"/>
    <n v="9"/>
    <s v="Danica"/>
    <s v="Tyler"/>
    <s v="University of Florida_x0009_"/>
    <n v="1"/>
    <s v="Florida Atlantic Coast"/>
    <n v="22.1"/>
    <s v="Category 3"/>
    <x v="0"/>
    <x v="0"/>
    <x v="0"/>
  </r>
  <r>
    <n v="969"/>
    <s v="M"/>
    <n v="0.51"/>
    <n v="0.40500000000000003"/>
    <n v="0.15"/>
    <n v="0.70350000000000001"/>
    <n v="0.34699999999999998"/>
    <n v="0.13400000000000001"/>
    <n v="0.1885"/>
    <n v="8"/>
    <n v="13"/>
    <s v="Betty"/>
    <s v="Berg"/>
    <s v="University of Houston"/>
    <n v="7"/>
    <s v="Great Lakes"/>
    <n v="2.5"/>
    <s v="Category 2"/>
    <x v="0"/>
    <x v="1"/>
    <x v="1"/>
  </r>
  <r>
    <n v="4113"/>
    <s v="F"/>
    <n v="0.56000000000000005"/>
    <n v="0.42"/>
    <n v="0.18"/>
    <n v="1.6645000000000001"/>
    <n v="0.77549999999999997"/>
    <n v="0.35"/>
    <n v="0.45250000000000001"/>
    <n v="9"/>
    <n v="6"/>
    <s v="Martin"/>
    <s v="Gaines"/>
    <s v="San Diego State University"/>
    <n v="10"/>
    <s v="Pacific"/>
    <n v="24.1"/>
    <s v="Category 3"/>
    <x v="0"/>
    <x v="0"/>
    <x v="0"/>
  </r>
  <r>
    <n v="3575"/>
    <s v="F"/>
    <n v="0.6"/>
    <n v="0.47"/>
    <n v="0.17"/>
    <n v="1.0805"/>
    <n v="0.4995"/>
    <n v="0.22450000000000001"/>
    <n v="0.32050000000000001"/>
    <n v="9"/>
    <n v="4"/>
    <s v="Nate"/>
    <s v="Craig"/>
    <s v="NOAA Fisheries"/>
    <n v="10"/>
    <s v="Pacific"/>
    <n v="24.1"/>
    <s v="Category 3"/>
    <x v="0"/>
    <x v="0"/>
    <x v="0"/>
  </r>
  <r>
    <n v="1711"/>
    <s v="M"/>
    <n v="0.64500000000000002"/>
    <n v="0.51"/>
    <n v="0.19500000000000001"/>
    <n v="1.226"/>
    <n v="0.58850000000000002"/>
    <n v="0.2215"/>
    <n v="0.3745"/>
    <n v="10"/>
    <n v="6"/>
    <s v="Martin"/>
    <s v="Gaines"/>
    <s v="San Diego State University"/>
    <n v="8"/>
    <s v="West Coast"/>
    <n v="12.3"/>
    <s v="Category 3"/>
    <x v="0"/>
    <x v="0"/>
    <x v="0"/>
  </r>
  <r>
    <n v="2072"/>
    <s v="F"/>
    <n v="0.56499999999999995"/>
    <n v="0.44"/>
    <n v="0.13500000000000001"/>
    <n v="0.83"/>
    <n v="0.39300000000000002"/>
    <n v="0.17349999999999999"/>
    <n v="0.23799999999999999"/>
    <n v="9"/>
    <n v="6"/>
    <s v="Martin"/>
    <s v="Gaines"/>
    <s v="San Diego State University"/>
    <n v="10"/>
    <s v="Pacific"/>
    <n v="24.1"/>
    <s v="Category 2"/>
    <x v="0"/>
    <x v="1"/>
    <x v="1"/>
  </r>
  <r>
    <n v="68"/>
    <s v="F"/>
    <n v="0.59499999999999997"/>
    <n v="0.495"/>
    <n v="0.185"/>
    <n v="1.2849999999999999"/>
    <n v="0.41599999999999998"/>
    <n v="0.224"/>
    <n v="0.48499999999999999"/>
    <n v="13"/>
    <n v="7"/>
    <s v="Iona"/>
    <s v="Connolly"/>
    <s v="Florida Atlantic University"/>
    <n v="10"/>
    <s v="Pacific"/>
    <n v="24.1"/>
    <s v="Category 3"/>
    <x v="0"/>
    <x v="0"/>
    <x v="0"/>
  </r>
  <r>
    <n v="2914"/>
    <s v="M"/>
    <n v="0.59"/>
    <n v="0.5"/>
    <n v="0.15"/>
    <n v="1.1419999999999999"/>
    <n v="0.48499999999999999"/>
    <n v="0.26500000000000001"/>
    <n v="0.34499999999999997"/>
    <n v="9"/>
    <n v="12"/>
    <s v="Rebecca"/>
    <s v="Bennett"/>
    <s v="University of Houston"/>
    <n v="2"/>
    <s v="Florida Gulf Coast"/>
    <n v="18"/>
    <s v="Category 3"/>
    <x v="0"/>
    <x v="0"/>
    <x v="0"/>
  </r>
  <r>
    <n v="3437"/>
    <s v="I"/>
    <n v="0.38"/>
    <n v="0.27500000000000002"/>
    <n v="9.5000000000000001E-2"/>
    <n v="0.2505"/>
    <n v="9.4500000000000001E-2"/>
    <n v="6.5500000000000003E-2"/>
    <n v="7.4999999999999997E-2"/>
    <n v="6"/>
    <n v="13"/>
    <s v="Betty"/>
    <s v="Berg"/>
    <s v="University of Houston"/>
    <n v="6"/>
    <s v="Gulf of Mexico_x0009_"/>
    <n v="14.1"/>
    <s v="Category 2"/>
    <x v="0"/>
    <x v="1"/>
    <x v="1"/>
  </r>
  <r>
    <n v="1113"/>
    <s v="F"/>
    <n v="0.52"/>
    <n v="0.46"/>
    <n v="0.15"/>
    <n v="1.0189999999999999"/>
    <n v="0.52300000000000002"/>
    <n v="0.19850000000000001"/>
    <n v="0.254"/>
    <n v="7"/>
    <n v="8"/>
    <s v="Kali"/>
    <s v="Metcalfe"/>
    <s v="Mote Marine Laboratory"/>
    <n v="7"/>
    <s v="Great Lakes"/>
    <n v="2.5"/>
    <s v="Category 3"/>
    <x v="0"/>
    <x v="0"/>
    <x v="0"/>
  </r>
  <r>
    <n v="1878"/>
    <s v="I"/>
    <n v="0.54"/>
    <n v="0.39"/>
    <n v="0.125"/>
    <n v="0.62549999999999994"/>
    <n v="0.2525"/>
    <n v="0.158"/>
    <n v="0.19"/>
    <n v="8"/>
    <n v="7"/>
    <s v="Iona"/>
    <s v="Connolly"/>
    <s v="Florida Atlantic University"/>
    <n v="10"/>
    <s v="Pacific"/>
    <n v="24.1"/>
    <s v="Category 2"/>
    <x v="0"/>
    <x v="1"/>
    <x v="1"/>
  </r>
  <r>
    <n v="1809"/>
    <s v="F"/>
    <n v="0.63500000000000001"/>
    <n v="0.47499999999999998"/>
    <n v="0.15"/>
    <n v="1.1845000000000001"/>
    <n v="0.53300000000000003"/>
    <n v="0.307"/>
    <n v="0.29099999999999998"/>
    <n v="10"/>
    <n v="13"/>
    <s v="Betty"/>
    <s v="Berg"/>
    <s v="University of Houston"/>
    <n v="1"/>
    <s v="Florida Atlantic Coast"/>
    <n v="22.1"/>
    <s v="Category 3"/>
    <x v="0"/>
    <x v="0"/>
    <x v="0"/>
  </r>
  <r>
    <n v="3596"/>
    <s v="M"/>
    <n v="0.66"/>
    <n v="0.51500000000000001"/>
    <n v="0.2"/>
    <n v="1.6465000000000001"/>
    <n v="0.749"/>
    <n v="0.42199999999999999"/>
    <n v="0.40100000000000002"/>
    <n v="11"/>
    <n v="11"/>
    <s v="Naima"/>
    <s v="Reyes"/>
    <s v="University of Houston"/>
    <n v="7"/>
    <s v="Great Lakes"/>
    <n v="2.5"/>
    <s v="Category 3"/>
    <x v="0"/>
    <x v="0"/>
    <x v="0"/>
  </r>
  <r>
    <n v="1599"/>
    <s v="I"/>
    <n v="0.53"/>
    <n v="0.4"/>
    <n v="0.14499999999999999"/>
    <n v="0.55500000000000005"/>
    <n v="0.19350000000000001"/>
    <n v="0.1305"/>
    <n v="0.19500000000000001"/>
    <n v="9"/>
    <n v="14"/>
    <s v="Santiago"/>
    <s v="Vaughan"/>
    <s v="Ohio State University_x0009_"/>
    <n v="3"/>
    <s v="Northeast"/>
    <n v="3.6"/>
    <s v="Category 2"/>
    <x v="0"/>
    <x v="1"/>
    <x v="1"/>
  </r>
  <r>
    <n v="3271"/>
    <s v="F"/>
    <n v="0.625"/>
    <n v="0.47499999999999998"/>
    <n v="0.13"/>
    <n v="0.85950000000000004"/>
    <n v="0.31950000000000001"/>
    <n v="0.17749999999999999"/>
    <n v="0.24"/>
    <n v="13"/>
    <n v="3"/>
    <s v="Inaya"/>
    <s v="Bernard"/>
    <s v="Stanford University"/>
    <n v="9"/>
    <s v="North Pacific"/>
    <n v="1.9"/>
    <s v="Category 2"/>
    <x v="0"/>
    <x v="1"/>
    <x v="1"/>
  </r>
  <r>
    <n v="3079"/>
    <s v="F"/>
    <n v="0.69499999999999995"/>
    <n v="0.53500000000000003"/>
    <n v="0.2"/>
    <n v="1.5854999999999999"/>
    <n v="0.66700000000000004"/>
    <n v="0.33400000000000002"/>
    <n v="0.47099999999999997"/>
    <n v="11"/>
    <n v="14"/>
    <s v="Santiago"/>
    <s v="Vaughan"/>
    <s v="Ohio State University_x0009_"/>
    <n v="4"/>
    <s v="Mid-Atlantic"/>
    <n v="6.1"/>
    <s v="Category 3"/>
    <x v="0"/>
    <x v="0"/>
    <x v="0"/>
  </r>
  <r>
    <n v="23"/>
    <s v="F"/>
    <n v="0.56499999999999995"/>
    <n v="0.44"/>
    <n v="0.155"/>
    <n v="0.9395"/>
    <n v="0.42749999999999999"/>
    <n v="0.214"/>
    <n v="0.27"/>
    <n v="12"/>
    <n v="8"/>
    <s v="Kali"/>
    <s v="Metcalfe"/>
    <s v="Mote Marine Laboratory"/>
    <n v="8"/>
    <s v="West Coast"/>
    <n v="12.3"/>
    <s v="Category 3"/>
    <x v="0"/>
    <x v="0"/>
    <x v="0"/>
  </r>
  <r>
    <n v="2254"/>
    <s v="F"/>
    <n v="0.64500000000000002"/>
    <n v="0.5"/>
    <n v="0.2"/>
    <n v="1.4285000000000001"/>
    <n v="0.63900000000000001"/>
    <n v="0.30499999999999999"/>
    <n v="0.36"/>
    <n v="11"/>
    <n v="4"/>
    <s v="Nate"/>
    <s v="Craig"/>
    <s v="NOAA Fisheries"/>
    <n v="8"/>
    <s v="West Coast"/>
    <n v="12.3"/>
    <s v="Category 3"/>
    <x v="0"/>
    <x v="0"/>
    <x v="0"/>
  </r>
  <r>
    <n v="262"/>
    <s v="F"/>
    <n v="0.56999999999999995"/>
    <n v="0.44"/>
    <n v="0.125"/>
    <n v="0.86499999999999999"/>
    <n v="0.36749999999999999"/>
    <n v="0.17249999999999999"/>
    <n v="0.27"/>
    <n v="12"/>
    <n v="15"/>
    <s v="Conan"/>
    <s v="Dalton"/>
    <s v="University of Houston"/>
    <n v="7"/>
    <s v="Great Lakes"/>
    <n v="2.5"/>
    <s v="Category 2"/>
    <x v="0"/>
    <x v="1"/>
    <x v="1"/>
  </r>
  <r>
    <n v="3906"/>
    <s v="M"/>
    <n v="0.38"/>
    <n v="0.27"/>
    <n v="9.5000000000000001E-2"/>
    <n v="0.219"/>
    <n v="8.3500000000000005E-2"/>
    <n v="5.1499999999999997E-2"/>
    <n v="7.0000000000000007E-2"/>
    <n v="6"/>
    <n v="8"/>
    <s v="Kali"/>
    <s v="Metcalfe"/>
    <s v="Mote Marine Laboratory"/>
    <n v="4"/>
    <s v="Mid-Atlantic"/>
    <n v="6.1"/>
    <s v="Category 2"/>
    <x v="0"/>
    <x v="1"/>
    <x v="1"/>
  </r>
  <r>
    <n v="1351"/>
    <s v="F"/>
    <n v="0.59499999999999997"/>
    <n v="0.46500000000000002"/>
    <n v="0.15"/>
    <n v="0.98"/>
    <n v="0.41149999999999998"/>
    <n v="0.19600000000000001"/>
    <n v="0.22550000000000001"/>
    <n v="10"/>
    <n v="15"/>
    <s v="Conan"/>
    <s v="Dalton"/>
    <s v="University of Houston"/>
    <n v="4"/>
    <s v="Mid-Atlantic"/>
    <n v="6.1"/>
    <s v="Category 3"/>
    <x v="0"/>
    <x v="0"/>
    <x v="0"/>
  </r>
  <r>
    <n v="3868"/>
    <s v="F"/>
    <n v="0.5"/>
    <n v="0.39"/>
    <n v="0.13"/>
    <n v="0.63549999999999995"/>
    <n v="0.2505"/>
    <n v="0.16350000000000001"/>
    <n v="0.19500000000000001"/>
    <n v="15"/>
    <n v="6"/>
    <s v="Martin"/>
    <s v="Gaines"/>
    <s v="San Diego State University"/>
    <n v="10"/>
    <s v="Pacific"/>
    <n v="24.1"/>
    <s v="Category 2"/>
    <x v="0"/>
    <x v="1"/>
    <x v="1"/>
  </r>
  <r>
    <n v="2896"/>
    <s v="I"/>
    <n v="0.54"/>
    <n v="0.41499999999999998"/>
    <n v="0.11"/>
    <n v="0.61899999999999999"/>
    <n v="0.27550000000000002"/>
    <n v="0.15"/>
    <n v="0.17649999999999999"/>
    <n v="10"/>
    <n v="1"/>
    <s v="Jan"/>
    <s v="Odom"/>
    <s v="University of Houston"/>
    <n v="9"/>
    <s v="North Pacific"/>
    <n v="1.9"/>
    <s v="Category 2"/>
    <x v="0"/>
    <x v="1"/>
    <x v="1"/>
  </r>
  <r>
    <n v="2290"/>
    <s v="F"/>
    <n v="0.57999999999999996"/>
    <n v="0.47499999999999998"/>
    <n v="0.155"/>
    <n v="0.97399999999999998"/>
    <n v="0.43049999999999999"/>
    <n v="0.23"/>
    <n v="0.28499999999999998"/>
    <n v="10"/>
    <n v="11"/>
    <s v="Naima"/>
    <s v="Reyes"/>
    <s v="University of Houston"/>
    <n v="7"/>
    <s v="Great Lakes"/>
    <n v="2.5"/>
    <s v="Category 3"/>
    <x v="0"/>
    <x v="0"/>
    <x v="0"/>
  </r>
  <r>
    <n v="114"/>
    <s v="M"/>
    <n v="0.42499999999999999"/>
    <n v="0.35"/>
    <n v="0.105"/>
    <n v="0.39300000000000002"/>
    <n v="0.13"/>
    <n v="6.3E-2"/>
    <n v="0.16500000000000001"/>
    <n v="9"/>
    <n v="10"/>
    <s v="Hazel"/>
    <s v="Villa"/>
    <s v="University of Minnesota"/>
    <n v="7"/>
    <s v="Great Lakes"/>
    <n v="2.5"/>
    <s v="Category 2"/>
    <x v="0"/>
    <x v="1"/>
    <x v="1"/>
  </r>
  <r>
    <n v="3584"/>
    <s v="F"/>
    <n v="0.625"/>
    <n v="0.5"/>
    <n v="0.17499999999999999"/>
    <n v="1.2729999999999999"/>
    <n v="0.56399999999999995"/>
    <n v="0.30199999999999999"/>
    <n v="0.374"/>
    <n v="9"/>
    <n v="5"/>
    <s v="Haniya"/>
    <s v="Talley"/>
    <s v="Prince William Sound Science Center"/>
    <n v="5"/>
    <s v="Southeast"/>
    <n v="12.8"/>
    <s v="Category 3"/>
    <x v="0"/>
    <x v="0"/>
    <x v="0"/>
  </r>
  <r>
    <n v="1180"/>
    <s v="M"/>
    <n v="0.65"/>
    <n v="0.5"/>
    <n v="0.155"/>
    <n v="1.202"/>
    <n v="0.56499999999999995"/>
    <n v="0.3135"/>
    <n v="0.29399999999999998"/>
    <n v="11"/>
    <n v="4"/>
    <s v="Nate"/>
    <s v="Craig"/>
    <s v="NOAA Fisheries"/>
    <n v="4"/>
    <s v="Mid-Atlantic"/>
    <n v="6.1"/>
    <s v="Category 3"/>
    <x v="0"/>
    <x v="0"/>
    <x v="0"/>
  </r>
  <r>
    <n v="976"/>
    <s v="F"/>
    <n v="0.53"/>
    <n v="0.42499999999999999"/>
    <n v="0.15"/>
    <n v="0.84950000000000003"/>
    <n v="0.32800000000000001"/>
    <n v="0.23200000000000001"/>
    <n v="0.20200000000000001"/>
    <n v="8"/>
    <n v="14"/>
    <s v="Santiago"/>
    <s v="Vaughan"/>
    <s v="Ohio State University_x0009_"/>
    <n v="9"/>
    <s v="North Pacific"/>
    <n v="1.9"/>
    <s v="Category 2"/>
    <x v="0"/>
    <x v="1"/>
    <x v="1"/>
  </r>
  <r>
    <n v="1631"/>
    <s v="I"/>
    <n v="0.56999999999999995"/>
    <n v="0.44500000000000001"/>
    <n v="0.155"/>
    <n v="0.86699999999999999"/>
    <n v="0.3705"/>
    <n v="0.17050000000000001"/>
    <n v="0.28000000000000003"/>
    <n v="9"/>
    <n v="14"/>
    <s v="Santiago"/>
    <s v="Vaughan"/>
    <s v="Ohio State University_x0009_"/>
    <n v="8"/>
    <s v="West Coast"/>
    <n v="12.3"/>
    <s v="Category 2"/>
    <x v="0"/>
    <x v="1"/>
    <x v="1"/>
  </r>
  <r>
    <n v="1794"/>
    <s v="M"/>
    <n v="0.57499999999999996"/>
    <n v="0.44"/>
    <n v="0.185"/>
    <n v="1.0249999999999999"/>
    <n v="0.50749999999999995"/>
    <n v="0.22450000000000001"/>
    <n v="0.2485"/>
    <n v="10"/>
    <n v="2"/>
    <s v="Tiegan"/>
    <s v="Davie"/>
    <s v="University of California, Davis"/>
    <n v="9"/>
    <s v="North Pacific"/>
    <n v="1.9"/>
    <s v="Category 3"/>
    <x v="0"/>
    <x v="0"/>
    <x v="0"/>
  </r>
  <r>
    <n v="108"/>
    <s v="F"/>
    <n v="0.5"/>
    <n v="0.4"/>
    <n v="0.125"/>
    <n v="0.66749999999999998"/>
    <n v="0.26100000000000001"/>
    <n v="0.13150000000000001"/>
    <n v="0.22"/>
    <n v="10"/>
    <n v="14"/>
    <s v="Santiago"/>
    <s v="Vaughan"/>
    <s v="Ohio State University_x0009_"/>
    <n v="2"/>
    <s v="Florida Gulf Coast"/>
    <n v="18"/>
    <s v="Category 2"/>
    <x v="0"/>
    <x v="1"/>
    <x v="1"/>
  </r>
  <r>
    <n v="470"/>
    <s v="M"/>
    <n v="0.67500000000000004"/>
    <n v="0.55500000000000005"/>
    <n v="0.2"/>
    <n v="1.4384999999999999"/>
    <n v="0.54500000000000004"/>
    <n v="0.26650000000000001"/>
    <n v="0.46500000000000002"/>
    <n v="21"/>
    <n v="3"/>
    <s v="Inaya"/>
    <s v="Bernard"/>
    <s v="Stanford University"/>
    <n v="9"/>
    <s v="North Pacific"/>
    <n v="1.9"/>
    <s v="Category 2"/>
    <x v="0"/>
    <x v="1"/>
    <x v="1"/>
  </r>
  <r>
    <n v="3244"/>
    <s v="F"/>
    <n v="0.65500000000000003"/>
    <n v="0.51"/>
    <n v="0.16"/>
    <n v="1.0920000000000001"/>
    <n v="0.39600000000000002"/>
    <n v="0.28249999999999997"/>
    <n v="0.37"/>
    <n v="14"/>
    <n v="14"/>
    <s v="Santiago"/>
    <s v="Vaughan"/>
    <s v="Ohio State University_x0009_"/>
    <n v="5"/>
    <s v="Southeast"/>
    <n v="12.8"/>
    <s v="Category 2"/>
    <x v="0"/>
    <x v="1"/>
    <x v="1"/>
  </r>
  <r>
    <n v="1557"/>
    <s v="I"/>
    <n v="0.41499999999999998"/>
    <n v="0.32500000000000001"/>
    <n v="0.1"/>
    <n v="0.313"/>
    <n v="0.13900000000000001"/>
    <n v="6.25E-2"/>
    <n v="9.6500000000000002E-2"/>
    <n v="7"/>
    <n v="10"/>
    <s v="Hazel"/>
    <s v="Villa"/>
    <s v="University of Minnesota"/>
    <n v="2"/>
    <s v="Florida Gulf Coast"/>
    <n v="18"/>
    <s v="Category 2"/>
    <x v="0"/>
    <x v="1"/>
    <x v="1"/>
  </r>
  <r>
    <n v="2371"/>
    <s v="I"/>
    <n v="0.42"/>
    <n v="0.32500000000000001"/>
    <n v="0.115"/>
    <n v="0.35399999999999998"/>
    <n v="0.16250000000000001"/>
    <n v="6.4000000000000001E-2"/>
    <n v="0.105"/>
    <n v="8"/>
    <n v="14"/>
    <s v="Santiago"/>
    <s v="Vaughan"/>
    <s v="Ohio State University_x0009_"/>
    <n v="6"/>
    <s v="Gulf of Mexico_x0009_"/>
    <n v="14.1"/>
    <s v="Category 2"/>
    <x v="0"/>
    <x v="1"/>
    <x v="1"/>
  </r>
  <r>
    <n v="1170"/>
    <s v="F"/>
    <n v="0.62"/>
    <n v="0.48"/>
    <n v="0.16"/>
    <n v="1.1125"/>
    <n v="0.5635"/>
    <n v="0.2445"/>
    <n v="0.28100000000000003"/>
    <n v="8"/>
    <n v="3"/>
    <s v="Inaya"/>
    <s v="Bernard"/>
    <s v="Stanford University"/>
    <n v="9"/>
    <s v="North Pacific"/>
    <n v="1.9"/>
    <s v="Category 3"/>
    <x v="0"/>
    <x v="0"/>
    <x v="0"/>
  </r>
  <r>
    <n v="1596"/>
    <s v="M"/>
    <n v="0.52500000000000002"/>
    <n v="0.4"/>
    <n v="0.155"/>
    <n v="0.70699999999999996"/>
    <n v="0.28199999999999997"/>
    <n v="0.1605"/>
    <n v="0.22500000000000001"/>
    <n v="9"/>
    <n v="3"/>
    <s v="Inaya"/>
    <s v="Bernard"/>
    <s v="Stanford University"/>
    <n v="7"/>
    <s v="Great Lakes"/>
    <n v="2.5"/>
    <s v="Category 2"/>
    <x v="0"/>
    <x v="1"/>
    <x v="1"/>
  </r>
  <r>
    <n v="3682"/>
    <s v="M"/>
    <n v="0.61499999999999999"/>
    <n v="0.47"/>
    <n v="0.17499999999999999"/>
    <n v="1.242"/>
    <n v="0.5675"/>
    <n v="0.28699999999999998"/>
    <n v="0.317"/>
    <n v="11"/>
    <n v="12"/>
    <s v="Rebecca"/>
    <s v="Bennett"/>
    <s v="University of Houston"/>
    <n v="2"/>
    <s v="Florida Gulf Coast"/>
    <n v="18"/>
    <s v="Category 3"/>
    <x v="0"/>
    <x v="0"/>
    <x v="0"/>
  </r>
  <r>
    <n v="3678"/>
    <s v="M"/>
    <n v="0.60499999999999998"/>
    <n v="0.49"/>
    <n v="0.16500000000000001"/>
    <n v="1.1245000000000001"/>
    <n v="0.49199999999999999"/>
    <n v="0.222"/>
    <n v="0.35549999999999998"/>
    <n v="11"/>
    <n v="1"/>
    <s v="Jan"/>
    <s v="Odom"/>
    <s v="University of Houston"/>
    <n v="5"/>
    <s v="Southeast"/>
    <n v="12.8"/>
    <s v="Category 3"/>
    <x v="0"/>
    <x v="0"/>
    <x v="0"/>
  </r>
  <r>
    <n v="2115"/>
    <s v="I"/>
    <n v="0.13"/>
    <n v="9.5000000000000001E-2"/>
    <n v="3.5000000000000003E-2"/>
    <n v="1.0500000000000001E-2"/>
    <n v="5.0000000000000001E-3"/>
    <n v="6.4999999999999997E-3"/>
    <n v="3.5000000000000001E-3"/>
    <n v="4"/>
    <n v="6"/>
    <s v="Martin"/>
    <s v="Gaines"/>
    <s v="San Diego State University"/>
    <n v="6"/>
    <s v="Gulf of Mexico_x0009_"/>
    <n v="14.1"/>
    <s v="Category 2"/>
    <x v="0"/>
    <x v="1"/>
    <x v="1"/>
  </r>
  <r>
    <n v="3859"/>
    <s v="F"/>
    <n v="0.56499999999999995"/>
    <n v="0.45"/>
    <n v="0.16500000000000001"/>
    <n v="0.97650000000000003"/>
    <n v="0.32200000000000001"/>
    <n v="0.24399999999999999"/>
    <n v="0.37"/>
    <n v="12"/>
    <n v="1"/>
    <s v="Jan"/>
    <s v="Odom"/>
    <s v="University of Houston"/>
    <n v="10"/>
    <s v="Pacific"/>
    <n v="24.1"/>
    <s v="Category 2"/>
    <x v="0"/>
    <x v="1"/>
    <x v="1"/>
  </r>
  <r>
    <n v="139"/>
    <s v="F"/>
    <n v="0.40500000000000003"/>
    <n v="0.32500000000000001"/>
    <n v="0.11"/>
    <n v="0.35549999999999998"/>
    <n v="0.151"/>
    <n v="6.3E-2"/>
    <n v="0.11700000000000001"/>
    <n v="9"/>
    <n v="5"/>
    <s v="Haniya"/>
    <s v="Talley"/>
    <s v="Prince William Sound Science Center"/>
    <n v="6"/>
    <s v="Gulf of Mexico_x0009_"/>
    <n v="14.1"/>
    <s v="Category 2"/>
    <x v="0"/>
    <x v="1"/>
    <x v="1"/>
  </r>
  <r>
    <n v="2802"/>
    <s v="M"/>
    <n v="0.64"/>
    <n v="0.51500000000000001"/>
    <n v="0.08"/>
    <n v="1.042"/>
    <n v="0.51500000000000001"/>
    <n v="0.17549999999999999"/>
    <n v="0.17499999999999999"/>
    <n v="10"/>
    <n v="2"/>
    <s v="Tiegan"/>
    <s v="Davie"/>
    <s v="University of California, Davis"/>
    <n v="1"/>
    <s v="Florida Atlantic Coast"/>
    <n v="22.1"/>
    <s v="Category 3"/>
    <x v="0"/>
    <x v="0"/>
    <x v="0"/>
  </r>
  <r>
    <n v="830"/>
    <s v="I"/>
    <n v="0.41499999999999998"/>
    <n v="0.32"/>
    <n v="0.11"/>
    <n v="0.3735"/>
    <n v="0.17499999999999999"/>
    <n v="7.5499999999999998E-2"/>
    <n v="0.109"/>
    <n v="7"/>
    <n v="13"/>
    <s v="Betty"/>
    <s v="Berg"/>
    <s v="University of Houston"/>
    <n v="2"/>
    <s v="Florida Gulf Coast"/>
    <n v="18"/>
    <s v="Category 2"/>
    <x v="0"/>
    <x v="1"/>
    <x v="1"/>
  </r>
  <r>
    <n v="3853"/>
    <s v="M"/>
    <n v="0.55000000000000004"/>
    <n v="0.41"/>
    <n v="0.15"/>
    <n v="0.78500000000000003"/>
    <n v="0.28199999999999997"/>
    <n v="0.186"/>
    <n v="0.27500000000000002"/>
    <n v="12"/>
    <n v="7"/>
    <s v="Iona"/>
    <s v="Connolly"/>
    <s v="Florida Atlantic University"/>
    <n v="2"/>
    <s v="Florida Gulf Coast"/>
    <n v="18"/>
    <s v="Category 2"/>
    <x v="0"/>
    <x v="1"/>
    <x v="1"/>
  </r>
  <r>
    <n v="3888"/>
    <s v="F"/>
    <n v="0.56000000000000005"/>
    <n v="0.44"/>
    <n v="0.155"/>
    <n v="0.97050000000000003"/>
    <n v="0.43149999999999999"/>
    <n v="0.26300000000000001"/>
    <n v="0.255"/>
    <n v="9"/>
    <n v="6"/>
    <s v="Martin"/>
    <s v="Gaines"/>
    <s v="San Diego State University"/>
    <n v="1"/>
    <s v="Florida Atlantic Coast"/>
    <n v="22.1"/>
    <s v="Category 3"/>
    <x v="0"/>
    <x v="0"/>
    <x v="0"/>
  </r>
  <r>
    <n v="727"/>
    <s v="M"/>
    <n v="0.4"/>
    <n v="0.30499999999999999"/>
    <n v="8.5000000000000006E-2"/>
    <n v="0.29699999999999999"/>
    <n v="0.108"/>
    <n v="7.0499999999999993E-2"/>
    <n v="0.1"/>
    <n v="10"/>
    <n v="4"/>
    <s v="Nate"/>
    <s v="Craig"/>
    <s v="NOAA Fisheries"/>
    <n v="2"/>
    <s v="Florida Gulf Coast"/>
    <n v="18"/>
    <s v="Category 2"/>
    <x v="0"/>
    <x v="1"/>
    <x v="1"/>
  </r>
  <r>
    <n v="561"/>
    <s v="F"/>
    <n v="0.44"/>
    <n v="0.34"/>
    <n v="0.105"/>
    <n v="0.36399999999999999"/>
    <n v="0.14799999999999999"/>
    <n v="8.0500000000000002E-2"/>
    <n v="0.11749999999999999"/>
    <n v="8"/>
    <n v="14"/>
    <s v="Santiago"/>
    <s v="Vaughan"/>
    <s v="Ohio State University_x0009_"/>
    <n v="7"/>
    <s v="Great Lakes"/>
    <n v="2.5"/>
    <s v="Category 2"/>
    <x v="0"/>
    <x v="1"/>
    <x v="1"/>
  </r>
  <r>
    <n v="2957"/>
    <s v="F"/>
    <n v="0.65"/>
    <n v="0.56499999999999995"/>
    <n v="0.2"/>
    <n v="1.6645000000000001"/>
    <n v="0.753"/>
    <n v="0.36699999999999999"/>
    <n v="0.43"/>
    <n v="12"/>
    <n v="2"/>
    <s v="Tiegan"/>
    <s v="Davie"/>
    <s v="University of California, Davis"/>
    <n v="9"/>
    <s v="North Pacific"/>
    <n v="1.9"/>
    <s v="Category 3"/>
    <x v="0"/>
    <x v="0"/>
    <x v="0"/>
  </r>
  <r>
    <n v="3276"/>
    <s v="M"/>
    <n v="0.46"/>
    <n v="0.35499999999999998"/>
    <n v="0.11"/>
    <n v="0.41499999999999998"/>
    <n v="0.215"/>
    <n v="8.2000000000000003E-2"/>
    <n v="0.13"/>
    <n v="12"/>
    <n v="13"/>
    <s v="Betty"/>
    <s v="Berg"/>
    <s v="University of Houston"/>
    <n v="8"/>
    <s v="West Coast"/>
    <n v="12.3"/>
    <s v="Category 2"/>
    <x v="0"/>
    <x v="1"/>
    <x v="1"/>
  </r>
  <r>
    <n v="3659"/>
    <s v="I"/>
    <n v="0.53500000000000003"/>
    <n v="0.45"/>
    <n v="0.155"/>
    <n v="0.8075"/>
    <n v="0.36549999999999999"/>
    <n v="0.14799999999999999"/>
    <n v="0.25950000000000001"/>
    <n v="10"/>
    <n v="4"/>
    <s v="Nate"/>
    <s v="Craig"/>
    <s v="NOAA Fisheries"/>
    <n v="9"/>
    <s v="North Pacific"/>
    <n v="1.9"/>
    <s v="Category 2"/>
    <x v="0"/>
    <x v="1"/>
    <x v="1"/>
  </r>
  <r>
    <n v="95"/>
    <s v="M"/>
    <n v="0.69499999999999995"/>
    <n v="0.56000000000000005"/>
    <n v="0.19"/>
    <n v="1.494"/>
    <n v="0.58799999999999997"/>
    <n v="0.34250000000000003"/>
    <n v="0.48499999999999999"/>
    <n v="15"/>
    <n v="1"/>
    <s v="Jan"/>
    <s v="Odom"/>
    <s v="University of Houston"/>
    <n v="9"/>
    <s v="North Pacific"/>
    <n v="1.9"/>
    <s v="Category 3"/>
    <x v="0"/>
    <x v="0"/>
    <x v="0"/>
  </r>
  <r>
    <n v="291"/>
    <s v="M"/>
    <n v="0.54"/>
    <n v="0.435"/>
    <n v="0.18"/>
    <n v="0.996"/>
    <n v="0.38350000000000001"/>
    <n v="0.22600000000000001"/>
    <n v="0.32500000000000001"/>
    <n v="17"/>
    <n v="13"/>
    <s v="Betty"/>
    <s v="Berg"/>
    <s v="University of Houston"/>
    <n v="7"/>
    <s v="Great Lakes"/>
    <n v="2.5"/>
    <s v="Category 2"/>
    <x v="0"/>
    <x v="1"/>
    <x v="1"/>
  </r>
  <r>
    <n v="895"/>
    <s v="I"/>
    <n v="0.24"/>
    <n v="0.17499999999999999"/>
    <n v="6.5000000000000002E-2"/>
    <n v="6.6500000000000004E-2"/>
    <n v="3.1E-2"/>
    <n v="1.35E-2"/>
    <n v="1.7000000000000001E-2"/>
    <n v="3"/>
    <n v="15"/>
    <s v="Conan"/>
    <s v="Dalton"/>
    <s v="University of Houston"/>
    <n v="5"/>
    <s v="Southeast"/>
    <n v="12.8"/>
    <s v="Category 2"/>
    <x v="0"/>
    <x v="1"/>
    <x v="1"/>
  </r>
  <r>
    <n v="1076"/>
    <s v="I"/>
    <n v="0.41"/>
    <n v="0.32500000000000001"/>
    <n v="0.1"/>
    <n v="0.32450000000000001"/>
    <n v="0.13200000000000001"/>
    <n v="7.1999999999999995E-2"/>
    <n v="0.106"/>
    <n v="6"/>
    <n v="1"/>
    <s v="Jan"/>
    <s v="Odom"/>
    <s v="University of Houston"/>
    <n v="8"/>
    <s v="West Coast"/>
    <n v="12.3"/>
    <s v="Category 2"/>
    <x v="0"/>
    <x v="1"/>
    <x v="1"/>
  </r>
  <r>
    <n v="93"/>
    <s v="M"/>
    <n v="0.59499999999999997"/>
    <n v="0.46500000000000002"/>
    <n v="0.17499999999999999"/>
    <n v="1.115"/>
    <n v="0.40150000000000002"/>
    <n v="0.254"/>
    <n v="0.39"/>
    <n v="13"/>
    <n v="14"/>
    <s v="Santiago"/>
    <s v="Vaughan"/>
    <s v="Ohio State University_x0009_"/>
    <n v="5"/>
    <s v="Southeast"/>
    <n v="12.8"/>
    <s v="Category 3"/>
    <x v="0"/>
    <x v="0"/>
    <x v="0"/>
  </r>
  <r>
    <n v="2134"/>
    <s v="M"/>
    <n v="0.44"/>
    <n v="0.35"/>
    <n v="0.11"/>
    <n v="0.45850000000000002"/>
    <n v="0.2"/>
    <n v="8.8499999999999995E-2"/>
    <n v="0.13"/>
    <n v="9"/>
    <n v="2"/>
    <s v="Tiegan"/>
    <s v="Davie"/>
    <s v="University of California, Davis"/>
    <n v="7"/>
    <s v="Great Lakes"/>
    <n v="2.5"/>
    <s v="Category 2"/>
    <x v="0"/>
    <x v="1"/>
    <x v="1"/>
  </r>
  <r>
    <n v="892"/>
    <s v="M"/>
    <n v="0.73"/>
    <n v="0.59499999999999997"/>
    <n v="0.23"/>
    <n v="2.8254999999999999"/>
    <n v="1.1465000000000001"/>
    <n v="0.41899999999999998"/>
    <n v="0.89700000000000002"/>
    <n v="17"/>
    <n v="8"/>
    <s v="Kali"/>
    <s v="Metcalfe"/>
    <s v="Mote Marine Laboratory"/>
    <n v="10"/>
    <s v="Pacific"/>
    <n v="24.1"/>
    <s v="Category 1"/>
    <x v="1"/>
    <x v="0"/>
    <x v="1"/>
  </r>
  <r>
    <n v="2625"/>
    <s v="M"/>
    <n v="0.76500000000000001"/>
    <n v="0.58499999999999996"/>
    <n v="0.18"/>
    <n v="2.3980000000000001"/>
    <n v="1.1279999999999999"/>
    <n v="0.51200000000000001"/>
    <n v="0.53349999999999997"/>
    <n v="12"/>
    <n v="2"/>
    <s v="Tiegan"/>
    <s v="Davie"/>
    <s v="University of California, Davis"/>
    <n v="4"/>
    <s v="Mid-Atlantic"/>
    <n v="6.1"/>
    <s v="Category 1"/>
    <x v="1"/>
    <x v="0"/>
    <x v="1"/>
  </r>
  <r>
    <n v="1960"/>
    <s v="F"/>
    <n v="0.65"/>
    <n v="0.51"/>
    <n v="0.155"/>
    <n v="1.1890000000000001"/>
    <n v="0.48299999999999998"/>
    <n v="0.27800000000000002"/>
    <n v="0.36449999999999999"/>
    <n v="13"/>
    <n v="10"/>
    <s v="Hazel"/>
    <s v="Villa"/>
    <s v="University of Minnesota"/>
    <n v="1"/>
    <s v="Florida Atlantic Coast"/>
    <n v="22.1"/>
    <s v="Category 3"/>
    <x v="0"/>
    <x v="0"/>
    <x v="0"/>
  </r>
  <r>
    <n v="1514"/>
    <s v="M"/>
    <n v="0.65"/>
    <n v="0.48499999999999999"/>
    <n v="0.14000000000000001"/>
    <n v="1.175"/>
    <n v="0.47499999999999998"/>
    <n v="0.24349999999999999"/>
    <n v="0.215"/>
    <n v="8"/>
    <n v="2"/>
    <s v="Tiegan"/>
    <s v="Davie"/>
    <s v="University of California, Davis"/>
    <n v="7"/>
    <s v="Great Lakes"/>
    <n v="2.5"/>
    <s v="Category 3"/>
    <x v="0"/>
    <x v="0"/>
    <x v="0"/>
  </r>
  <r>
    <n v="3074"/>
    <s v="M"/>
    <n v="0.66500000000000004"/>
    <n v="0.52500000000000002"/>
    <n v="0.155"/>
    <n v="1.3574999999999999"/>
    <n v="0.53249999999999997"/>
    <n v="0.30449999999999999"/>
    <n v="0.44850000000000001"/>
    <n v="10"/>
    <n v="6"/>
    <s v="Martin"/>
    <s v="Gaines"/>
    <s v="San Diego State University"/>
    <n v="3"/>
    <s v="Northeast"/>
    <n v="3.6"/>
    <s v="Category 3"/>
    <x v="0"/>
    <x v="0"/>
    <x v="0"/>
  </r>
  <r>
    <n v="3923"/>
    <s v="I"/>
    <n v="0.52500000000000002"/>
    <n v="0.4"/>
    <n v="0.14000000000000001"/>
    <n v="0.69550000000000001"/>
    <n v="0.24049999999999999"/>
    <n v="0.16"/>
    <n v="0.253"/>
    <n v="10"/>
    <n v="15"/>
    <s v="Conan"/>
    <s v="Dalton"/>
    <s v="University of Houston"/>
    <n v="3"/>
    <s v="Northeast"/>
    <n v="3.6"/>
    <s v="Category 2"/>
    <x v="0"/>
    <x v="1"/>
    <x v="1"/>
  </r>
  <r>
    <n v="3384"/>
    <s v="M"/>
    <n v="0.5"/>
    <n v="0.375"/>
    <n v="0.13"/>
    <n v="0.72099999999999997"/>
    <n v="0.30549999999999999"/>
    <n v="0.17249999999999999"/>
    <n v="0.22"/>
    <n v="14"/>
    <n v="11"/>
    <s v="Naima"/>
    <s v="Reyes"/>
    <s v="University of Houston"/>
    <n v="9"/>
    <s v="North Pacific"/>
    <n v="1.9"/>
    <s v="Category 2"/>
    <x v="0"/>
    <x v="1"/>
    <x v="1"/>
  </r>
  <r>
    <n v="2815"/>
    <s v="I"/>
    <n v="0.27500000000000002"/>
    <n v="0.2"/>
    <n v="5.5E-2"/>
    <n v="9.2499999999999999E-2"/>
    <n v="3.7999999999999999E-2"/>
    <n v="2.1000000000000001E-2"/>
    <n v="2.5999999999999999E-2"/>
    <n v="4"/>
    <n v="11"/>
    <s v="Naima"/>
    <s v="Reyes"/>
    <s v="University of Houston"/>
    <n v="6"/>
    <s v="Gulf of Mexico_x0009_"/>
    <n v="14.1"/>
    <s v="Category 2"/>
    <x v="0"/>
    <x v="1"/>
    <x v="1"/>
  </r>
  <r>
    <n v="2798"/>
    <s v="M"/>
    <n v="0.64"/>
    <n v="0.505"/>
    <n v="0.155"/>
    <n v="1.1955"/>
    <n v="0.55649999999999999"/>
    <n v="0.21099999999999999"/>
    <n v="0.34599999999999997"/>
    <n v="11"/>
    <n v="8"/>
    <s v="Kali"/>
    <s v="Metcalfe"/>
    <s v="Mote Marine Laboratory"/>
    <n v="1"/>
    <s v="Florida Atlantic Coast"/>
    <n v="22.1"/>
    <s v="Category 3"/>
    <x v="0"/>
    <x v="0"/>
    <x v="0"/>
  </r>
  <r>
    <n v="104"/>
    <s v="M"/>
    <n v="0.53"/>
    <n v="0.41499999999999998"/>
    <n v="0.14000000000000001"/>
    <n v="0.72399999999999998"/>
    <n v="0.3105"/>
    <n v="0.16750000000000001"/>
    <n v="0.20499999999999999"/>
    <n v="10"/>
    <n v="11"/>
    <s v="Naima"/>
    <s v="Reyes"/>
    <s v="University of Houston"/>
    <n v="9"/>
    <s v="North Pacific"/>
    <n v="1.9"/>
    <s v="Category 2"/>
    <x v="0"/>
    <x v="1"/>
    <x v="1"/>
  </r>
  <r>
    <n v="2979"/>
    <s v="M"/>
    <n v="0.48499999999999999"/>
    <n v="0.36499999999999999"/>
    <n v="0.155"/>
    <n v="1.0289999999999999"/>
    <n v="0.42349999999999999"/>
    <n v="0.22850000000000001"/>
    <n v="0.313"/>
    <n v="8"/>
    <n v="10"/>
    <s v="Hazel"/>
    <s v="Villa"/>
    <s v="University of Minnesota"/>
    <n v="6"/>
    <s v="Gulf of Mexico_x0009_"/>
    <n v="14.1"/>
    <s v="Category 3"/>
    <x v="0"/>
    <x v="0"/>
    <x v="0"/>
  </r>
  <r>
    <n v="550"/>
    <s v="I"/>
    <n v="0.55500000000000005"/>
    <n v="0.42499999999999999"/>
    <n v="0.18"/>
    <n v="0.875"/>
    <n v="0.3695"/>
    <n v="0.20050000000000001"/>
    <n v="0.255"/>
    <n v="11"/>
    <n v="5"/>
    <s v="Haniya"/>
    <s v="Talley"/>
    <s v="Prince William Sound Science Center"/>
    <n v="8"/>
    <s v="West Coast"/>
    <n v="12.3"/>
    <s v="Category 2"/>
    <x v="0"/>
    <x v="1"/>
    <x v="1"/>
  </r>
  <r>
    <n v="857"/>
    <s v="M"/>
    <n v="0.59"/>
    <n v="0.47499999999999998"/>
    <n v="0.16500000000000001"/>
    <n v="1.077"/>
    <n v="0.45450000000000002"/>
    <n v="0.24399999999999999"/>
    <n v="0.3095"/>
    <n v="9"/>
    <n v="1"/>
    <s v="Jan"/>
    <s v="Odom"/>
    <s v="University of Houston"/>
    <n v="5"/>
    <s v="Southeast"/>
    <n v="12.8"/>
    <s v="Category 3"/>
    <x v="0"/>
    <x v="0"/>
    <x v="0"/>
  </r>
  <r>
    <n v="1374"/>
    <s v="M"/>
    <n v="0.61499999999999999"/>
    <n v="0.47499999999999998"/>
    <n v="0.17"/>
    <n v="1.129"/>
    <n v="0.47949999999999998"/>
    <n v="0.30199999999999999"/>
    <n v="0.3"/>
    <n v="10"/>
    <n v="15"/>
    <s v="Conan"/>
    <s v="Dalton"/>
    <s v="University of Houston"/>
    <n v="5"/>
    <s v="Southeast"/>
    <n v="12.8"/>
    <s v="Category 3"/>
    <x v="0"/>
    <x v="0"/>
    <x v="0"/>
  </r>
  <r>
    <n v="1681"/>
    <s v="M"/>
    <n v="0.62"/>
    <n v="0.51500000000000001"/>
    <n v="0.17499999999999999"/>
    <n v="1.2210000000000001"/>
    <n v="0.53500000000000003"/>
    <n v="0.24099999999999999"/>
    <n v="0.39500000000000002"/>
    <n v="13"/>
    <n v="4"/>
    <s v="Nate"/>
    <s v="Craig"/>
    <s v="NOAA Fisheries"/>
    <n v="5"/>
    <s v="Southeast"/>
    <n v="12.8"/>
    <s v="Category 3"/>
    <x v="0"/>
    <x v="0"/>
    <x v="0"/>
  </r>
  <r>
    <n v="3106"/>
    <s v="I"/>
    <n v="0.28999999999999998"/>
    <n v="0.215"/>
    <n v="0.06"/>
    <n v="0.1115"/>
    <n v="5.2999999999999999E-2"/>
    <n v="1.8499999999999999E-2"/>
    <n v="3.2000000000000001E-2"/>
    <n v="5"/>
    <n v="14"/>
    <s v="Santiago"/>
    <s v="Vaughan"/>
    <s v="Ohio State University_x0009_"/>
    <n v="2"/>
    <s v="Florida Gulf Coast"/>
    <n v="18"/>
    <s v="Category 2"/>
    <x v="0"/>
    <x v="1"/>
    <x v="1"/>
  </r>
  <r>
    <n v="2544"/>
    <s v="F"/>
    <n v="0.7"/>
    <n v="0.52500000000000002"/>
    <n v="0.19"/>
    <n v="1.6014999999999999"/>
    <n v="0.70699999999999996"/>
    <n v="0.36499999999999999"/>
    <n v="0.43"/>
    <n v="10"/>
    <n v="1"/>
    <s v="Jan"/>
    <s v="Odom"/>
    <s v="University of Houston"/>
    <n v="3"/>
    <s v="Northeast"/>
    <n v="3.6"/>
    <s v="Category 3"/>
    <x v="0"/>
    <x v="0"/>
    <x v="0"/>
  </r>
  <r>
    <n v="1938"/>
    <s v="M"/>
    <n v="0.625"/>
    <n v="0.51500000000000001"/>
    <n v="0.17"/>
    <n v="1.331"/>
    <n v="0.57250000000000001"/>
    <n v="0.30049999999999999"/>
    <n v="0.36099999999999999"/>
    <n v="9"/>
    <n v="14"/>
    <s v="Santiago"/>
    <s v="Vaughan"/>
    <s v="Ohio State University_x0009_"/>
    <n v="8"/>
    <s v="West Coast"/>
    <n v="12.3"/>
    <s v="Category 3"/>
    <x v="0"/>
    <x v="0"/>
    <x v="0"/>
  </r>
  <r>
    <n v="99"/>
    <s v="M"/>
    <n v="0.47"/>
    <n v="0.37"/>
    <n v="0.13"/>
    <n v="0.52249999999999996"/>
    <n v="0.20100000000000001"/>
    <n v="0.13300000000000001"/>
    <n v="0.16500000000000001"/>
    <n v="7"/>
    <n v="13"/>
    <s v="Betty"/>
    <s v="Berg"/>
    <s v="University of Houston"/>
    <n v="6"/>
    <s v="Gulf of Mexico_x0009_"/>
    <n v="14.1"/>
    <s v="Category 2"/>
    <x v="0"/>
    <x v="1"/>
    <x v="1"/>
  </r>
  <r>
    <n v="2706"/>
    <s v="M"/>
    <n v="0.7"/>
    <n v="0.55000000000000004"/>
    <n v="0.2"/>
    <n v="1.5229999999999999"/>
    <n v="0.69299999999999995"/>
    <n v="0.30599999999999999"/>
    <n v="0.4405"/>
    <n v="13"/>
    <n v="5"/>
    <s v="Haniya"/>
    <s v="Talley"/>
    <s v="Prince William Sound Science Center"/>
    <n v="2"/>
    <s v="Florida Gulf Coast"/>
    <n v="18"/>
    <s v="Category 3"/>
    <x v="0"/>
    <x v="0"/>
    <x v="0"/>
  </r>
  <r>
    <n v="191"/>
    <s v="M"/>
    <n v="0.61499999999999999"/>
    <n v="0.48"/>
    <n v="0.18"/>
    <n v="1.1595"/>
    <n v="0.48449999999999999"/>
    <n v="0.2165"/>
    <n v="0.32500000000000001"/>
    <n v="13"/>
    <n v="6"/>
    <s v="Martin"/>
    <s v="Gaines"/>
    <s v="San Diego State University"/>
    <n v="10"/>
    <s v="Pacific"/>
    <n v="24.1"/>
    <s v="Category 3"/>
    <x v="0"/>
    <x v="0"/>
    <x v="0"/>
  </r>
  <r>
    <n v="3285"/>
    <s v="M"/>
    <n v="0.56499999999999995"/>
    <n v="0.44"/>
    <n v="0.155"/>
    <n v="0.86799999999999999"/>
    <n v="0.34799999999999998"/>
    <n v="0.217"/>
    <n v="0.26"/>
    <n v="11"/>
    <n v="1"/>
    <s v="Jan"/>
    <s v="Odom"/>
    <s v="University of Houston"/>
    <n v="5"/>
    <s v="Southeast"/>
    <n v="12.8"/>
    <s v="Category 2"/>
    <x v="0"/>
    <x v="1"/>
    <x v="1"/>
  </r>
  <r>
    <n v="1218"/>
    <s v="I"/>
    <n v="0.315"/>
    <n v="0.23"/>
    <n v="0.08"/>
    <n v="0.13750000000000001"/>
    <n v="5.45E-2"/>
    <n v="3.1E-2"/>
    <n v="4.4499999999999998E-2"/>
    <n v="5"/>
    <n v="13"/>
    <s v="Betty"/>
    <s v="Berg"/>
    <s v="University of Houston"/>
    <n v="10"/>
    <s v="Pacific"/>
    <n v="24.1"/>
    <s v="Category 2"/>
    <x v="0"/>
    <x v="1"/>
    <x v="1"/>
  </r>
  <r>
    <n v="1066"/>
    <s v="I"/>
    <n v="0.315"/>
    <n v="0.23499999999999999"/>
    <n v="5.5E-2"/>
    <n v="0.151"/>
    <n v="6.5000000000000002E-2"/>
    <n v="2.7E-2"/>
    <n v="3.9E-2"/>
    <n v="6"/>
    <n v="6"/>
    <s v="Martin"/>
    <s v="Gaines"/>
    <s v="San Diego State University"/>
    <n v="2"/>
    <s v="Florida Gulf Coast"/>
    <n v="18"/>
    <s v="Category 2"/>
    <x v="0"/>
    <x v="1"/>
    <x v="1"/>
  </r>
  <r>
    <n v="610"/>
    <s v="M"/>
    <n v="0.35"/>
    <n v="0.26500000000000001"/>
    <n v="0.09"/>
    <n v="0.17749999999999999"/>
    <n v="5.7500000000000002E-2"/>
    <n v="4.2000000000000003E-2"/>
    <n v="6.8000000000000005E-2"/>
    <n v="12"/>
    <n v="4"/>
    <s v="Nate"/>
    <s v="Craig"/>
    <s v="NOAA Fisheries"/>
    <n v="2"/>
    <s v="Florida Gulf Coast"/>
    <n v="18"/>
    <s v="Category 2"/>
    <x v="0"/>
    <x v="1"/>
    <x v="1"/>
  </r>
  <r>
    <n v="3275"/>
    <s v="F"/>
    <n v="0.5"/>
    <n v="0.40500000000000003"/>
    <n v="0.14000000000000001"/>
    <n v="0.67349999999999999"/>
    <n v="0.26500000000000001"/>
    <n v="0.124"/>
    <n v="0.25"/>
    <n v="18"/>
    <n v="7"/>
    <s v="Iona"/>
    <s v="Connolly"/>
    <s v="Florida Atlantic University"/>
    <n v="6"/>
    <s v="Gulf of Mexico_x0009_"/>
    <n v="14.1"/>
    <s v="Category 2"/>
    <x v="0"/>
    <x v="1"/>
    <x v="1"/>
  </r>
  <r>
    <n v="1331"/>
    <s v="F"/>
    <n v="0.56999999999999995"/>
    <n v="0.46"/>
    <n v="0.13500000000000001"/>
    <n v="0.97950000000000004"/>
    <n v="0.39700000000000002"/>
    <n v="0.2525"/>
    <n v="0.26550000000000001"/>
    <n v="9"/>
    <n v="9"/>
    <s v="Danica"/>
    <s v="Tyler"/>
    <s v="University of Florida_x0009_"/>
    <n v="2"/>
    <s v="Florida Gulf Coast"/>
    <n v="18"/>
    <s v="Category 2"/>
    <x v="0"/>
    <x v="1"/>
    <x v="1"/>
  </r>
  <r>
    <n v="1483"/>
    <s v="M"/>
    <n v="0.58499999999999996"/>
    <n v="0.45500000000000002"/>
    <n v="0.15"/>
    <n v="0.90600000000000003"/>
    <n v="0.40949999999999998"/>
    <n v="0.23"/>
    <n v="0.23350000000000001"/>
    <n v="8"/>
    <n v="15"/>
    <s v="Conan"/>
    <s v="Dalton"/>
    <s v="University of Houston"/>
    <n v="1"/>
    <s v="Florida Atlantic Coast"/>
    <n v="22.1"/>
    <s v="Category 3"/>
    <x v="0"/>
    <x v="0"/>
    <x v="0"/>
  </r>
  <r>
    <n v="1758"/>
    <s v="F"/>
    <n v="0.73"/>
    <n v="0.56000000000000005"/>
    <n v="0.19"/>
    <n v="1.9424999999999999"/>
    <n v="0.79900000000000004"/>
    <n v="0.51949999999999996"/>
    <n v="0.5655"/>
    <n v="11"/>
    <n v="7"/>
    <s v="Iona"/>
    <s v="Connolly"/>
    <s v="Florida Atlantic University"/>
    <n v="10"/>
    <s v="Pacific"/>
    <n v="24.1"/>
    <s v="Category 3"/>
    <x v="0"/>
    <x v="0"/>
    <x v="0"/>
  </r>
  <r>
    <n v="3869"/>
    <s v="F"/>
    <n v="0.44"/>
    <n v="0.34"/>
    <n v="0.13500000000000001"/>
    <n v="0.39750000000000002"/>
    <n v="0.15049999999999999"/>
    <n v="9.4500000000000001E-2"/>
    <n v="0.13500000000000001"/>
    <n v="8"/>
    <n v="4"/>
    <s v="Nate"/>
    <s v="Craig"/>
    <s v="NOAA Fisheries"/>
    <n v="8"/>
    <s v="West Coast"/>
    <n v="12.3"/>
    <s v="Category 2"/>
    <x v="0"/>
    <x v="1"/>
    <x v="1"/>
  </r>
  <r>
    <n v="4002"/>
    <s v="I"/>
    <n v="0.48"/>
    <n v="0.35"/>
    <n v="0.105"/>
    <n v="0.63500000000000001"/>
    <n v="0.35199999999999998"/>
    <n v="0.127"/>
    <n v="0.13500000000000001"/>
    <n v="6"/>
    <n v="8"/>
    <s v="Kali"/>
    <s v="Metcalfe"/>
    <s v="Mote Marine Laboratory"/>
    <n v="4"/>
    <s v="Mid-Atlantic"/>
    <n v="6.1"/>
    <s v="Category 2"/>
    <x v="0"/>
    <x v="1"/>
    <x v="1"/>
  </r>
  <r>
    <n v="258"/>
    <s v="M"/>
    <n v="0.54500000000000004"/>
    <n v="0.46"/>
    <n v="0.16"/>
    <n v="0.89749999999999996"/>
    <n v="0.34100000000000003"/>
    <n v="0.16550000000000001"/>
    <n v="0.34499999999999997"/>
    <n v="10"/>
    <n v="6"/>
    <s v="Martin"/>
    <s v="Gaines"/>
    <s v="San Diego State University"/>
    <n v="6"/>
    <s v="Gulf of Mexico_x0009_"/>
    <n v="14.1"/>
    <s v="Category 2"/>
    <x v="0"/>
    <x v="1"/>
    <x v="1"/>
  </r>
  <r>
    <n v="4158"/>
    <s v="M"/>
    <n v="0.47499999999999998"/>
    <n v="0.36"/>
    <n v="0.14000000000000001"/>
    <n v="0.51349999999999996"/>
    <n v="0.24099999999999999"/>
    <n v="0.1045"/>
    <n v="0.155"/>
    <n v="8"/>
    <n v="5"/>
    <s v="Haniya"/>
    <s v="Talley"/>
    <s v="Prince William Sound Science Center"/>
    <n v="3"/>
    <s v="Northeast"/>
    <n v="3.6"/>
    <s v="Category 2"/>
    <x v="0"/>
    <x v="1"/>
    <x v="1"/>
  </r>
  <r>
    <n v="3745"/>
    <s v="I"/>
    <n v="0.27500000000000002"/>
    <n v="0.20499999999999999"/>
    <n v="6.5000000000000002E-2"/>
    <n v="0.10100000000000001"/>
    <n v="4.1000000000000002E-2"/>
    <n v="2.1000000000000001E-2"/>
    <n v="3.4000000000000002E-2"/>
    <n v="5"/>
    <n v="5"/>
    <s v="Haniya"/>
    <s v="Talley"/>
    <s v="Prince William Sound Science Center"/>
    <n v="8"/>
    <s v="West Coast"/>
    <n v="12.3"/>
    <s v="Category 2"/>
    <x v="0"/>
    <x v="1"/>
    <x v="1"/>
  </r>
  <r>
    <n v="753"/>
    <s v="F"/>
    <n v="0.60499999999999998"/>
    <n v="0.46"/>
    <n v="0.17"/>
    <n v="1.1220000000000001"/>
    <n v="0.34699999999999998"/>
    <n v="0.30449999999999999"/>
    <n v="0.315"/>
    <n v="13"/>
    <n v="15"/>
    <s v="Conan"/>
    <s v="Dalton"/>
    <s v="University of Houston"/>
    <n v="4"/>
    <s v="Mid-Atlantic"/>
    <n v="6.1"/>
    <s v="Category 2"/>
    <x v="0"/>
    <x v="1"/>
    <x v="1"/>
  </r>
  <r>
    <n v="1632"/>
    <s v="I"/>
    <n v="0.56999999999999995"/>
    <n v="0.44500000000000001"/>
    <n v="0.14499999999999999"/>
    <n v="0.74050000000000005"/>
    <n v="0.30599999999999999"/>
    <n v="0.17199999999999999"/>
    <n v="0.1825"/>
    <n v="12"/>
    <n v="9"/>
    <s v="Danica"/>
    <s v="Tyler"/>
    <s v="University of Florida_x0009_"/>
    <n v="8"/>
    <s v="West Coast"/>
    <n v="12.3"/>
    <s v="Category 2"/>
    <x v="0"/>
    <x v="1"/>
    <x v="1"/>
  </r>
  <r>
    <n v="1911"/>
    <s v="F"/>
    <n v="0.57999999999999996"/>
    <n v="0.5"/>
    <n v="0.16500000000000001"/>
    <n v="0.92500000000000004"/>
    <n v="0.37"/>
    <n v="0.185"/>
    <n v="0.30049999999999999"/>
    <n v="10"/>
    <n v="13"/>
    <s v="Betty"/>
    <s v="Berg"/>
    <s v="University of Houston"/>
    <n v="2"/>
    <s v="Florida Gulf Coast"/>
    <n v="18"/>
    <s v="Category 2"/>
    <x v="0"/>
    <x v="1"/>
    <x v="1"/>
  </r>
  <r>
    <n v="1072"/>
    <s v="I"/>
    <n v="0.38500000000000001"/>
    <n v="0.28999999999999998"/>
    <n v="0.08"/>
    <n v="0.2485"/>
    <n v="0.122"/>
    <n v="4.9500000000000002E-2"/>
    <n v="6.5000000000000002E-2"/>
    <n v="7"/>
    <n v="13"/>
    <s v="Betty"/>
    <s v="Berg"/>
    <s v="University of Houston"/>
    <n v="8"/>
    <s v="West Coast"/>
    <n v="12.3"/>
    <s v="Category 2"/>
    <x v="0"/>
    <x v="1"/>
    <x v="1"/>
  </r>
  <r>
    <n v="555"/>
    <s v="I"/>
    <n v="0.48499999999999999"/>
    <n v="0.39"/>
    <n v="0.125"/>
    <n v="0.59099999999999997"/>
    <n v="0.28699999999999998"/>
    <n v="0.14099999999999999"/>
    <n v="0.12"/>
    <n v="9"/>
    <n v="6"/>
    <s v="Martin"/>
    <s v="Gaines"/>
    <s v="San Diego State University"/>
    <n v="9"/>
    <s v="North Pacific"/>
    <n v="1.9"/>
    <s v="Category 2"/>
    <x v="0"/>
    <x v="1"/>
    <x v="1"/>
  </r>
  <r>
    <n v="2339"/>
    <s v="M"/>
    <n v="0.65500000000000003"/>
    <n v="0.48499999999999999"/>
    <n v="0.19500000000000001"/>
    <n v="1.62"/>
    <n v="0.62749999999999995"/>
    <n v="0.35799999999999998"/>
    <n v="0.48499999999999999"/>
    <n v="17"/>
    <n v="11"/>
    <s v="Naima"/>
    <s v="Reyes"/>
    <s v="University of Houston"/>
    <n v="7"/>
    <s v="Great Lakes"/>
    <n v="2.5"/>
    <s v="Category 2"/>
    <x v="0"/>
    <x v="1"/>
    <x v="1"/>
  </r>
  <r>
    <n v="2281"/>
    <s v="M"/>
    <n v="0.44"/>
    <n v="0.375"/>
    <n v="0.13"/>
    <n v="0.48699999999999999"/>
    <n v="0.22600000000000001"/>
    <n v="9.6500000000000002E-2"/>
    <n v="0.155"/>
    <n v="9"/>
    <n v="11"/>
    <s v="Naima"/>
    <s v="Reyes"/>
    <s v="University of Houston"/>
    <n v="9"/>
    <s v="North Pacific"/>
    <n v="1.9"/>
    <s v="Category 2"/>
    <x v="0"/>
    <x v="1"/>
    <x v="1"/>
  </r>
  <r>
    <n v="1554"/>
    <s v="I"/>
    <n v="0.39"/>
    <n v="0.28999999999999998"/>
    <n v="0.1"/>
    <n v="0.2225"/>
    <n v="9.5000000000000001E-2"/>
    <n v="4.65E-2"/>
    <n v="7.2999999999999995E-2"/>
    <n v="7"/>
    <n v="8"/>
    <s v="Kali"/>
    <s v="Metcalfe"/>
    <s v="Mote Marine Laboratory"/>
    <n v="7"/>
    <s v="Great Lakes"/>
    <n v="2.5"/>
    <s v="Category 2"/>
    <x v="0"/>
    <x v="1"/>
    <x v="1"/>
  </r>
  <r>
    <n v="2403"/>
    <s v="I"/>
    <n v="0.44"/>
    <n v="0.35499999999999998"/>
    <n v="0.16500000000000001"/>
    <n v="0.435"/>
    <n v="0.159"/>
    <n v="0.105"/>
    <n v="0.14000000000000001"/>
    <n v="16"/>
    <n v="5"/>
    <s v="Haniya"/>
    <s v="Talley"/>
    <s v="Prince William Sound Science Center"/>
    <n v="10"/>
    <s v="Pacific"/>
    <n v="24.1"/>
    <s v="Category 1"/>
    <x v="1"/>
    <x v="0"/>
    <x v="1"/>
  </r>
  <r>
    <n v="1566"/>
    <s v="I"/>
    <n v="0.46"/>
    <n v="0.35499999999999998"/>
    <n v="0.11"/>
    <n v="0.42549999999999999"/>
    <n v="0.20150000000000001"/>
    <n v="8.1000000000000003E-2"/>
    <n v="0.13"/>
    <n v="7"/>
    <n v="4"/>
    <s v="Nate"/>
    <s v="Craig"/>
    <s v="NOAA Fisheries"/>
    <n v="7"/>
    <s v="Great Lakes"/>
    <n v="2.5"/>
    <s v="Category 2"/>
    <x v="0"/>
    <x v="1"/>
    <x v="1"/>
  </r>
  <r>
    <n v="3624"/>
    <s v="M"/>
    <n v="0.66"/>
    <n v="0.53"/>
    <n v="0.17499999999999999"/>
    <n v="1.583"/>
    <n v="0.73950000000000005"/>
    <n v="0.35049999999999998"/>
    <n v="0.40500000000000003"/>
    <n v="10"/>
    <n v="2"/>
    <s v="Tiegan"/>
    <s v="Davie"/>
    <s v="University of California, Davis"/>
    <n v="2"/>
    <s v="Florida Gulf Coast"/>
    <n v="18"/>
    <s v="Category 3"/>
    <x v="0"/>
    <x v="0"/>
    <x v="0"/>
  </r>
  <r>
    <n v="501"/>
    <s v="F"/>
    <n v="0.57999999999999996"/>
    <n v="0.44"/>
    <n v="0.18"/>
    <n v="0.85399999999999998"/>
    <n v="0.36649999999999999"/>
    <n v="0.16350000000000001"/>
    <n v="0.245"/>
    <n v="12"/>
    <n v="3"/>
    <s v="Inaya"/>
    <s v="Bernard"/>
    <s v="Stanford University"/>
    <n v="2"/>
    <s v="Florida Gulf Coast"/>
    <n v="18"/>
    <s v="Category 2"/>
    <x v="0"/>
    <x v="1"/>
    <x v="1"/>
  </r>
  <r>
    <n v="4148"/>
    <s v="M"/>
    <n v="0.69499999999999995"/>
    <n v="0.55000000000000004"/>
    <n v="0.19500000000000001"/>
    <n v="1.6645000000000001"/>
    <n v="0.72699999999999998"/>
    <n v="0.36"/>
    <n v="0.44500000000000001"/>
    <n v="11"/>
    <n v="2"/>
    <s v="Tiegan"/>
    <s v="Davie"/>
    <s v="University of California, Davis"/>
    <n v="8"/>
    <s v="West Coast"/>
    <n v="12.3"/>
    <s v="Category 3"/>
    <x v="0"/>
    <x v="0"/>
    <x v="0"/>
  </r>
  <r>
    <n v="2358"/>
    <s v="M"/>
    <n v="0.58499999999999996"/>
    <n v="0.45500000000000002"/>
    <n v="0.125"/>
    <n v="1.0269999999999999"/>
    <n v="0.39100000000000001"/>
    <n v="0.21199999999999999"/>
    <n v="0.25"/>
    <n v="17"/>
    <n v="1"/>
    <s v="Jan"/>
    <s v="Odom"/>
    <s v="University of Houston"/>
    <n v="1"/>
    <s v="Florida Atlantic Coast"/>
    <n v="22.1"/>
    <s v="Category 2"/>
    <x v="0"/>
    <x v="1"/>
    <x v="1"/>
  </r>
  <r>
    <n v="2856"/>
    <s v="F"/>
    <n v="0.65500000000000003"/>
    <n v="0.51500000000000001"/>
    <n v="0.155"/>
    <n v="1.3089999999999999"/>
    <n v="0.52400000000000002"/>
    <n v="0.34599999999999997"/>
    <n v="0.38500000000000001"/>
    <n v="11"/>
    <n v="9"/>
    <s v="Danica"/>
    <s v="Tyler"/>
    <s v="University of Florida_x0009_"/>
    <n v="7"/>
    <s v="Great Lakes"/>
    <n v="2.5"/>
    <s v="Category 3"/>
    <x v="0"/>
    <x v="0"/>
    <x v="0"/>
  </r>
  <r>
    <n v="1471"/>
    <s v="I"/>
    <n v="0.53"/>
    <n v="0.43"/>
    <n v="0.13"/>
    <n v="0.70450000000000002"/>
    <n v="0.34599999999999997"/>
    <n v="0.14149999999999999"/>
    <n v="0.189"/>
    <n v="9"/>
    <n v="11"/>
    <s v="Naima"/>
    <s v="Reyes"/>
    <s v="University of Houston"/>
    <n v="8"/>
    <s v="West Coast"/>
    <n v="12.3"/>
    <s v="Category 2"/>
    <x v="0"/>
    <x v="1"/>
    <x v="1"/>
  </r>
  <r>
    <n v="1658"/>
    <s v="M"/>
    <n v="0.6"/>
    <n v="0.48"/>
    <n v="0.16500000000000001"/>
    <n v="0.91649999999999998"/>
    <n v="0.41349999999999998"/>
    <n v="0.19650000000000001"/>
    <n v="0.27250000000000002"/>
    <n v="9"/>
    <n v="14"/>
    <s v="Santiago"/>
    <s v="Vaughan"/>
    <s v="Ohio State University_x0009_"/>
    <n v="2"/>
    <s v="Florida Gulf Coast"/>
    <n v="18"/>
    <s v="Category 3"/>
    <x v="0"/>
    <x v="0"/>
    <x v="0"/>
  </r>
  <r>
    <n v="4064"/>
    <s v="F"/>
    <n v="0.63"/>
    <n v="0.51500000000000001"/>
    <n v="0.16"/>
    <n v="1.3360000000000001"/>
    <n v="0.55300000000000005"/>
    <n v="0.32050000000000001"/>
    <n v="0.35"/>
    <n v="11"/>
    <n v="4"/>
    <s v="Nate"/>
    <s v="Craig"/>
    <s v="NOAA Fisheries"/>
    <n v="6"/>
    <s v="Gulf of Mexico_x0009_"/>
    <n v="14.1"/>
    <s v="Category 3"/>
    <x v="0"/>
    <x v="0"/>
    <x v="0"/>
  </r>
  <r>
    <n v="1336"/>
    <s v="F"/>
    <n v="0.57499999999999996"/>
    <n v="0.48"/>
    <n v="0.16500000000000001"/>
    <n v="1.0780000000000001"/>
    <n v="0.51100000000000001"/>
    <n v="0.20949999999999999"/>
    <n v="0.30599999999999999"/>
    <n v="9"/>
    <n v="7"/>
    <s v="Iona"/>
    <s v="Connolly"/>
    <s v="Florida Atlantic University"/>
    <n v="3"/>
    <s v="Northeast"/>
    <n v="3.6"/>
    <s v="Category 3"/>
    <x v="0"/>
    <x v="0"/>
    <x v="0"/>
  </r>
  <r>
    <n v="3828"/>
    <s v="M"/>
    <n v="0.68"/>
    <n v="0.54"/>
    <n v="0.19500000000000001"/>
    <n v="1.7825"/>
    <n v="0.55649999999999999"/>
    <n v="0.32350000000000001"/>
    <n v="0.42849999999999999"/>
    <n v="11"/>
    <n v="5"/>
    <s v="Haniya"/>
    <s v="Talley"/>
    <s v="Prince William Sound Science Center"/>
    <n v="1"/>
    <s v="Florida Atlantic Coast"/>
    <n v="22.1"/>
    <s v="Category 3"/>
    <x v="0"/>
    <x v="0"/>
    <x v="0"/>
  </r>
  <r>
    <n v="2173"/>
    <s v="I"/>
    <n v="0.215"/>
    <n v="0.15"/>
    <n v="0.03"/>
    <n v="3.85E-2"/>
    <n v="1.15E-2"/>
    <n v="5.0000000000000001E-3"/>
    <n v="0.01"/>
    <n v="5"/>
    <n v="4"/>
    <s v="Nate"/>
    <s v="Craig"/>
    <s v="NOAA Fisheries"/>
    <n v="4"/>
    <s v="Mid-Atlantic"/>
    <n v="6.1"/>
    <s v="Category 2"/>
    <x v="0"/>
    <x v="1"/>
    <x v="1"/>
  </r>
  <r>
    <n v="2008"/>
    <s v="I"/>
    <n v="0.41499999999999998"/>
    <n v="0.32500000000000001"/>
    <n v="0.11"/>
    <n v="0.316"/>
    <n v="0.13850000000000001"/>
    <n v="7.9500000000000001E-2"/>
    <n v="9.2499999999999999E-2"/>
    <n v="8"/>
    <n v="2"/>
    <s v="Tiegan"/>
    <s v="Davie"/>
    <s v="University of California, Davis"/>
    <n v="1"/>
    <s v="Florida Atlantic Coast"/>
    <n v="22.1"/>
    <s v="Category 2"/>
    <x v="0"/>
    <x v="1"/>
    <x v="1"/>
  </r>
  <r>
    <n v="75"/>
    <s v="F"/>
    <n v="0.60499999999999998"/>
    <n v="0.45"/>
    <n v="0.19500000000000001"/>
    <n v="1.0980000000000001"/>
    <n v="0.48099999999999998"/>
    <n v="0.28949999999999998"/>
    <n v="0.315"/>
    <n v="13"/>
    <n v="5"/>
    <s v="Haniya"/>
    <s v="Talley"/>
    <s v="Prince William Sound Science Center"/>
    <n v="3"/>
    <s v="Northeast"/>
    <n v="3.6"/>
    <s v="Category 3"/>
    <x v="0"/>
    <x v="0"/>
    <x v="0"/>
  </r>
  <r>
    <n v="1440"/>
    <s v="I"/>
    <n v="0.40500000000000003"/>
    <n v="0.31"/>
    <n v="9.5000000000000001E-2"/>
    <n v="0.34250000000000003"/>
    <n v="0.17849999999999999"/>
    <n v="6.4000000000000001E-2"/>
    <n v="8.5500000000000007E-2"/>
    <n v="8"/>
    <n v="1"/>
    <s v="Jan"/>
    <s v="Odom"/>
    <s v="University of Houston"/>
    <n v="4"/>
    <s v="Mid-Atlantic"/>
    <n v="6.1"/>
    <s v="Category 2"/>
    <x v="0"/>
    <x v="1"/>
    <x v="1"/>
  </r>
  <r>
    <n v="3151"/>
    <s v="F"/>
    <n v="0.65500000000000003"/>
    <n v="0.505"/>
    <n v="0.16500000000000001"/>
    <n v="1.367"/>
    <n v="0.58350000000000002"/>
    <n v="0.35149999999999998"/>
    <n v="0.39600000000000002"/>
    <n v="10"/>
    <n v="6"/>
    <s v="Martin"/>
    <s v="Gaines"/>
    <s v="San Diego State University"/>
    <n v="10"/>
    <s v="Pacific"/>
    <n v="24.1"/>
    <s v="Category 3"/>
    <x v="0"/>
    <x v="0"/>
    <x v="0"/>
  </r>
  <r>
    <n v="1685"/>
    <s v="I"/>
    <n v="0.62"/>
    <n v="0.47"/>
    <n v="0.14000000000000001"/>
    <n v="0.85650000000000004"/>
    <n v="0.35949999999999999"/>
    <n v="0.16"/>
    <n v="0.29499999999999998"/>
    <n v="9"/>
    <n v="8"/>
    <s v="Kali"/>
    <s v="Metcalfe"/>
    <s v="Mote Marine Laboratory"/>
    <n v="6"/>
    <s v="Gulf of Mexico_x0009_"/>
    <n v="14.1"/>
    <s v="Category 2"/>
    <x v="0"/>
    <x v="1"/>
    <x v="1"/>
  </r>
  <r>
    <n v="3560"/>
    <s v="F"/>
    <n v="0.56499999999999995"/>
    <n v="0.45"/>
    <n v="0.17499999999999999"/>
    <n v="1.2364999999999999"/>
    <n v="0.53049999999999997"/>
    <n v="0.2455"/>
    <n v="0.308"/>
    <n v="10"/>
    <n v="4"/>
    <s v="Nate"/>
    <s v="Craig"/>
    <s v="NOAA Fisheries"/>
    <n v="7"/>
    <s v="Great Lakes"/>
    <n v="2.5"/>
    <s v="Category 3"/>
    <x v="0"/>
    <x v="0"/>
    <x v="0"/>
  </r>
  <r>
    <n v="3054"/>
    <s v="F"/>
    <n v="0.6"/>
    <n v="0.45"/>
    <n v="0.14000000000000001"/>
    <n v="0.86899999999999999"/>
    <n v="0.34250000000000003"/>
    <n v="0.19500000000000001"/>
    <n v="0.29099999999999998"/>
    <n v="11"/>
    <n v="5"/>
    <s v="Haniya"/>
    <s v="Talley"/>
    <s v="Prince William Sound Science Center"/>
    <n v="7"/>
    <s v="Great Lakes"/>
    <n v="2.5"/>
    <s v="Category 2"/>
    <x v="0"/>
    <x v="1"/>
    <x v="1"/>
  </r>
  <r>
    <n v="1194"/>
    <s v="M"/>
    <n v="0.7"/>
    <n v="0.57499999999999996"/>
    <n v="0.19"/>
    <n v="2.2730000000000001"/>
    <n v="1.095"/>
    <n v="0.41799999999999998"/>
    <n v="0.63800000000000001"/>
    <n v="12"/>
    <n v="1"/>
    <s v="Jan"/>
    <s v="Odom"/>
    <s v="University of Houston"/>
    <n v="7"/>
    <s v="Great Lakes"/>
    <n v="2.5"/>
    <s v="Category 3"/>
    <x v="0"/>
    <x v="0"/>
    <x v="0"/>
  </r>
  <r>
    <n v="85"/>
    <s v="M"/>
    <n v="0.57999999999999996"/>
    <n v="0.45"/>
    <n v="0.14000000000000001"/>
    <n v="1.0129999999999999"/>
    <n v="0.38"/>
    <n v="0.216"/>
    <n v="0.36"/>
    <n v="14"/>
    <n v="14"/>
    <s v="Santiago"/>
    <s v="Vaughan"/>
    <s v="Ohio State University_x0009_"/>
    <n v="4"/>
    <s v="Mid-Atlantic"/>
    <n v="6.1"/>
    <s v="Category 2"/>
    <x v="0"/>
    <x v="1"/>
    <x v="1"/>
  </r>
  <r>
    <n v="2110"/>
    <s v="M"/>
    <n v="0.62"/>
    <n v="0.49"/>
    <n v="0.17"/>
    <n v="1.2104999999999999"/>
    <n v="0.51849999999999996"/>
    <n v="0.2555"/>
    <n v="0.33500000000000002"/>
    <n v="13"/>
    <n v="8"/>
    <s v="Kali"/>
    <s v="Metcalfe"/>
    <s v="Mote Marine Laboratory"/>
    <n v="8"/>
    <s v="West Coast"/>
    <n v="12.3"/>
    <s v="Category 3"/>
    <x v="0"/>
    <x v="0"/>
    <x v="0"/>
  </r>
  <r>
    <n v="3713"/>
    <s v="F"/>
    <n v="0.70499999999999996"/>
    <n v="0.53"/>
    <n v="0.17"/>
    <n v="1.5640000000000001"/>
    <n v="0.61199999999999999"/>
    <n v="0.39400000000000002"/>
    <n v="0.44"/>
    <n v="10"/>
    <n v="13"/>
    <s v="Betty"/>
    <s v="Berg"/>
    <s v="University of Houston"/>
    <n v="5"/>
    <s v="Southeast"/>
    <n v="12.8"/>
    <s v="Category 3"/>
    <x v="0"/>
    <x v="0"/>
    <x v="0"/>
  </r>
  <r>
    <n v="2185"/>
    <s v="I"/>
    <n v="0.32"/>
    <n v="0.23499999999999999"/>
    <n v="0.08"/>
    <n v="0.14849999999999999"/>
    <n v="6.4000000000000001E-2"/>
    <n v="3.1E-2"/>
    <n v="4.4999999999999998E-2"/>
    <n v="6"/>
    <n v="3"/>
    <s v="Inaya"/>
    <s v="Bernard"/>
    <s v="Stanford University"/>
    <n v="7"/>
    <s v="Great Lakes"/>
    <n v="2.5"/>
    <s v="Category 2"/>
    <x v="0"/>
    <x v="1"/>
    <x v="1"/>
  </r>
  <r>
    <n v="2725"/>
    <s v="I"/>
    <n v="0.38500000000000001"/>
    <n v="0.28499999999999998"/>
    <n v="8.5000000000000006E-2"/>
    <n v="0.24399999999999999"/>
    <n v="0.1215"/>
    <n v="4.4499999999999998E-2"/>
    <n v="6.8000000000000005E-2"/>
    <n v="8"/>
    <n v="5"/>
    <s v="Haniya"/>
    <s v="Talley"/>
    <s v="Prince William Sound Science Center"/>
    <n v="2"/>
    <s v="Florida Gulf Coast"/>
    <n v="18"/>
    <s v="Category 2"/>
    <x v="0"/>
    <x v="1"/>
    <x v="1"/>
  </r>
  <r>
    <n v="3095"/>
    <s v="M"/>
    <n v="0.52500000000000002"/>
    <n v="0.4"/>
    <n v="0.13"/>
    <n v="0.622"/>
    <n v="0.26550000000000001"/>
    <n v="0.14699999999999999"/>
    <n v="0.184"/>
    <n v="9"/>
    <n v="1"/>
    <s v="Jan"/>
    <s v="Odom"/>
    <s v="University of Houston"/>
    <n v="1"/>
    <s v="Florida Atlantic Coast"/>
    <n v="22.1"/>
    <s v="Category 2"/>
    <x v="0"/>
    <x v="1"/>
    <x v="1"/>
  </r>
  <r>
    <n v="2657"/>
    <s v="M"/>
    <n v="0.54500000000000004"/>
    <n v="0.42"/>
    <n v="0.12"/>
    <n v="0.78649999999999998"/>
    <n v="0.40300000000000002"/>
    <n v="0.185"/>
    <n v="0.17"/>
    <n v="7"/>
    <n v="13"/>
    <s v="Betty"/>
    <s v="Berg"/>
    <s v="University of Houston"/>
    <n v="5"/>
    <s v="Southeast"/>
    <n v="12.8"/>
    <s v="Category 3"/>
    <x v="0"/>
    <x v="0"/>
    <x v="0"/>
  </r>
  <r>
    <n v="4013"/>
    <s v="F"/>
    <n v="0.62"/>
    <n v="0.46500000000000002"/>
    <n v="0.14000000000000001"/>
    <n v="1.0109999999999999"/>
    <n v="0.47899999999999998"/>
    <n v="0.23849999999999999"/>
    <n v="0.255"/>
    <n v="8"/>
    <n v="2"/>
    <s v="Tiegan"/>
    <s v="Davie"/>
    <s v="University of California, Davis"/>
    <n v="5"/>
    <s v="Southeast"/>
    <n v="12.8"/>
    <s v="Category 3"/>
    <x v="0"/>
    <x v="0"/>
    <x v="0"/>
  </r>
  <r>
    <n v="3577"/>
    <s v="F"/>
    <n v="0.6"/>
    <n v="0.47499999999999998"/>
    <n v="0.155"/>
    <n v="1.0589999999999999"/>
    <n v="0.441"/>
    <n v="0.19"/>
    <n v="0.39"/>
    <n v="11"/>
    <n v="11"/>
    <s v="Naima"/>
    <s v="Reyes"/>
    <s v="University of Houston"/>
    <n v="1"/>
    <s v="Florida Atlantic Coast"/>
    <n v="22.1"/>
    <s v="Category 3"/>
    <x v="0"/>
    <x v="0"/>
    <x v="0"/>
  </r>
  <r>
    <n v="3053"/>
    <s v="F"/>
    <n v="0.59499999999999997"/>
    <n v="0.46"/>
    <n v="0.16"/>
    <n v="0.92100000000000004"/>
    <n v="0.40050000000000002"/>
    <n v="0.20250000000000001"/>
    <n v="0.28749999999999998"/>
    <n v="9"/>
    <n v="2"/>
    <s v="Tiegan"/>
    <s v="Davie"/>
    <s v="University of California, Davis"/>
    <n v="6"/>
    <s v="Gulf of Mexico_x0009_"/>
    <n v="14.1"/>
    <s v="Category 3"/>
    <x v="0"/>
    <x v="0"/>
    <x v="0"/>
  </r>
  <r>
    <n v="1975"/>
    <s v="M"/>
    <n v="0.68500000000000005"/>
    <n v="0.53500000000000003"/>
    <n v="0.155"/>
    <n v="1.3845000000000001"/>
    <n v="0.66149999999999998"/>
    <n v="0.2145"/>
    <n v="0.40749999999999997"/>
    <n v="10"/>
    <n v="14"/>
    <s v="Santiago"/>
    <s v="Vaughan"/>
    <s v="Ohio State University_x0009_"/>
    <n v="4"/>
    <s v="Mid-Atlantic"/>
    <n v="6.1"/>
    <s v="Category 3"/>
    <x v="0"/>
    <x v="0"/>
    <x v="0"/>
  </r>
  <r>
    <n v="671"/>
    <s v="M"/>
    <n v="0.47499999999999998"/>
    <n v="0.38500000000000001"/>
    <n v="0.14499999999999999"/>
    <n v="0.61750000000000005"/>
    <n v="0.23499999999999999"/>
    <n v="0.108"/>
    <n v="0.215"/>
    <n v="14"/>
    <n v="13"/>
    <s v="Betty"/>
    <s v="Berg"/>
    <s v="University of Houston"/>
    <n v="4"/>
    <s v="Mid-Atlantic"/>
    <n v="6.1"/>
    <s v="Category 2"/>
    <x v="0"/>
    <x v="1"/>
    <x v="1"/>
  </r>
  <r>
    <n v="479"/>
    <s v="M"/>
    <n v="0.73499999999999999"/>
    <n v="0.59"/>
    <n v="0.22500000000000001"/>
    <n v="1.756"/>
    <n v="0.63700000000000001"/>
    <n v="0.34050000000000002"/>
    <n v="0.57999999999999996"/>
    <n v="21"/>
    <n v="4"/>
    <s v="Nate"/>
    <s v="Craig"/>
    <s v="NOAA Fisheries"/>
    <n v="7"/>
    <s v="Great Lakes"/>
    <n v="2.5"/>
    <s v="Category 2"/>
    <x v="0"/>
    <x v="1"/>
    <x v="1"/>
  </r>
  <r>
    <n v="3402"/>
    <s v="M"/>
    <n v="0.48"/>
    <n v="0.39500000000000002"/>
    <n v="0.15"/>
    <n v="0.68149999999999999"/>
    <n v="0.2145"/>
    <n v="0.14050000000000001"/>
    <n v="0.2495"/>
    <n v="18"/>
    <n v="9"/>
    <s v="Danica"/>
    <s v="Tyler"/>
    <s v="University of Florida_x0009_"/>
    <n v="6"/>
    <s v="Gulf of Mexico_x0009_"/>
    <n v="14.1"/>
    <s v="Category 2"/>
    <x v="0"/>
    <x v="1"/>
    <x v="1"/>
  </r>
  <r>
    <n v="2446"/>
    <s v="M"/>
    <n v="0.5"/>
    <n v="0.38"/>
    <n v="0.13500000000000001"/>
    <n v="0.58350000000000002"/>
    <n v="0.22950000000000001"/>
    <n v="0.1265"/>
    <n v="0.18"/>
    <n v="12"/>
    <n v="11"/>
    <s v="Naima"/>
    <s v="Reyes"/>
    <s v="University of Houston"/>
    <n v="6"/>
    <s v="Gulf of Mexico_x0009_"/>
    <n v="14.1"/>
    <s v="Category 2"/>
    <x v="0"/>
    <x v="1"/>
    <x v="1"/>
  </r>
  <r>
    <n v="1394"/>
    <s v="M"/>
    <n v="0.63500000000000001"/>
    <n v="0.51"/>
    <n v="0.155"/>
    <n v="0.98599999999999999"/>
    <n v="0.40500000000000003"/>
    <n v="0.22550000000000001"/>
    <n v="0.31"/>
    <n v="10"/>
    <n v="3"/>
    <s v="Inaya"/>
    <s v="Bernard"/>
    <s v="Stanford University"/>
    <n v="7"/>
    <s v="Great Lakes"/>
    <n v="2.5"/>
    <s v="Category 3"/>
    <x v="0"/>
    <x v="0"/>
    <x v="0"/>
  </r>
  <r>
    <n v="3363"/>
    <s v="M"/>
    <n v="0.41"/>
    <n v="0.3"/>
    <n v="0.1"/>
    <n v="0.30099999999999999"/>
    <n v="0.124"/>
    <n v="6.9000000000000006E-2"/>
    <n v="0.09"/>
    <n v="9"/>
    <n v="10"/>
    <s v="Hazel"/>
    <s v="Villa"/>
    <s v="University of Minnesota"/>
    <n v="7"/>
    <s v="Great Lakes"/>
    <n v="2.5"/>
    <s v="Category 2"/>
    <x v="0"/>
    <x v="1"/>
    <x v="1"/>
  </r>
  <r>
    <n v="1069"/>
    <s v="I"/>
    <n v="0.37"/>
    <n v="0.28000000000000003"/>
    <n v="0.1"/>
    <n v="0.221"/>
    <n v="0.11650000000000001"/>
    <n v="2.6499999999999999E-2"/>
    <n v="6.3500000000000001E-2"/>
    <n v="6"/>
    <n v="7"/>
    <s v="Iona"/>
    <s v="Connolly"/>
    <s v="Florida Atlantic University"/>
    <n v="5"/>
    <s v="Southeast"/>
    <n v="12.8"/>
    <s v="Category 2"/>
    <x v="0"/>
    <x v="1"/>
    <x v="1"/>
  </r>
  <r>
    <n v="509"/>
    <s v="M"/>
    <n v="0.56000000000000005"/>
    <n v="0.435"/>
    <n v="0.18"/>
    <n v="0.88900000000000001"/>
    <n v="0.36"/>
    <n v="0.20399999999999999"/>
    <n v="0.25"/>
    <n v="11"/>
    <n v="5"/>
    <s v="Haniya"/>
    <s v="Talley"/>
    <s v="Prince William Sound Science Center"/>
    <n v="9"/>
    <s v="North Pacific"/>
    <n v="1.9"/>
    <s v="Category 2"/>
    <x v="0"/>
    <x v="1"/>
    <x v="1"/>
  </r>
  <r>
    <n v="1206"/>
    <s v="M"/>
    <n v="0.745"/>
    <n v="0.56499999999999995"/>
    <n v="0.215"/>
    <n v="1.931"/>
    <n v="0.89600000000000002"/>
    <n v="0.45850000000000002"/>
    <n v="0.5"/>
    <n v="11"/>
    <n v="15"/>
    <s v="Conan"/>
    <s v="Dalton"/>
    <s v="University of Houston"/>
    <n v="4"/>
    <s v="Mid-Atlantic"/>
    <n v="6.1"/>
    <s v="Category 3"/>
    <x v="0"/>
    <x v="0"/>
    <x v="0"/>
  </r>
  <r>
    <n v="2919"/>
    <s v="I"/>
    <n v="0.6"/>
    <n v="0.44500000000000001"/>
    <n v="0.13500000000000001"/>
    <n v="0.92049999999999998"/>
    <n v="0.44500000000000001"/>
    <n v="0.20349999999999999"/>
    <n v="0.253"/>
    <n v="9"/>
    <n v="6"/>
    <s v="Martin"/>
    <s v="Gaines"/>
    <s v="San Diego State University"/>
    <n v="6"/>
    <s v="Gulf of Mexico_x0009_"/>
    <n v="14.1"/>
    <s v="Category 3"/>
    <x v="0"/>
    <x v="0"/>
    <x v="0"/>
  </r>
  <r>
    <n v="2264"/>
    <s v="F"/>
    <n v="0.62"/>
    <n v="0.51"/>
    <n v="0.15"/>
    <n v="1.456"/>
    <n v="0.58099999999999996"/>
    <n v="0.28749999999999998"/>
    <n v="0.32"/>
    <n v="13"/>
    <n v="10"/>
    <s v="Hazel"/>
    <s v="Villa"/>
    <s v="University of Minnesota"/>
    <n v="6"/>
    <s v="Gulf of Mexico_x0009_"/>
    <n v="14.1"/>
    <s v="Category 3"/>
    <x v="0"/>
    <x v="0"/>
    <x v="0"/>
  </r>
  <r>
    <n v="1203"/>
    <s v="M"/>
    <n v="0.72499999999999998"/>
    <n v="0.505"/>
    <n v="0.185"/>
    <n v="1.978"/>
    <n v="1.026"/>
    <n v="0.42549999999999999"/>
    <n v="0.45050000000000001"/>
    <n v="12"/>
    <n v="11"/>
    <s v="Naima"/>
    <s v="Reyes"/>
    <s v="University of Houston"/>
    <n v="2"/>
    <s v="Florida Gulf Coast"/>
    <n v="18"/>
    <s v="Category 3"/>
    <x v="0"/>
    <x v="0"/>
    <x v="0"/>
  </r>
  <r>
    <n v="2117"/>
    <s v="I"/>
    <n v="0.31"/>
    <n v="0.22500000000000001"/>
    <n v="0.05"/>
    <n v="0.14449999999999999"/>
    <n v="6.7500000000000004E-2"/>
    <n v="3.85E-2"/>
    <n v="4.4999999999999998E-2"/>
    <n v="6"/>
    <n v="14"/>
    <s v="Santiago"/>
    <s v="Vaughan"/>
    <s v="Ohio State University_x0009_"/>
    <n v="9"/>
    <s v="North Pacific"/>
    <n v="1.9"/>
    <s v="Category 2"/>
    <x v="0"/>
    <x v="1"/>
    <x v="1"/>
  </r>
  <r>
    <n v="2833"/>
    <s v="F"/>
    <n v="0.54"/>
    <n v="0.42"/>
    <n v="0.14000000000000001"/>
    <n v="0.80349999999999999"/>
    <n v="0.38"/>
    <n v="0.18049999999999999"/>
    <n v="0.21"/>
    <n v="9"/>
    <n v="13"/>
    <s v="Betty"/>
    <s v="Berg"/>
    <s v="University of Houston"/>
    <n v="6"/>
    <s v="Gulf of Mexico_x0009_"/>
    <n v="14.1"/>
    <s v="Category 2"/>
    <x v="0"/>
    <x v="1"/>
    <x v="1"/>
  </r>
  <r>
    <n v="958"/>
    <s v="M"/>
    <n v="0.5"/>
    <n v="0.39"/>
    <n v="0.13500000000000001"/>
    <n v="0.65949999999999998"/>
    <n v="0.3145"/>
    <n v="0.1535"/>
    <n v="0.1565"/>
    <n v="6"/>
    <n v="12"/>
    <s v="Rebecca"/>
    <s v="Bennett"/>
    <s v="University of Houston"/>
    <n v="10"/>
    <s v="Pacific"/>
    <n v="24.1"/>
    <s v="Category 2"/>
    <x v="0"/>
    <x v="1"/>
    <x v="1"/>
  </r>
  <r>
    <n v="3200"/>
    <s v="F"/>
    <n v="0.49"/>
    <n v="0.38"/>
    <n v="0.155"/>
    <n v="0.57799999999999996"/>
    <n v="0.23949999999999999"/>
    <n v="0.1255"/>
    <n v="0.18"/>
    <n v="9"/>
    <n v="12"/>
    <s v="Rebecca"/>
    <s v="Bennett"/>
    <s v="University of Houston"/>
    <n v="1"/>
    <s v="Florida Atlantic Coast"/>
    <n v="22.1"/>
    <s v="Category 2"/>
    <x v="0"/>
    <x v="1"/>
    <x v="1"/>
  </r>
  <r>
    <n v="284"/>
    <s v="M"/>
    <n v="0.48499999999999999"/>
    <n v="0.39500000000000002"/>
    <n v="0.14000000000000001"/>
    <n v="0.62949999999999995"/>
    <n v="0.22850000000000001"/>
    <n v="0.127"/>
    <n v="0.22500000000000001"/>
    <n v="14"/>
    <n v="5"/>
    <s v="Haniya"/>
    <s v="Talley"/>
    <s v="Prince William Sound Science Center"/>
    <n v="9"/>
    <s v="North Pacific"/>
    <n v="1.9"/>
    <s v="Category 2"/>
    <x v="0"/>
    <x v="1"/>
    <x v="1"/>
  </r>
  <r>
    <n v="1697"/>
    <s v="M"/>
    <n v="0.63"/>
    <n v="0.49"/>
    <n v="0.17"/>
    <n v="1.1745000000000001"/>
    <n v="0.52549999999999997"/>
    <n v="0.27300000000000002"/>
    <n v="0.33900000000000002"/>
    <n v="11"/>
    <n v="14"/>
    <s v="Santiago"/>
    <s v="Vaughan"/>
    <s v="Ohio State University_x0009_"/>
    <n v="1"/>
    <s v="Florida Atlantic Coast"/>
    <n v="22.1"/>
    <s v="Category 3"/>
    <x v="0"/>
    <x v="0"/>
    <x v="0"/>
  </r>
  <r>
    <n v="2188"/>
    <s v="M"/>
    <n v="0.495"/>
    <n v="0.38500000000000001"/>
    <n v="0.13500000000000001"/>
    <n v="0.63349999999999995"/>
    <n v="0.2"/>
    <n v="0.1225"/>
    <n v="0.26"/>
    <n v="14"/>
    <n v="11"/>
    <s v="Naima"/>
    <s v="Reyes"/>
    <s v="University of Houston"/>
    <n v="8"/>
    <s v="West Coast"/>
    <n v="12.3"/>
    <s v="Category 2"/>
    <x v="0"/>
    <x v="1"/>
    <x v="1"/>
  </r>
  <r>
    <n v="4108"/>
    <s v="I"/>
    <n v="0.42"/>
    <n v="0.30499999999999999"/>
    <n v="0.1"/>
    <n v="0.34150000000000003"/>
    <n v="0.16450000000000001"/>
    <n v="7.7499999999999999E-2"/>
    <n v="8.5999999999999993E-2"/>
    <n v="7"/>
    <n v="3"/>
    <s v="Inaya"/>
    <s v="Bernard"/>
    <s v="Stanford University"/>
    <n v="9"/>
    <s v="North Pacific"/>
    <n v="1.9"/>
    <s v="Category 2"/>
    <x v="0"/>
    <x v="1"/>
    <x v="1"/>
  </r>
  <r>
    <n v="3277"/>
    <s v="M"/>
    <n v="0.48499999999999999"/>
    <n v="0.38500000000000001"/>
    <n v="0.125"/>
    <n v="0.47749999999999998"/>
    <n v="0.2"/>
    <n v="7.85E-2"/>
    <n v="0.17"/>
    <n v="12"/>
    <n v="11"/>
    <s v="Naima"/>
    <s v="Reyes"/>
    <s v="University of Houston"/>
    <n v="7"/>
    <s v="Great Lakes"/>
    <n v="2.5"/>
    <s v="Category 2"/>
    <x v="0"/>
    <x v="1"/>
    <x v="1"/>
  </r>
  <r>
    <n v="762"/>
    <s v="F"/>
    <n v="0.55000000000000004"/>
    <n v="0.44"/>
    <n v="0.155"/>
    <n v="0.94599999999999995"/>
    <n v="0.313"/>
    <n v="0.1825"/>
    <n v="0.33500000000000002"/>
    <n v="16"/>
    <n v="7"/>
    <s v="Iona"/>
    <s v="Connolly"/>
    <s v="Florida Atlantic University"/>
    <n v="8"/>
    <s v="West Coast"/>
    <n v="12.3"/>
    <s v="Category 2"/>
    <x v="0"/>
    <x v="1"/>
    <x v="1"/>
  </r>
  <r>
    <n v="4105"/>
    <s v="F"/>
    <n v="0.71"/>
    <n v="0.54500000000000004"/>
    <n v="0.17499999999999999"/>
    <n v="1.907"/>
    <n v="0.87250000000000005"/>
    <n v="0.45650000000000002"/>
    <n v="0.47499999999999998"/>
    <n v="11"/>
    <n v="5"/>
    <s v="Haniya"/>
    <s v="Talley"/>
    <s v="Prince William Sound Science Center"/>
    <n v="8"/>
    <s v="West Coast"/>
    <n v="12.3"/>
    <s v="Category 3"/>
    <x v="0"/>
    <x v="0"/>
    <x v="0"/>
  </r>
  <r>
    <n v="2749"/>
    <s v="I"/>
    <n v="0.505"/>
    <n v="0.38500000000000001"/>
    <n v="0.125"/>
    <n v="0.59599999999999997"/>
    <n v="0.245"/>
    <n v="9.7000000000000003E-2"/>
    <n v="0.21"/>
    <n v="9"/>
    <n v="1"/>
    <s v="Jan"/>
    <s v="Odom"/>
    <s v="University of Houston"/>
    <n v="6"/>
    <s v="Gulf of Mexico_x0009_"/>
    <n v="14.1"/>
    <s v="Category 2"/>
    <x v="0"/>
    <x v="1"/>
    <x v="1"/>
  </r>
  <r>
    <n v="3207"/>
    <s v="I"/>
    <n v="0.29499999999999998"/>
    <n v="0.215"/>
    <n v="7.4999999999999997E-2"/>
    <n v="0.11600000000000001"/>
    <n v="3.6999999999999998E-2"/>
    <n v="2.9499999999999998E-2"/>
    <n v="0.04"/>
    <n v="8"/>
    <n v="14"/>
    <s v="Santiago"/>
    <s v="Vaughan"/>
    <s v="Ohio State University_x0009_"/>
    <n v="3"/>
    <s v="Northeast"/>
    <n v="3.6"/>
    <s v="Category 2"/>
    <x v="0"/>
    <x v="1"/>
    <x v="1"/>
  </r>
  <r>
    <n v="3135"/>
    <s v="M"/>
    <n v="0.46"/>
    <n v="0.36"/>
    <n v="0.125"/>
    <n v="0.54700000000000004"/>
    <n v="0.2165"/>
    <n v="0.1105"/>
    <n v="0.19"/>
    <n v="8"/>
    <n v="15"/>
    <s v="Conan"/>
    <s v="Dalton"/>
    <s v="University of Houston"/>
    <n v="9"/>
    <s v="North Pacific"/>
    <n v="1.9"/>
    <s v="Category 2"/>
    <x v="0"/>
    <x v="1"/>
    <x v="1"/>
  </r>
  <r>
    <n v="3266"/>
    <s v="M"/>
    <n v="0.48"/>
    <n v="0.38"/>
    <n v="0.13500000000000001"/>
    <n v="0.52800000000000002"/>
    <n v="0.2"/>
    <n v="0.13950000000000001"/>
    <n v="0.16"/>
    <n v="14"/>
    <n v="1"/>
    <s v="Jan"/>
    <s v="Odom"/>
    <s v="University of Houston"/>
    <n v="7"/>
    <s v="Great Lakes"/>
    <n v="2.5"/>
    <s v="Category 2"/>
    <x v="0"/>
    <x v="1"/>
    <x v="1"/>
  </r>
  <r>
    <n v="1952"/>
    <s v="F"/>
    <n v="0.64"/>
    <n v="0.51500000000000001"/>
    <n v="0.16500000000000001"/>
    <n v="1.3115000000000001"/>
    <n v="0.4945"/>
    <n v="0.2555"/>
    <n v="0.41"/>
    <n v="10"/>
    <n v="12"/>
    <s v="Rebecca"/>
    <s v="Bennett"/>
    <s v="University of Houston"/>
    <n v="6"/>
    <s v="Gulf of Mexico_x0009_"/>
    <n v="14.1"/>
    <s v="Category 3"/>
    <x v="0"/>
    <x v="0"/>
    <x v="0"/>
  </r>
  <r>
    <n v="1661"/>
    <s v="M"/>
    <n v="0.6"/>
    <n v="0.47"/>
    <n v="0.16500000000000001"/>
    <n v="1.0589999999999999"/>
    <n v="0.504"/>
    <n v="0.24099999999999999"/>
    <n v="0.27500000000000002"/>
    <n v="9"/>
    <n v="8"/>
    <s v="Kali"/>
    <s v="Metcalfe"/>
    <s v="Mote Marine Laboratory"/>
    <n v="10"/>
    <s v="Pacific"/>
    <n v="24.1"/>
    <s v="Category 3"/>
    <x v="0"/>
    <x v="0"/>
    <x v="0"/>
  </r>
  <r>
    <n v="2389"/>
    <s v="I"/>
    <n v="0.51500000000000001"/>
    <n v="0.375"/>
    <n v="0.14000000000000001"/>
    <n v="0.65049999999999997"/>
    <n v="0.2495"/>
    <n v="0.14099999999999999"/>
    <n v="0.2215"/>
    <n v="10"/>
    <n v="7"/>
    <s v="Iona"/>
    <s v="Connolly"/>
    <s v="Florida Atlantic University"/>
    <n v="9"/>
    <s v="North Pacific"/>
    <n v="1.9"/>
    <s v="Category 2"/>
    <x v="0"/>
    <x v="1"/>
    <x v="1"/>
  </r>
  <r>
    <n v="2726"/>
    <s v="I"/>
    <n v="0.39500000000000002"/>
    <n v="0.32"/>
    <n v="0.1"/>
    <n v="0.3075"/>
    <n v="0.14899999999999999"/>
    <n v="5.3499999999999999E-2"/>
    <n v="0.09"/>
    <n v="8"/>
    <n v="10"/>
    <s v="Hazel"/>
    <s v="Villa"/>
    <s v="University of Minnesota"/>
    <n v="6"/>
    <s v="Gulf of Mexico_x0009_"/>
    <n v="14.1"/>
    <s v="Category 2"/>
    <x v="0"/>
    <x v="1"/>
    <x v="1"/>
  </r>
  <r>
    <n v="3749"/>
    <s v="I"/>
    <n v="0.4"/>
    <n v="0.315"/>
    <n v="0.1"/>
    <n v="0.32250000000000001"/>
    <n v="0.14299999999999999"/>
    <n v="7.3499999999999996E-2"/>
    <n v="9.0999999999999998E-2"/>
    <n v="6"/>
    <n v="13"/>
    <s v="Betty"/>
    <s v="Berg"/>
    <s v="University of Houston"/>
    <n v="6"/>
    <s v="Gulf of Mexico_x0009_"/>
    <n v="14.1"/>
    <s v="Category 2"/>
    <x v="0"/>
    <x v="1"/>
    <x v="1"/>
  </r>
  <r>
    <n v="2872"/>
    <s v="I"/>
    <n v="0.375"/>
    <n v="0.28000000000000003"/>
    <n v="8.5000000000000006E-2"/>
    <n v="0.2145"/>
    <n v="8.5500000000000007E-2"/>
    <n v="4.8500000000000001E-2"/>
    <n v="7.1999999999999995E-2"/>
    <n v="7"/>
    <n v="1"/>
    <s v="Jan"/>
    <s v="Odom"/>
    <s v="University of Houston"/>
    <n v="1"/>
    <s v="Florida Atlantic Coast"/>
    <n v="22.1"/>
    <s v="Category 2"/>
    <x v="0"/>
    <x v="1"/>
    <x v="1"/>
  </r>
  <r>
    <n v="2024"/>
    <s v="F"/>
    <n v="0.53"/>
    <n v="0.40500000000000003"/>
    <n v="0.13"/>
    <n v="0.63549999999999995"/>
    <n v="0.26350000000000001"/>
    <n v="0.1565"/>
    <n v="0.185"/>
    <n v="9"/>
    <n v="14"/>
    <s v="Santiago"/>
    <s v="Vaughan"/>
    <s v="Ohio State University_x0009_"/>
    <n v="2"/>
    <s v="Florida Gulf Coast"/>
    <n v="18"/>
    <s v="Category 2"/>
    <x v="0"/>
    <x v="1"/>
    <x v="1"/>
  </r>
  <r>
    <n v="1257"/>
    <s v="I"/>
    <n v="0.42499999999999999"/>
    <n v="0.31"/>
    <n v="0.09"/>
    <n v="0.30099999999999999"/>
    <n v="0.13850000000000001"/>
    <n v="6.5000000000000002E-2"/>
    <n v="0.08"/>
    <n v="7"/>
    <n v="10"/>
    <s v="Hazel"/>
    <s v="Villa"/>
    <s v="University of Minnesota"/>
    <n v="8"/>
    <s v="West Coast"/>
    <n v="12.3"/>
    <s v="Category 2"/>
    <x v="0"/>
    <x v="1"/>
    <x v="1"/>
  </r>
  <r>
    <n v="3241"/>
    <s v="M"/>
    <n v="0.55500000000000005"/>
    <n v="0.435"/>
    <n v="0.13500000000000001"/>
    <n v="0.85799999999999998"/>
    <n v="0.377"/>
    <n v="0.1585"/>
    <n v="0.28999999999999998"/>
    <n v="15"/>
    <n v="9"/>
    <s v="Danica"/>
    <s v="Tyler"/>
    <s v="University of Florida_x0009_"/>
    <n v="2"/>
    <s v="Florida Gulf Coast"/>
    <n v="18"/>
    <s v="Category 2"/>
    <x v="0"/>
    <x v="1"/>
    <x v="1"/>
  </r>
  <r>
    <n v="3357"/>
    <s v="I"/>
    <n v="0.39"/>
    <n v="0.3"/>
    <n v="0.1"/>
    <n v="0.3085"/>
    <n v="0.13850000000000001"/>
    <n v="7.3499999999999996E-2"/>
    <n v="8.5000000000000006E-2"/>
    <n v="6"/>
    <n v="1"/>
    <s v="Jan"/>
    <s v="Odom"/>
    <s v="University of Houston"/>
    <n v="3"/>
    <s v="Northeast"/>
    <n v="3.6"/>
    <s v="Category 2"/>
    <x v="0"/>
    <x v="1"/>
    <x v="1"/>
  </r>
  <r>
    <n v="3758"/>
    <s v="I"/>
    <n v="0.52"/>
    <n v="0.41"/>
    <n v="0.14000000000000001"/>
    <n v="0.69899999999999995"/>
    <n v="0.33950000000000002"/>
    <n v="0.129"/>
    <n v="0.19450000000000001"/>
    <n v="10"/>
    <n v="11"/>
    <s v="Naima"/>
    <s v="Reyes"/>
    <s v="University of Houston"/>
    <n v="10"/>
    <s v="Pacific"/>
    <n v="24.1"/>
    <s v="Category 2"/>
    <x v="0"/>
    <x v="1"/>
    <x v="1"/>
  </r>
  <r>
    <n v="331"/>
    <s v="M"/>
    <n v="0.5"/>
    <n v="0.38"/>
    <n v="0.155"/>
    <n v="0.59550000000000003"/>
    <n v="0.2135"/>
    <n v="0.161"/>
    <n v="0.2"/>
    <n v="12"/>
    <n v="15"/>
    <s v="Conan"/>
    <s v="Dalton"/>
    <s v="University of Houston"/>
    <n v="4"/>
    <s v="Mid-Atlantic"/>
    <n v="6.1"/>
    <s v="Category 2"/>
    <x v="0"/>
    <x v="1"/>
    <x v="1"/>
  </r>
  <r>
    <n v="3381"/>
    <s v="I"/>
    <n v="0.19"/>
    <n v="0.13"/>
    <n v="4.4999999999999998E-2"/>
    <n v="2.6499999999999999E-2"/>
    <n v="8.9999999999999993E-3"/>
    <n v="5.0000000000000001E-3"/>
    <n v="8.9999999999999993E-3"/>
    <n v="5"/>
    <n v="9"/>
    <s v="Danica"/>
    <s v="Tyler"/>
    <s v="University of Florida_x0009_"/>
    <n v="5"/>
    <s v="Southeast"/>
    <n v="12.8"/>
    <s v="Category 2"/>
    <x v="0"/>
    <x v="1"/>
    <x v="1"/>
  </r>
  <r>
    <n v="347"/>
    <s v="F"/>
    <n v="0.52500000000000002"/>
    <n v="0.42"/>
    <n v="0.16"/>
    <n v="0.75600000000000001"/>
    <n v="0.27450000000000002"/>
    <n v="0.17299999999999999"/>
    <n v="0.27500000000000002"/>
    <n v="9"/>
    <n v="1"/>
    <s v="Jan"/>
    <s v="Odom"/>
    <s v="University of Houston"/>
    <n v="5"/>
    <s v="Southeast"/>
    <n v="12.8"/>
    <s v="Category 2"/>
    <x v="0"/>
    <x v="1"/>
    <x v="1"/>
  </r>
  <r>
    <n v="3239"/>
    <s v="M"/>
    <n v="0.69499999999999995"/>
    <n v="0.53"/>
    <n v="0.15"/>
    <n v="1.4770000000000001"/>
    <n v="0.63749999999999996"/>
    <n v="0.30249999999999999"/>
    <n v="0.43"/>
    <n v="14"/>
    <n v="11"/>
    <s v="Naima"/>
    <s v="Reyes"/>
    <s v="University of Houston"/>
    <n v="3"/>
    <s v="Northeast"/>
    <n v="3.6"/>
    <s v="Category 3"/>
    <x v="0"/>
    <x v="0"/>
    <x v="0"/>
  </r>
  <r>
    <n v="647"/>
    <s v="M"/>
    <n v="0.33"/>
    <n v="0.215"/>
    <n v="7.4999999999999997E-2"/>
    <n v="0.1145"/>
    <n v="4.4999999999999998E-2"/>
    <n v="2.6499999999999999E-2"/>
    <n v="3.5000000000000003E-2"/>
    <n v="6"/>
    <n v="11"/>
    <s v="Naima"/>
    <s v="Reyes"/>
    <s v="University of Houston"/>
    <n v="1"/>
    <s v="Florida Atlantic Coast"/>
    <n v="22.1"/>
    <s v="Category 2"/>
    <x v="0"/>
    <x v="1"/>
    <x v="1"/>
  </r>
  <r>
    <n v="39"/>
    <s v="F"/>
    <n v="0.57499999999999996"/>
    <n v="0.44500000000000001"/>
    <n v="0.13500000000000001"/>
    <n v="0.88300000000000001"/>
    <n v="0.38100000000000001"/>
    <n v="0.20349999999999999"/>
    <n v="0.26"/>
    <n v="11"/>
    <n v="14"/>
    <s v="Santiago"/>
    <s v="Vaughan"/>
    <s v="Ohio State University_x0009_"/>
    <n v="10"/>
    <s v="Pacific"/>
    <n v="24.1"/>
    <s v="Category 2"/>
    <x v="0"/>
    <x v="1"/>
    <x v="1"/>
  </r>
  <r>
    <n v="2105"/>
    <s v="F"/>
    <n v="0.49"/>
    <n v="0.38500000000000001"/>
    <n v="0.125"/>
    <n v="0.53949999999999998"/>
    <n v="0.2175"/>
    <n v="0.128"/>
    <n v="0.16500000000000001"/>
    <n v="11"/>
    <n v="12"/>
    <s v="Rebecca"/>
    <s v="Bennett"/>
    <s v="University of Houston"/>
    <n v="6"/>
    <s v="Gulf of Mexico_x0009_"/>
    <n v="14.1"/>
    <s v="Category 2"/>
    <x v="0"/>
    <x v="1"/>
    <x v="1"/>
  </r>
  <r>
    <n v="1119"/>
    <s v="I"/>
    <n v="0.53500000000000003"/>
    <n v="0.39"/>
    <n v="0.125"/>
    <n v="0.59899999999999998"/>
    <n v="0.25950000000000001"/>
    <n v="0.14899999999999999"/>
    <n v="0.16900000000000001"/>
    <n v="9"/>
    <n v="2"/>
    <s v="Tiegan"/>
    <s v="Davie"/>
    <s v="University of California, Davis"/>
    <n v="8"/>
    <s v="West Coast"/>
    <n v="12.3"/>
    <s v="Category 2"/>
    <x v="0"/>
    <x v="1"/>
    <x v="1"/>
  </r>
  <r>
    <n v="543"/>
    <s v="M"/>
    <n v="0.42"/>
    <n v="0.32500000000000001"/>
    <n v="0.115"/>
    <n v="0.28849999999999998"/>
    <n v="0.1"/>
    <n v="5.7000000000000002E-2"/>
    <n v="0.1135"/>
    <n v="15"/>
    <n v="1"/>
    <s v="Jan"/>
    <s v="Odom"/>
    <s v="University of Houston"/>
    <n v="9"/>
    <s v="North Pacific"/>
    <n v="1.9"/>
    <s v="Category 2"/>
    <x v="0"/>
    <x v="1"/>
    <x v="1"/>
  </r>
  <r>
    <n v="1348"/>
    <s v="I"/>
    <n v="0.59"/>
    <n v="0.44500000000000001"/>
    <n v="0.13500000000000001"/>
    <n v="0.77149999999999996"/>
    <n v="0.32800000000000001"/>
    <n v="0.17449999999999999"/>
    <n v="0.23"/>
    <n v="9"/>
    <n v="15"/>
    <s v="Conan"/>
    <s v="Dalton"/>
    <s v="University of Houston"/>
    <n v="4"/>
    <s v="Mid-Atlantic"/>
    <n v="6.1"/>
    <s v="Category 2"/>
    <x v="0"/>
    <x v="1"/>
    <x v="1"/>
  </r>
  <r>
    <n v="2158"/>
    <s v="M"/>
    <n v="0.62"/>
    <n v="0.495"/>
    <n v="0.17499999999999999"/>
    <n v="1.806"/>
    <n v="0.64300000000000002"/>
    <n v="0.32850000000000001"/>
    <n v="0.72499999999999998"/>
    <n v="17"/>
    <n v="11"/>
    <s v="Naima"/>
    <s v="Reyes"/>
    <s v="University of Houston"/>
    <n v="3"/>
    <s v="Northeast"/>
    <n v="3.6"/>
    <s v="Category 2"/>
    <x v="0"/>
    <x v="1"/>
    <x v="1"/>
  </r>
  <r>
    <n v="2507"/>
    <s v="I"/>
    <n v="0.375"/>
    <n v="0.3"/>
    <n v="7.4999999999999997E-2"/>
    <n v="0.14399999999999999"/>
    <n v="5.8999999999999997E-2"/>
    <n v="0.03"/>
    <n v="4.3999999999999997E-2"/>
    <n v="7"/>
    <n v="3"/>
    <s v="Inaya"/>
    <s v="Bernard"/>
    <s v="Stanford University"/>
    <n v="8"/>
    <s v="West Coast"/>
    <n v="12.3"/>
    <s v="Category 2"/>
    <x v="0"/>
    <x v="1"/>
    <x v="1"/>
  </r>
  <r>
    <n v="64"/>
    <s v="M"/>
    <n v="0.42499999999999999"/>
    <n v="0.32500000000000001"/>
    <n v="9.5000000000000001E-2"/>
    <n v="0.3785"/>
    <n v="0.17050000000000001"/>
    <n v="0.08"/>
    <n v="0.1"/>
    <n v="7"/>
    <n v="4"/>
    <s v="Nate"/>
    <s v="Craig"/>
    <s v="NOAA Fisheries"/>
    <n v="6"/>
    <s v="Gulf of Mexico_x0009_"/>
    <n v="14.1"/>
    <s v="Category 2"/>
    <x v="0"/>
    <x v="1"/>
    <x v="1"/>
  </r>
  <r>
    <n v="2837"/>
    <s v="M"/>
    <n v="0.57999999999999996"/>
    <n v="0.44500000000000001"/>
    <n v="0.16"/>
    <n v="0.98399999999999999"/>
    <n v="0.49"/>
    <n v="0.20100000000000001"/>
    <n v="0.27"/>
    <n v="9"/>
    <n v="5"/>
    <s v="Haniya"/>
    <s v="Talley"/>
    <s v="Prince William Sound Science Center"/>
    <n v="2"/>
    <s v="Florida Gulf Coast"/>
    <n v="18"/>
    <s v="Category 3"/>
    <x v="0"/>
    <x v="0"/>
    <x v="0"/>
  </r>
  <r>
    <n v="2732"/>
    <s v="I"/>
    <n v="0.41"/>
    <n v="0.315"/>
    <n v="0.1"/>
    <n v="0.3"/>
    <n v="0.124"/>
    <n v="5.7500000000000002E-2"/>
    <n v="0.1"/>
    <n v="8"/>
    <n v="10"/>
    <s v="Hazel"/>
    <s v="Villa"/>
    <s v="University of Minnesota"/>
    <n v="2"/>
    <s v="Florida Gulf Coast"/>
    <n v="18"/>
    <s v="Category 2"/>
    <x v="0"/>
    <x v="1"/>
    <x v="1"/>
  </r>
  <r>
    <n v="887"/>
    <s v="F"/>
    <n v="0.67500000000000004"/>
    <n v="0.52500000000000002"/>
    <n v="0.17"/>
    <n v="1.8095000000000001"/>
    <n v="0.78400000000000003"/>
    <n v="0.39100000000000001"/>
    <n v="0.45500000000000002"/>
    <n v="12"/>
    <n v="1"/>
    <s v="Jan"/>
    <s v="Odom"/>
    <s v="University of Houston"/>
    <n v="3"/>
    <s v="Northeast"/>
    <n v="3.6"/>
    <s v="Category 3"/>
    <x v="0"/>
    <x v="0"/>
    <x v="0"/>
  </r>
  <r>
    <n v="3131"/>
    <s v="M"/>
    <n v="0.67"/>
    <n v="0.51500000000000001"/>
    <n v="0.16500000000000001"/>
    <n v="1.1735"/>
    <n v="0.52600000000000002"/>
    <n v="0.28499999999999998"/>
    <n v="0.316"/>
    <n v="11"/>
    <n v="14"/>
    <s v="Santiago"/>
    <s v="Vaughan"/>
    <s v="Ohio State University_x0009_"/>
    <n v="3"/>
    <s v="Northeast"/>
    <n v="3.6"/>
    <s v="Category 3"/>
    <x v="0"/>
    <x v="0"/>
    <x v="0"/>
  </r>
  <r>
    <n v="3172"/>
    <s v="M"/>
    <n v="0.52500000000000002"/>
    <n v="0.40500000000000003"/>
    <n v="0.16"/>
    <n v="0.79200000000000004"/>
    <n v="0.316"/>
    <n v="0.14549999999999999"/>
    <n v="0.28000000000000003"/>
    <n v="13"/>
    <n v="10"/>
    <s v="Hazel"/>
    <s v="Villa"/>
    <s v="University of Minnesota"/>
    <n v="8"/>
    <s v="West Coast"/>
    <n v="12.3"/>
    <s v="Category 2"/>
    <x v="0"/>
    <x v="1"/>
    <x v="1"/>
  </r>
  <r>
    <n v="868"/>
    <s v="F"/>
    <n v="0.61499999999999999"/>
    <n v="0.5"/>
    <n v="0.17499999999999999"/>
    <n v="1.377"/>
    <n v="0.5585"/>
    <n v="0.33"/>
    <n v="0.29199999999999998"/>
    <n v="12"/>
    <n v="13"/>
    <s v="Betty"/>
    <s v="Berg"/>
    <s v="University of Houston"/>
    <n v="1"/>
    <s v="Florida Atlantic Coast"/>
    <n v="22.1"/>
    <s v="Category 3"/>
    <x v="0"/>
    <x v="0"/>
    <x v="0"/>
  </r>
  <r>
    <n v="721"/>
    <s v="I"/>
    <n v="0.16"/>
    <n v="0.11"/>
    <n v="2.5000000000000001E-2"/>
    <n v="1.7999999999999999E-2"/>
    <n v="6.4999999999999997E-3"/>
    <n v="5.4999999999999997E-3"/>
    <n v="5.0000000000000001E-3"/>
    <n v="3"/>
    <n v="2"/>
    <s v="Tiegan"/>
    <s v="Davie"/>
    <s v="University of California, Davis"/>
    <n v="7"/>
    <s v="Great Lakes"/>
    <n v="2.5"/>
    <s v="Category 2"/>
    <x v="0"/>
    <x v="1"/>
    <x v="1"/>
  </r>
  <r>
    <n v="1408"/>
    <s v="M"/>
    <n v="0.65500000000000003"/>
    <n v="0.49"/>
    <n v="0.17499999999999999"/>
    <n v="1.3585"/>
    <n v="0.63949999999999996"/>
    <n v="0.29399999999999998"/>
    <n v="0.36499999999999999"/>
    <n v="10"/>
    <n v="2"/>
    <s v="Tiegan"/>
    <s v="Davie"/>
    <s v="University of California, Davis"/>
    <n v="4"/>
    <s v="Mid-Atlantic"/>
    <n v="6.1"/>
    <s v="Category 3"/>
    <x v="0"/>
    <x v="0"/>
    <x v="0"/>
  </r>
  <r>
    <n v="928"/>
    <s v="I"/>
    <n v="0.435"/>
    <n v="0.32500000000000001"/>
    <n v="0.12"/>
    <n v="0.39950000000000002"/>
    <n v="0.18149999999999999"/>
    <n v="6.0999999999999999E-2"/>
    <n v="0.1125"/>
    <n v="8"/>
    <n v="2"/>
    <s v="Tiegan"/>
    <s v="Davie"/>
    <s v="University of California, Davis"/>
    <n v="6"/>
    <s v="Gulf of Mexico_x0009_"/>
    <n v="14.1"/>
    <s v="Category 2"/>
    <x v="0"/>
    <x v="1"/>
    <x v="1"/>
  </r>
  <r>
    <n v="1699"/>
    <s v="M"/>
    <n v="0.63"/>
    <n v="0.495"/>
    <n v="0.17499999999999999"/>
    <n v="1.2695000000000001"/>
    <n v="0.60499999999999998"/>
    <n v="0.27100000000000002"/>
    <n v="0.32800000000000001"/>
    <n v="11"/>
    <n v="8"/>
    <s v="Kali"/>
    <s v="Metcalfe"/>
    <s v="Mote Marine Laboratory"/>
    <n v="1"/>
    <s v="Florida Atlantic Coast"/>
    <n v="22.1"/>
    <s v="Category 3"/>
    <x v="0"/>
    <x v="0"/>
    <x v="0"/>
  </r>
  <r>
    <n v="3445"/>
    <s v="F"/>
    <n v="0.49"/>
    <n v="0.4"/>
    <n v="0.115"/>
    <n v="0.56899999999999995"/>
    <n v="0.25600000000000001"/>
    <n v="0.13250000000000001"/>
    <n v="0.14499999999999999"/>
    <n v="9"/>
    <n v="10"/>
    <s v="Hazel"/>
    <s v="Villa"/>
    <s v="University of Minnesota"/>
    <n v="9"/>
    <s v="North Pacific"/>
    <n v="1.9"/>
    <s v="Category 2"/>
    <x v="0"/>
    <x v="1"/>
    <x v="1"/>
  </r>
  <r>
    <n v="2086"/>
    <s v="F"/>
    <n v="0.70499999999999996"/>
    <n v="0.56999999999999995"/>
    <n v="0.185"/>
    <n v="1.7609999999999999"/>
    <n v="0.747"/>
    <n v="0.3725"/>
    <n v="0.48799999999999999"/>
    <n v="10"/>
    <n v="11"/>
    <s v="Naima"/>
    <s v="Reyes"/>
    <s v="University of Houston"/>
    <n v="6"/>
    <s v="Gulf of Mexico_x0009_"/>
    <n v="14.1"/>
    <s v="Category 3"/>
    <x v="0"/>
    <x v="0"/>
    <x v="0"/>
  </r>
  <r>
    <n v="2076"/>
    <s v="M"/>
    <n v="0.59499999999999997"/>
    <n v="0.46500000000000002"/>
    <n v="0.15"/>
    <n v="0.91900000000000004"/>
    <n v="0.4335"/>
    <n v="0.17649999999999999"/>
    <n v="0.26200000000000001"/>
    <n v="9"/>
    <n v="9"/>
    <s v="Danica"/>
    <s v="Tyler"/>
    <s v="University of Florida_x0009_"/>
    <n v="7"/>
    <s v="Great Lakes"/>
    <n v="2.5"/>
    <s v="Category 3"/>
    <x v="0"/>
    <x v="0"/>
    <x v="0"/>
  </r>
  <r>
    <n v="533"/>
    <s v="I"/>
    <n v="0.47"/>
    <n v="0.37"/>
    <n v="0.12"/>
    <n v="0.47049999999999997"/>
    <n v="0.1845"/>
    <n v="0.1055"/>
    <n v="0.155"/>
    <n v="12"/>
    <n v="12"/>
    <s v="Rebecca"/>
    <s v="Bennett"/>
    <s v="University of Houston"/>
    <n v="3"/>
    <s v="Northeast"/>
    <n v="3.6"/>
    <s v="Category 2"/>
    <x v="0"/>
    <x v="1"/>
    <x v="1"/>
  </r>
  <r>
    <n v="3443"/>
    <s v="M"/>
    <n v="0.48"/>
    <n v="0.37"/>
    <n v="0.13"/>
    <n v="0.64300000000000002"/>
    <n v="0.34899999999999998"/>
    <n v="0.11550000000000001"/>
    <n v="0.13500000000000001"/>
    <n v="8"/>
    <n v="12"/>
    <s v="Rebecca"/>
    <s v="Bennett"/>
    <s v="University of Houston"/>
    <n v="10"/>
    <s v="Pacific"/>
    <n v="24.1"/>
    <s v="Category 2"/>
    <x v="0"/>
    <x v="1"/>
    <x v="1"/>
  </r>
  <r>
    <n v="2496"/>
    <s v="M"/>
    <n v="0.45"/>
    <n v="0.36"/>
    <n v="0.16"/>
    <n v="0.56699999999999995"/>
    <n v="0.17399999999999999"/>
    <n v="0.1245"/>
    <n v="0.22500000000000001"/>
    <n v="12"/>
    <n v="14"/>
    <s v="Santiago"/>
    <s v="Vaughan"/>
    <s v="Ohio State University_x0009_"/>
    <n v="3"/>
    <s v="Northeast"/>
    <n v="3.6"/>
    <s v="Category 2"/>
    <x v="0"/>
    <x v="1"/>
    <x v="1"/>
  </r>
  <r>
    <n v="903"/>
    <s v="I"/>
    <n v="0.30499999999999999"/>
    <n v="0.22"/>
    <n v="7.0000000000000007E-2"/>
    <n v="0.14099999999999999"/>
    <n v="6.2E-2"/>
    <n v="3.1E-2"/>
    <n v="3.6999999999999998E-2"/>
    <n v="5"/>
    <n v="5"/>
    <s v="Haniya"/>
    <s v="Talley"/>
    <s v="Prince William Sound Science Center"/>
    <n v="1"/>
    <s v="Florida Atlantic Coast"/>
    <n v="22.1"/>
    <s v="Category 2"/>
    <x v="0"/>
    <x v="1"/>
    <x v="1"/>
  </r>
  <r>
    <n v="3222"/>
    <s v="M"/>
    <n v="0.38500000000000001"/>
    <n v="0.30499999999999999"/>
    <n v="0.09"/>
    <n v="0.27750000000000002"/>
    <n v="0.109"/>
    <n v="5.1499999999999997E-2"/>
    <n v="0.1"/>
    <n v="9"/>
    <n v="5"/>
    <s v="Haniya"/>
    <s v="Talley"/>
    <s v="Prince William Sound Science Center"/>
    <n v="7"/>
    <s v="Great Lakes"/>
    <n v="2.5"/>
    <s v="Category 2"/>
    <x v="0"/>
    <x v="1"/>
    <x v="1"/>
  </r>
  <r>
    <n v="792"/>
    <s v="F"/>
    <n v="0.48499999999999999"/>
    <n v="0.375"/>
    <n v="0.13500000000000001"/>
    <n v="0.55600000000000005"/>
    <n v="0.1925"/>
    <n v="0.13150000000000001"/>
    <n v="0.16850000000000001"/>
    <n v="10"/>
    <n v="11"/>
    <s v="Naima"/>
    <s v="Reyes"/>
    <s v="University of Houston"/>
    <n v="9"/>
    <s v="North Pacific"/>
    <n v="1.9"/>
    <s v="Category 2"/>
    <x v="0"/>
    <x v="1"/>
    <x v="1"/>
  </r>
  <r>
    <n v="376"/>
    <s v="F"/>
    <n v="0.67500000000000004"/>
    <n v="0.54500000000000004"/>
    <n v="0.19500000000000001"/>
    <n v="1.7344999999999999"/>
    <n v="0.6845"/>
    <n v="0.3695"/>
    <n v="0.60499999999999998"/>
    <n v="20"/>
    <n v="5"/>
    <s v="Haniya"/>
    <s v="Talley"/>
    <s v="Prince William Sound Science Center"/>
    <n v="3"/>
    <s v="Northeast"/>
    <n v="3.6"/>
    <s v="Category 2"/>
    <x v="0"/>
    <x v="1"/>
    <x v="1"/>
  </r>
  <r>
    <n v="1984"/>
    <s v="F"/>
    <n v="0.72499999999999998"/>
    <n v="0.56999999999999995"/>
    <n v="0.20499999999999999"/>
    <n v="1.6194999999999999"/>
    <n v="0.74399999999999999"/>
    <n v="0.315"/>
    <n v="0.48799999999999999"/>
    <n v="11"/>
    <n v="3"/>
    <s v="Inaya"/>
    <s v="Bernard"/>
    <s v="Stanford University"/>
    <n v="8"/>
    <s v="West Coast"/>
    <n v="12.3"/>
    <s v="Category 3"/>
    <x v="0"/>
    <x v="0"/>
    <x v="0"/>
  </r>
  <r>
    <n v="3456"/>
    <s v="M"/>
    <n v="0.6"/>
    <n v="0.47499999999999998"/>
    <n v="0.155"/>
    <n v="1.1385000000000001"/>
    <n v="0.502"/>
    <n v="0.22950000000000001"/>
    <n v="0.31"/>
    <n v="9"/>
    <n v="4"/>
    <s v="Nate"/>
    <s v="Craig"/>
    <s v="NOAA Fisheries"/>
    <n v="1"/>
    <s v="Florida Atlantic Coast"/>
    <n v="22.1"/>
    <s v="Category 3"/>
    <x v="0"/>
    <x v="0"/>
    <x v="0"/>
  </r>
  <r>
    <n v="3663"/>
    <s v="I"/>
    <n v="0.55000000000000004"/>
    <n v="0.45"/>
    <n v="0.14000000000000001"/>
    <n v="0.753"/>
    <n v="0.34449999999999997"/>
    <n v="0.13250000000000001"/>
    <n v="0.24"/>
    <n v="8"/>
    <n v="15"/>
    <s v="Conan"/>
    <s v="Dalton"/>
    <s v="University of Houston"/>
    <n v="7"/>
    <s v="Great Lakes"/>
    <n v="2.5"/>
    <s v="Category 2"/>
    <x v="0"/>
    <x v="1"/>
    <x v="1"/>
  </r>
  <r>
    <n v="369"/>
    <s v="M"/>
    <n v="0.63"/>
    <n v="0.49"/>
    <n v="0.18"/>
    <n v="1.1299999999999999"/>
    <n v="0.45800000000000002"/>
    <n v="0.27650000000000002"/>
    <n v="0.315"/>
    <n v="12"/>
    <n v="12"/>
    <s v="Rebecca"/>
    <s v="Bennett"/>
    <s v="University of Houston"/>
    <n v="10"/>
    <s v="Pacific"/>
    <n v="24.1"/>
    <s v="Category 3"/>
    <x v="0"/>
    <x v="0"/>
    <x v="0"/>
  </r>
  <r>
    <n v="3453"/>
    <s v="F"/>
    <n v="0.55500000000000005"/>
    <n v="0.44"/>
    <n v="0.14499999999999999"/>
    <n v="0.88149999999999995"/>
    <n v="0.43"/>
    <n v="0.19750000000000001"/>
    <n v="0.2155"/>
    <n v="8"/>
    <n v="4"/>
    <s v="Nate"/>
    <s v="Craig"/>
    <s v="NOAA Fisheries"/>
    <n v="6"/>
    <s v="Gulf of Mexico_x0009_"/>
    <n v="14.1"/>
    <s v="Category 3"/>
    <x v="0"/>
    <x v="0"/>
    <x v="0"/>
  </r>
  <r>
    <n v="3607"/>
    <s v="F"/>
    <n v="0.51"/>
    <n v="0.375"/>
    <n v="0.11"/>
    <n v="0.58050000000000002"/>
    <n v="0.28649999999999998"/>
    <n v="0.11799999999999999"/>
    <n v="0.14799999999999999"/>
    <n v="7"/>
    <n v="9"/>
    <s v="Danica"/>
    <s v="Tyler"/>
    <s v="University of Florida_x0009_"/>
    <n v="8"/>
    <s v="West Coast"/>
    <n v="12.3"/>
    <s v="Category 2"/>
    <x v="0"/>
    <x v="1"/>
    <x v="1"/>
  </r>
  <r>
    <n v="3686"/>
    <s v="M"/>
    <n v="0.62"/>
    <n v="0.48"/>
    <n v="0.16500000000000001"/>
    <n v="1.0854999999999999"/>
    <n v="0.48099999999999998"/>
    <n v="0.25750000000000001"/>
    <n v="0.30499999999999999"/>
    <n v="10"/>
    <n v="10"/>
    <s v="Hazel"/>
    <s v="Villa"/>
    <s v="University of Minnesota"/>
    <n v="9"/>
    <s v="North Pacific"/>
    <n v="1.9"/>
    <s v="Category 3"/>
    <x v="0"/>
    <x v="0"/>
    <x v="0"/>
  </r>
  <r>
    <n v="2977"/>
    <s v="I"/>
    <n v="0.43"/>
    <n v="0.34499999999999997"/>
    <n v="0.115"/>
    <n v="0.42949999999999999"/>
    <n v="0.21199999999999999"/>
    <n v="0.108"/>
    <n v="0.109"/>
    <n v="8"/>
    <n v="6"/>
    <s v="Martin"/>
    <s v="Gaines"/>
    <s v="San Diego State University"/>
    <n v="5"/>
    <s v="Southeast"/>
    <n v="12.8"/>
    <s v="Category 2"/>
    <x v="0"/>
    <x v="1"/>
    <x v="1"/>
  </r>
  <r>
    <n v="3394"/>
    <s v="M"/>
    <n v="0.57499999999999996"/>
    <n v="0.435"/>
    <n v="0.13"/>
    <n v="1.0105"/>
    <n v="0.36799999999999999"/>
    <n v="0.222"/>
    <n v="0.32"/>
    <n v="10"/>
    <n v="4"/>
    <s v="Nate"/>
    <s v="Craig"/>
    <s v="NOAA Fisheries"/>
    <n v="4"/>
    <s v="Mid-Atlantic"/>
    <n v="6.1"/>
    <s v="Category 2"/>
    <x v="0"/>
    <x v="1"/>
    <x v="1"/>
  </r>
  <r>
    <n v="907"/>
    <s v="I"/>
    <n v="0.32500000000000001"/>
    <n v="0.24"/>
    <n v="7.4999999999999997E-2"/>
    <n v="0.187"/>
    <n v="8.2500000000000004E-2"/>
    <n v="4.4499999999999998E-2"/>
    <n v="0.05"/>
    <n v="6"/>
    <n v="4"/>
    <s v="Nate"/>
    <s v="Craig"/>
    <s v="NOAA Fisheries"/>
    <n v="8"/>
    <s v="West Coast"/>
    <n v="12.3"/>
    <s v="Category 2"/>
    <x v="0"/>
    <x v="1"/>
    <x v="1"/>
  </r>
  <r>
    <n v="522"/>
    <s v="F"/>
    <n v="0.36"/>
    <n v="0.27"/>
    <n v="0.09"/>
    <n v="0.1885"/>
    <n v="8.4500000000000006E-2"/>
    <n v="3.85E-2"/>
    <n v="5.5E-2"/>
    <n v="5"/>
    <n v="13"/>
    <s v="Betty"/>
    <s v="Berg"/>
    <s v="University of Houston"/>
    <n v="5"/>
    <s v="Southeast"/>
    <n v="12.8"/>
    <s v="Category 2"/>
    <x v="0"/>
    <x v="1"/>
    <x v="1"/>
  </r>
  <r>
    <n v="399"/>
    <s v="M"/>
    <n v="0.53500000000000003"/>
    <n v="0.44"/>
    <n v="0.15"/>
    <n v="0.67649999999999999"/>
    <n v="0.25600000000000001"/>
    <n v="0.13900000000000001"/>
    <n v="0.26"/>
    <n v="12"/>
    <n v="5"/>
    <s v="Haniya"/>
    <s v="Talley"/>
    <s v="Prince William Sound Science Center"/>
    <n v="5"/>
    <s v="Southeast"/>
    <n v="12.8"/>
    <s v="Category 2"/>
    <x v="0"/>
    <x v="1"/>
    <x v="1"/>
  </r>
  <r>
    <n v="1919"/>
    <s v="F"/>
    <n v="0.6"/>
    <n v="0.46500000000000002"/>
    <n v="0.16"/>
    <n v="1.133"/>
    <n v="0.46600000000000003"/>
    <n v="0.28849999999999998"/>
    <n v="0.29799999999999999"/>
    <n v="11"/>
    <n v="14"/>
    <s v="Santiago"/>
    <s v="Vaughan"/>
    <s v="Ohio State University_x0009_"/>
    <n v="10"/>
    <s v="Pacific"/>
    <n v="24.1"/>
    <s v="Category 3"/>
    <x v="0"/>
    <x v="0"/>
    <x v="0"/>
  </r>
  <r>
    <n v="1476"/>
    <s v="F"/>
    <n v="0.56000000000000005"/>
    <n v="0.43"/>
    <n v="0.15"/>
    <n v="0.87450000000000006"/>
    <n v="0.45300000000000001"/>
    <n v="0.161"/>
    <n v="0.22"/>
    <n v="8"/>
    <n v="10"/>
    <s v="Hazel"/>
    <s v="Villa"/>
    <s v="University of Minnesota"/>
    <n v="9"/>
    <s v="North Pacific"/>
    <n v="1.9"/>
    <s v="Category 3"/>
    <x v="0"/>
    <x v="0"/>
    <x v="0"/>
  </r>
  <r>
    <n v="3495"/>
    <s v="F"/>
    <n v="0.55500000000000005"/>
    <n v="0.43"/>
    <n v="0.13500000000000001"/>
    <n v="0.81200000000000006"/>
    <n v="0.40550000000000003"/>
    <n v="0.16300000000000001"/>
    <n v="0.2215"/>
    <n v="9"/>
    <n v="11"/>
    <s v="Naima"/>
    <s v="Reyes"/>
    <s v="University of Houston"/>
    <n v="7"/>
    <s v="Great Lakes"/>
    <n v="2.5"/>
    <s v="Category 3"/>
    <x v="0"/>
    <x v="0"/>
    <x v="0"/>
  </r>
  <r>
    <n v="3742"/>
    <s v="F"/>
    <n v="0.67"/>
    <n v="0.52500000000000002"/>
    <n v="0.19500000000000001"/>
    <n v="1.37"/>
    <n v="0.60650000000000004"/>
    <n v="0.29549999999999998"/>
    <n v="0.40699999999999997"/>
    <n v="12"/>
    <n v="5"/>
    <s v="Haniya"/>
    <s v="Talley"/>
    <s v="Prince William Sound Science Center"/>
    <n v="10"/>
    <s v="Pacific"/>
    <n v="24.1"/>
    <s v="Category 3"/>
    <x v="0"/>
    <x v="0"/>
    <x v="0"/>
  </r>
  <r>
    <n v="2326"/>
    <s v="F"/>
    <n v="0.41499999999999998"/>
    <n v="0.30499999999999999"/>
    <n v="0.105"/>
    <n v="0.36049999999999999"/>
    <n v="0.12"/>
    <n v="8.2000000000000003E-2"/>
    <n v="0.1"/>
    <n v="10"/>
    <n v="13"/>
    <s v="Betty"/>
    <s v="Berg"/>
    <s v="University of Houston"/>
    <n v="2"/>
    <s v="Florida Gulf Coast"/>
    <n v="18"/>
    <s v="Category 2"/>
    <x v="0"/>
    <x v="1"/>
    <x v="1"/>
  </r>
  <r>
    <n v="264"/>
    <s v="I"/>
    <n v="0.245"/>
    <n v="0.19500000000000001"/>
    <n v="0.06"/>
    <n v="9.5000000000000001E-2"/>
    <n v="4.4499999999999998E-2"/>
    <n v="2.4500000000000001E-2"/>
    <n v="2.5999999999999999E-2"/>
    <n v="4"/>
    <n v="10"/>
    <s v="Hazel"/>
    <s v="Villa"/>
    <s v="University of Minnesota"/>
    <n v="5"/>
    <s v="Southeast"/>
    <n v="12.8"/>
    <s v="Category 2"/>
    <x v="0"/>
    <x v="1"/>
    <x v="1"/>
  </r>
  <r>
    <n v="820"/>
    <s v="I"/>
    <n v="0.36"/>
    <n v="0.3"/>
    <n v="8.5000000000000006E-2"/>
    <n v="0.27"/>
    <n v="0.11849999999999999"/>
    <n v="6.4000000000000001E-2"/>
    <n v="7.4499999999999997E-2"/>
    <n v="7"/>
    <n v="10"/>
    <s v="Hazel"/>
    <s v="Villa"/>
    <s v="University of Minnesota"/>
    <n v="3"/>
    <s v="Northeast"/>
    <n v="3.6"/>
    <s v="Category 2"/>
    <x v="0"/>
    <x v="1"/>
    <x v="1"/>
  </r>
  <r>
    <n v="3093"/>
    <s v="M"/>
    <n v="0.51"/>
    <n v="0.39500000000000002"/>
    <n v="0.125"/>
    <n v="0.58050000000000002"/>
    <n v="0.24399999999999999"/>
    <n v="0.13350000000000001"/>
    <n v="0.188"/>
    <n v="11"/>
    <n v="4"/>
    <s v="Nate"/>
    <s v="Craig"/>
    <s v="NOAA Fisheries"/>
    <n v="7"/>
    <s v="Great Lakes"/>
    <n v="2.5"/>
    <s v="Category 2"/>
    <x v="0"/>
    <x v="1"/>
    <x v="1"/>
  </r>
  <r>
    <n v="246"/>
    <s v="I"/>
    <n v="0.35"/>
    <n v="0.26"/>
    <n v="8.5000000000000006E-2"/>
    <n v="0.17399999999999999"/>
    <n v="7.0499999999999993E-2"/>
    <n v="3.4500000000000003E-2"/>
    <n v="0.06"/>
    <n v="10"/>
    <n v="10"/>
    <s v="Hazel"/>
    <s v="Villa"/>
    <s v="University of Minnesota"/>
    <n v="6"/>
    <s v="Gulf of Mexico_x0009_"/>
    <n v="14.1"/>
    <s v="Category 2"/>
    <x v="0"/>
    <x v="1"/>
    <x v="1"/>
  </r>
  <r>
    <n v="1660"/>
    <s v="F"/>
    <n v="0.6"/>
    <n v="0.48"/>
    <n v="0.18"/>
    <n v="1.0645"/>
    <n v="0.44950000000000001"/>
    <n v="0.2455"/>
    <n v="0.32500000000000001"/>
    <n v="10"/>
    <n v="6"/>
    <s v="Martin"/>
    <s v="Gaines"/>
    <s v="San Diego State University"/>
    <n v="4"/>
    <s v="Mid-Atlantic"/>
    <n v="6.1"/>
    <s v="Category 3"/>
    <x v="0"/>
    <x v="0"/>
    <x v="0"/>
  </r>
  <r>
    <n v="469"/>
    <s v="F"/>
    <n v="0.68"/>
    <n v="0.55000000000000004"/>
    <n v="0.21"/>
    <n v="1.7444999999999999"/>
    <n v="0.59750000000000003"/>
    <n v="0.30499999999999999"/>
    <n v="0.625"/>
    <n v="17"/>
    <n v="8"/>
    <s v="Kali"/>
    <s v="Metcalfe"/>
    <s v="Mote Marine Laboratory"/>
    <n v="7"/>
    <s v="Great Lakes"/>
    <n v="2.5"/>
    <s v="Category 3"/>
    <x v="0"/>
    <x v="0"/>
    <x v="0"/>
  </r>
  <r>
    <n v="2191"/>
    <s v="M"/>
    <n v="0.57999999999999996"/>
    <n v="0.47"/>
    <n v="0.16500000000000001"/>
    <n v="0.92700000000000005"/>
    <n v="0.32150000000000001"/>
    <n v="0.19850000000000001"/>
    <n v="0.315"/>
    <n v="11"/>
    <n v="3"/>
    <s v="Inaya"/>
    <s v="Bernard"/>
    <s v="Stanford University"/>
    <n v="10"/>
    <s v="Pacific"/>
    <n v="24.1"/>
    <s v="Category 2"/>
    <x v="0"/>
    <x v="1"/>
    <x v="1"/>
  </r>
  <r>
    <n v="3307"/>
    <s v="I"/>
    <n v="0.41"/>
    <n v="0.3"/>
    <n v="0.115"/>
    <n v="0.25950000000000001"/>
    <n v="9.7000000000000003E-2"/>
    <n v="5.1499999999999997E-2"/>
    <n v="0.08"/>
    <n v="10"/>
    <n v="14"/>
    <s v="Santiago"/>
    <s v="Vaughan"/>
    <s v="Ohio State University_x0009_"/>
    <n v="6"/>
    <s v="Gulf of Mexico_x0009_"/>
    <n v="14.1"/>
    <s v="Category 2"/>
    <x v="0"/>
    <x v="1"/>
    <x v="1"/>
  </r>
  <r>
    <n v="3414"/>
    <s v="M"/>
    <n v="0.49"/>
    <n v="0.39500000000000002"/>
    <n v="0.12"/>
    <n v="0.67400000000000004"/>
    <n v="0.33250000000000002"/>
    <n v="0.1235"/>
    <n v="0.185"/>
    <n v="9"/>
    <n v="10"/>
    <s v="Hazel"/>
    <s v="Villa"/>
    <s v="University of Minnesota"/>
    <n v="3"/>
    <s v="Northeast"/>
    <n v="3.6"/>
    <s v="Category 2"/>
    <x v="0"/>
    <x v="1"/>
    <x v="1"/>
  </r>
  <r>
    <n v="3926"/>
    <s v="F"/>
    <n v="0.47"/>
    <n v="0.35"/>
    <n v="0.115"/>
    <n v="0.48699999999999999"/>
    <n v="0.19550000000000001"/>
    <n v="0.127"/>
    <n v="0.155"/>
    <n v="8"/>
    <n v="1"/>
    <s v="Jan"/>
    <s v="Odom"/>
    <s v="University of Houston"/>
    <n v="9"/>
    <s v="North Pacific"/>
    <n v="1.9"/>
    <s v="Category 2"/>
    <x v="0"/>
    <x v="1"/>
    <x v="1"/>
  </r>
  <r>
    <n v="3477"/>
    <s v="I"/>
    <n v="0.4"/>
    <n v="0.28999999999999998"/>
    <n v="0.1"/>
    <n v="0.25800000000000001"/>
    <n v="0.104"/>
    <n v="5.8999999999999997E-2"/>
    <n v="8.1500000000000003E-2"/>
    <n v="7"/>
    <n v="7"/>
    <s v="Iona"/>
    <s v="Connolly"/>
    <s v="Florida Atlantic University"/>
    <n v="4"/>
    <s v="Mid-Atlantic"/>
    <n v="6.1"/>
    <s v="Category 2"/>
    <x v="0"/>
    <x v="1"/>
    <x v="1"/>
  </r>
  <r>
    <n v="2332"/>
    <s v="M"/>
    <n v="0.59"/>
    <n v="0.46"/>
    <n v="0.155"/>
    <n v="0.90600000000000003"/>
    <n v="0.32700000000000001"/>
    <n v="0.14849999999999999"/>
    <n v="0.33500000000000002"/>
    <n v="15"/>
    <n v="10"/>
    <s v="Hazel"/>
    <s v="Villa"/>
    <s v="University of Minnesota"/>
    <n v="2"/>
    <s v="Florida Gulf Coast"/>
    <n v="18"/>
    <s v="Category 2"/>
    <x v="0"/>
    <x v="1"/>
    <x v="1"/>
  </r>
  <r>
    <n v="2835"/>
    <s v="F"/>
    <n v="0.56999999999999995"/>
    <n v="0.42499999999999999"/>
    <n v="0.13"/>
    <n v="0.78200000000000003"/>
    <n v="0.3695"/>
    <n v="0.17449999999999999"/>
    <n v="0.19650000000000001"/>
    <n v="8"/>
    <n v="9"/>
    <s v="Danica"/>
    <s v="Tyler"/>
    <s v="University of Florida_x0009_"/>
    <n v="2"/>
    <s v="Florida Gulf Coast"/>
    <n v="18"/>
    <s v="Category 2"/>
    <x v="0"/>
    <x v="1"/>
    <x v="1"/>
  </r>
  <r>
    <n v="1484"/>
    <s v="M"/>
    <n v="0.59"/>
    <n v="0.44"/>
    <n v="0.15"/>
    <n v="0.87250000000000005"/>
    <n v="0.38700000000000001"/>
    <n v="0.215"/>
    <n v="0.245"/>
    <n v="8"/>
    <n v="2"/>
    <s v="Tiegan"/>
    <s v="Davie"/>
    <s v="University of California, Davis"/>
    <n v="1"/>
    <s v="Florida Atlantic Coast"/>
    <n v="22.1"/>
    <s v="Category 2"/>
    <x v="0"/>
    <x v="1"/>
    <x v="1"/>
  </r>
  <r>
    <n v="3272"/>
    <s v="M"/>
    <n v="0.52"/>
    <n v="0.42499999999999999"/>
    <n v="0.155"/>
    <n v="0.77349999999999997"/>
    <n v="0.29699999999999999"/>
    <n v="0.123"/>
    <n v="0.255"/>
    <n v="17"/>
    <n v="5"/>
    <s v="Haniya"/>
    <s v="Talley"/>
    <s v="Prince William Sound Science Center"/>
    <n v="10"/>
    <s v="Pacific"/>
    <n v="24.1"/>
    <s v="Category 2"/>
    <x v="0"/>
    <x v="1"/>
    <x v="1"/>
  </r>
  <r>
    <n v="723"/>
    <s v="M"/>
    <n v="0.55500000000000005"/>
    <n v="0.44"/>
    <n v="0.15"/>
    <n v="1.0920000000000001"/>
    <n v="0.41599999999999998"/>
    <n v="0.21199999999999999"/>
    <n v="0.4405"/>
    <n v="15"/>
    <n v="10"/>
    <s v="Hazel"/>
    <s v="Villa"/>
    <s v="University of Minnesota"/>
    <n v="2"/>
    <s v="Florida Gulf Coast"/>
    <n v="18"/>
    <s v="Category 3"/>
    <x v="0"/>
    <x v="0"/>
    <x v="0"/>
  </r>
  <r>
    <n v="2267"/>
    <s v="F"/>
    <n v="0.63500000000000001"/>
    <n v="0.51"/>
    <n v="0.17499999999999999"/>
    <n v="1.2124999999999999"/>
    <n v="0.57350000000000001"/>
    <n v="0.26100000000000001"/>
    <n v="0.36"/>
    <n v="14"/>
    <n v="11"/>
    <s v="Naima"/>
    <s v="Reyes"/>
    <s v="University of Houston"/>
    <n v="5"/>
    <s v="Southeast"/>
    <n v="12.8"/>
    <s v="Category 3"/>
    <x v="0"/>
    <x v="0"/>
    <x v="0"/>
  </r>
  <r>
    <n v="793"/>
    <s v="M"/>
    <n v="0.47"/>
    <n v="0.37"/>
    <n v="0.18"/>
    <n v="0.51"/>
    <n v="0.1915"/>
    <n v="0.1285"/>
    <n v="0.16250000000000001"/>
    <n v="9"/>
    <n v="15"/>
    <s v="Conan"/>
    <s v="Dalton"/>
    <s v="University of Houston"/>
    <n v="6"/>
    <s v="Gulf of Mexico_x0009_"/>
    <n v="14.1"/>
    <s v="Category 2"/>
    <x v="0"/>
    <x v="1"/>
    <x v="1"/>
  </r>
  <r>
    <n v="3535"/>
    <s v="I"/>
    <n v="0.4"/>
    <n v="0.315"/>
    <n v="0.09"/>
    <n v="0.33"/>
    <n v="0.151"/>
    <n v="6.8000000000000005E-2"/>
    <n v="0.08"/>
    <n v="6"/>
    <n v="3"/>
    <s v="Inaya"/>
    <s v="Bernard"/>
    <s v="Stanford University"/>
    <n v="6"/>
    <s v="Gulf of Mexico_x0009_"/>
    <n v="14.1"/>
    <s v="Category 2"/>
    <x v="0"/>
    <x v="1"/>
    <x v="1"/>
  </r>
  <r>
    <n v="4169"/>
    <s v="F"/>
    <n v="0.51500000000000001"/>
    <n v="0.4"/>
    <n v="0.125"/>
    <n v="0.61499999999999999"/>
    <n v="0.28649999999999998"/>
    <n v="0.123"/>
    <n v="0.17649999999999999"/>
    <n v="8"/>
    <n v="5"/>
    <s v="Haniya"/>
    <s v="Talley"/>
    <s v="Prince William Sound Science Center"/>
    <n v="10"/>
    <s v="Pacific"/>
    <n v="24.1"/>
    <s v="Category 2"/>
    <x v="0"/>
    <x v="1"/>
    <x v="1"/>
  </r>
  <r>
    <n v="2697"/>
    <s v="F"/>
    <n v="0.65"/>
    <n v="0.49"/>
    <n v="0.155"/>
    <n v="1.1220000000000001"/>
    <n v="0.54500000000000004"/>
    <n v="0.22800000000000001"/>
    <n v="0.30549999999999999"/>
    <n v="9"/>
    <n v="11"/>
    <s v="Naima"/>
    <s v="Reyes"/>
    <s v="University of Houston"/>
    <n v="6"/>
    <s v="Gulf of Mexico_x0009_"/>
    <n v="14.1"/>
    <s v="Category 3"/>
    <x v="0"/>
    <x v="0"/>
    <x v="0"/>
  </r>
  <r>
    <n v="2867"/>
    <s v="I"/>
    <n v="0.32"/>
    <n v="0.20499999999999999"/>
    <n v="0.08"/>
    <n v="0.18099999999999999"/>
    <n v="8.7999999999999995E-2"/>
    <n v="3.4000000000000002E-2"/>
    <n v="4.9500000000000002E-2"/>
    <n v="5"/>
    <n v="1"/>
    <s v="Jan"/>
    <s v="Odom"/>
    <s v="University of Houston"/>
    <n v="4"/>
    <s v="Mid-Atlantic"/>
    <n v="6.1"/>
    <s v="Category 2"/>
    <x v="0"/>
    <x v="1"/>
    <x v="1"/>
  </r>
  <r>
    <n v="525"/>
    <s v="M"/>
    <n v="0.23499999999999999"/>
    <n v="0.16"/>
    <n v="0.06"/>
    <n v="5.45E-2"/>
    <n v="2.6499999999999999E-2"/>
    <n v="9.4999999999999998E-3"/>
    <n v="1.4999999999999999E-2"/>
    <n v="4"/>
    <n v="9"/>
    <s v="Danica"/>
    <s v="Tyler"/>
    <s v="University of Florida_x0009_"/>
    <n v="4"/>
    <s v="Mid-Atlantic"/>
    <n v="6.1"/>
    <s v="Category 2"/>
    <x v="0"/>
    <x v="1"/>
    <x v="1"/>
  </r>
  <r>
    <n v="353"/>
    <s v="M"/>
    <n v="0.56999999999999995"/>
    <n v="0.46"/>
    <n v="0.14000000000000001"/>
    <n v="0.95350000000000001"/>
    <n v="0.44650000000000001"/>
    <n v="0.20649999999999999"/>
    <n v="0.245"/>
    <n v="12"/>
    <n v="5"/>
    <s v="Haniya"/>
    <s v="Talley"/>
    <s v="Prince William Sound Science Center"/>
    <n v="6"/>
    <s v="Gulf of Mexico_x0009_"/>
    <n v="14.1"/>
    <s v="Category 3"/>
    <x v="0"/>
    <x v="0"/>
    <x v="0"/>
  </r>
  <r>
    <n v="318"/>
    <s v="M"/>
    <n v="0.45"/>
    <n v="0.35"/>
    <n v="0.1"/>
    <n v="0.36749999999999999"/>
    <n v="0.14649999999999999"/>
    <n v="0.10150000000000001"/>
    <n v="0.12"/>
    <n v="10"/>
    <n v="4"/>
    <s v="Nate"/>
    <s v="Craig"/>
    <s v="NOAA Fisheries"/>
    <n v="10"/>
    <s v="Pacific"/>
    <n v="24.1"/>
    <s v="Category 2"/>
    <x v="0"/>
    <x v="1"/>
    <x v="1"/>
  </r>
  <r>
    <n v="2273"/>
    <s v="M"/>
    <n v="0.63500000000000001"/>
    <n v="0.51"/>
    <n v="0.21"/>
    <n v="1.5980000000000001"/>
    <n v="0.65349999999999997"/>
    <n v="0.28349999999999997"/>
    <n v="0.57999999999999996"/>
    <n v="15"/>
    <n v="11"/>
    <s v="Naima"/>
    <s v="Reyes"/>
    <s v="University of Houston"/>
    <n v="4"/>
    <s v="Mid-Atlantic"/>
    <n v="6.1"/>
    <s v="Category 3"/>
    <x v="0"/>
    <x v="0"/>
    <x v="0"/>
  </r>
  <r>
    <n v="3366"/>
    <s v="I"/>
    <n v="0.44"/>
    <n v="0.31"/>
    <n v="0.115"/>
    <n v="0.36249999999999999"/>
    <n v="0.13400000000000001"/>
    <n v="8.2000000000000003E-2"/>
    <n v="0.12"/>
    <n v="11"/>
    <n v="2"/>
    <s v="Tiegan"/>
    <s v="Davie"/>
    <s v="University of California, Davis"/>
    <n v="8"/>
    <s v="West Coast"/>
    <n v="12.3"/>
    <s v="Category 2"/>
    <x v="0"/>
    <x v="1"/>
    <x v="1"/>
  </r>
  <r>
    <n v="3497"/>
    <s v="M"/>
    <n v="0.57499999999999996"/>
    <n v="0.44"/>
    <n v="0.14499999999999999"/>
    <n v="0.87"/>
    <n v="0.39450000000000002"/>
    <n v="0.2195"/>
    <n v="0.22500000000000001"/>
    <n v="8"/>
    <n v="9"/>
    <s v="Danica"/>
    <s v="Tyler"/>
    <s v="University of Florida_x0009_"/>
    <n v="7"/>
    <s v="Great Lakes"/>
    <n v="2.5"/>
    <s v="Category 2"/>
    <x v="0"/>
    <x v="1"/>
    <x v="1"/>
  </r>
  <r>
    <n v="1733"/>
    <s v="M"/>
    <n v="0.66500000000000004"/>
    <n v="0.52"/>
    <n v="0.17499999999999999"/>
    <n v="1.3725000000000001"/>
    <n v="0.60599999999999998"/>
    <n v="0.32"/>
    <n v="0.39500000000000002"/>
    <n v="12"/>
    <n v="5"/>
    <s v="Haniya"/>
    <s v="Talley"/>
    <s v="Prince William Sound Science Center"/>
    <n v="9"/>
    <s v="North Pacific"/>
    <n v="1.9"/>
    <s v="Category 3"/>
    <x v="0"/>
    <x v="0"/>
    <x v="0"/>
  </r>
  <r>
    <n v="431"/>
    <s v="F"/>
    <n v="0.56999999999999995"/>
    <n v="0.45"/>
    <n v="0.17499999999999999"/>
    <n v="0.95550000000000002"/>
    <n v="0.38"/>
    <n v="0.16650000000000001"/>
    <n v="0.29499999999999998"/>
    <n v="18"/>
    <n v="5"/>
    <s v="Haniya"/>
    <s v="Talley"/>
    <s v="Prince William Sound Science Center"/>
    <n v="5"/>
    <s v="Southeast"/>
    <n v="12.8"/>
    <s v="Category 2"/>
    <x v="0"/>
    <x v="1"/>
    <x v="1"/>
  </r>
  <r>
    <n v="541"/>
    <s v="F"/>
    <n v="0.5"/>
    <n v="0.375"/>
    <n v="0.14000000000000001"/>
    <n v="0.60399999999999998"/>
    <n v="0.24199999999999999"/>
    <n v="0.14149999999999999"/>
    <n v="0.17899999999999999"/>
    <n v="15"/>
    <n v="14"/>
    <s v="Santiago"/>
    <s v="Vaughan"/>
    <s v="Ohio State University_x0009_"/>
    <n v="5"/>
    <s v="Southeast"/>
    <n v="12.8"/>
    <s v="Category 2"/>
    <x v="0"/>
    <x v="1"/>
    <x v="1"/>
  </r>
  <r>
    <n v="3467"/>
    <s v="M"/>
    <n v="0.64"/>
    <n v="0.5"/>
    <n v="0.17"/>
    <n v="1.4544999999999999"/>
    <n v="0.64200000000000002"/>
    <n v="0.35749999999999998"/>
    <n v="0.35399999999999998"/>
    <n v="9"/>
    <n v="6"/>
    <s v="Martin"/>
    <s v="Gaines"/>
    <s v="San Diego State University"/>
    <n v="9"/>
    <s v="North Pacific"/>
    <n v="1.9"/>
    <s v="Category 3"/>
    <x v="0"/>
    <x v="0"/>
    <x v="0"/>
  </r>
  <r>
    <n v="3353"/>
    <s v="F"/>
    <n v="0.52"/>
    <n v="0.40500000000000003"/>
    <n v="0.14499999999999999"/>
    <n v="0.82899999999999996"/>
    <n v="0.35349999999999998"/>
    <n v="0.16850000000000001"/>
    <n v="0.20499999999999999"/>
    <n v="15"/>
    <n v="11"/>
    <s v="Naima"/>
    <s v="Reyes"/>
    <s v="University of Houston"/>
    <n v="8"/>
    <s v="West Coast"/>
    <n v="12.3"/>
    <s v="Category 2"/>
    <x v="0"/>
    <x v="1"/>
    <x v="1"/>
  </r>
  <r>
    <n v="1192"/>
    <s v="M"/>
    <n v="0.69499999999999995"/>
    <n v="0.56000000000000005"/>
    <n v="0.185"/>
    <n v="1.74"/>
    <n v="0.88500000000000001"/>
    <n v="0.3715"/>
    <n v="0.4375"/>
    <n v="10"/>
    <n v="9"/>
    <s v="Danica"/>
    <s v="Tyler"/>
    <s v="University of Florida_x0009_"/>
    <n v="2"/>
    <s v="Florida Gulf Coast"/>
    <n v="18"/>
    <s v="Category 3"/>
    <x v="0"/>
    <x v="0"/>
    <x v="0"/>
  </r>
  <r>
    <n v="4133"/>
    <s v="I"/>
    <n v="0.58499999999999996"/>
    <n v="0.47"/>
    <n v="0.17"/>
    <n v="0.98499999999999999"/>
    <n v="0.3695"/>
    <n v="0.23949999999999999"/>
    <n v="0.315"/>
    <n v="10"/>
    <n v="13"/>
    <s v="Betty"/>
    <s v="Berg"/>
    <s v="University of Houston"/>
    <n v="9"/>
    <s v="North Pacific"/>
    <n v="1.9"/>
    <s v="Category 2"/>
    <x v="0"/>
    <x v="1"/>
    <x v="1"/>
  </r>
  <r>
    <n v="61"/>
    <s v="M"/>
    <n v="0.45"/>
    <n v="0.34499999999999997"/>
    <n v="0.105"/>
    <n v="0.41149999999999998"/>
    <n v="0.18"/>
    <n v="0.1125"/>
    <n v="0.13500000000000001"/>
    <n v="7"/>
    <n v="14"/>
    <s v="Santiago"/>
    <s v="Vaughan"/>
    <s v="Ohio State University_x0009_"/>
    <n v="1"/>
    <s v="Florida Atlantic Coast"/>
    <n v="22.1"/>
    <s v="Category 2"/>
    <x v="0"/>
    <x v="1"/>
    <x v="1"/>
  </r>
  <r>
    <n v="1236"/>
    <s v="I"/>
    <n v="0.375"/>
    <n v="0.28999999999999998"/>
    <n v="8.5000000000000006E-2"/>
    <n v="0.23849999999999999"/>
    <n v="0.11799999999999999"/>
    <n v="4.4999999999999998E-2"/>
    <n v="6.9500000000000006E-2"/>
    <n v="7"/>
    <n v="11"/>
    <s v="Naima"/>
    <s v="Reyes"/>
    <s v="University of Houston"/>
    <n v="9"/>
    <s v="North Pacific"/>
    <n v="1.9"/>
    <s v="Category 2"/>
    <x v="0"/>
    <x v="1"/>
    <x v="1"/>
  </r>
  <r>
    <n v="2261"/>
    <s v="M"/>
    <n v="0.55000000000000004"/>
    <n v="0.46"/>
    <n v="0.17499999999999999"/>
    <n v="0.86899999999999999"/>
    <n v="0.3155"/>
    <n v="0.1825"/>
    <n v="0.32"/>
    <n v="10"/>
    <n v="7"/>
    <s v="Iona"/>
    <s v="Connolly"/>
    <s v="Florida Atlantic University"/>
    <n v="5"/>
    <s v="Southeast"/>
    <n v="12.8"/>
    <s v="Category 2"/>
    <x v="0"/>
    <x v="1"/>
    <x v="1"/>
  </r>
  <r>
    <n v="732"/>
    <s v="M"/>
    <n v="0.54500000000000004"/>
    <n v="0.42"/>
    <n v="0.13"/>
    <n v="0.879"/>
    <n v="0.374"/>
    <n v="0.16950000000000001"/>
    <n v="0.23"/>
    <n v="13"/>
    <n v="1"/>
    <s v="Jan"/>
    <s v="Odom"/>
    <s v="University of Houston"/>
    <n v="2"/>
    <s v="Florida Gulf Coast"/>
    <n v="18"/>
    <s v="Category 2"/>
    <x v="0"/>
    <x v="1"/>
    <x v="1"/>
  </r>
  <r>
    <n v="3417"/>
    <s v="M"/>
    <n v="0.56000000000000005"/>
    <n v="0.45"/>
    <n v="0.14000000000000001"/>
    <n v="0.9"/>
    <n v="0.47199999999999998"/>
    <n v="0.182"/>
    <n v="0.218"/>
    <n v="7"/>
    <n v="5"/>
    <s v="Haniya"/>
    <s v="Talley"/>
    <s v="Prince William Sound Science Center"/>
    <n v="4"/>
    <s v="Mid-Atlantic"/>
    <n v="6.1"/>
    <s v="Category 3"/>
    <x v="0"/>
    <x v="0"/>
    <x v="0"/>
  </r>
  <r>
    <n v="1500"/>
    <s v="M"/>
    <n v="0.63"/>
    <n v="0.47"/>
    <n v="0.14499999999999999"/>
    <n v="1.1005"/>
    <n v="0.52"/>
    <n v="0.26"/>
    <n v="0.27600000000000002"/>
    <n v="9"/>
    <n v="6"/>
    <s v="Martin"/>
    <s v="Gaines"/>
    <s v="San Diego State University"/>
    <n v="7"/>
    <s v="Great Lakes"/>
    <n v="2.5"/>
    <s v="Category 3"/>
    <x v="0"/>
    <x v="0"/>
    <x v="0"/>
  </r>
  <r>
    <n v="2866"/>
    <s v="I"/>
    <n v="0.315"/>
    <n v="0.23499999999999999"/>
    <n v="7.4999999999999997E-2"/>
    <n v="0.1285"/>
    <n v="5.0999999999999997E-2"/>
    <n v="2.8000000000000001E-2"/>
    <n v="4.0500000000000001E-2"/>
    <n v="4"/>
    <n v="10"/>
    <s v="Hazel"/>
    <s v="Villa"/>
    <s v="University of Minnesota"/>
    <n v="10"/>
    <s v="Pacific"/>
    <n v="24.1"/>
    <s v="Category 2"/>
    <x v="0"/>
    <x v="1"/>
    <x v="1"/>
  </r>
  <r>
    <n v="1278"/>
    <s v="I"/>
    <n v="0.48"/>
    <n v="0.36499999999999999"/>
    <n v="0.1"/>
    <n v="0.46100000000000002"/>
    <n v="0.2205"/>
    <n v="8.3500000000000005E-2"/>
    <n v="0.13500000000000001"/>
    <n v="8"/>
    <n v="11"/>
    <s v="Naima"/>
    <s v="Reyes"/>
    <s v="University of Houston"/>
    <n v="9"/>
    <s v="North Pacific"/>
    <n v="1.9"/>
    <s v="Category 2"/>
    <x v="0"/>
    <x v="1"/>
    <x v="1"/>
  </r>
  <r>
    <n v="3150"/>
    <s v="F"/>
    <n v="0.7"/>
    <n v="0.54"/>
    <n v="0.215"/>
    <n v="1.978"/>
    <n v="0.66749999999999998"/>
    <n v="0.3125"/>
    <n v="0.71"/>
    <n v="24"/>
    <n v="10"/>
    <s v="Hazel"/>
    <s v="Villa"/>
    <s v="University of Minnesota"/>
    <n v="9"/>
    <s v="North Pacific"/>
    <n v="1.9"/>
    <s v="Category 2"/>
    <x v="0"/>
    <x v="1"/>
    <x v="1"/>
  </r>
  <r>
    <n v="1933"/>
    <s v="F"/>
    <n v="0.62"/>
    <n v="0.495"/>
    <n v="0.17"/>
    <n v="1.0620000000000001"/>
    <n v="0.372"/>
    <n v="0.21299999999999999"/>
    <n v="0.34"/>
    <n v="11"/>
    <n v="3"/>
    <s v="Inaya"/>
    <s v="Bernard"/>
    <s v="Stanford University"/>
    <n v="3"/>
    <s v="Northeast"/>
    <n v="3.6"/>
    <s v="Category 2"/>
    <x v="0"/>
    <x v="1"/>
    <x v="1"/>
  </r>
  <r>
    <n v="3800"/>
    <s v="F"/>
    <n v="0.70499999999999996"/>
    <n v="0.56000000000000005"/>
    <n v="0.17"/>
    <n v="1.4575"/>
    <n v="0.60699999999999998"/>
    <n v="0.318"/>
    <n v="0.44"/>
    <n v="11"/>
    <n v="9"/>
    <s v="Danica"/>
    <s v="Tyler"/>
    <s v="University of Florida_x0009_"/>
    <n v="8"/>
    <s v="West Coast"/>
    <n v="12.3"/>
    <s v="Category 3"/>
    <x v="0"/>
    <x v="0"/>
    <x v="0"/>
  </r>
  <r>
    <n v="840"/>
    <s v="I"/>
    <n v="0.48499999999999999"/>
    <n v="0.35499999999999998"/>
    <n v="0.105"/>
    <n v="0.498"/>
    <n v="0.2175"/>
    <n v="9.6000000000000002E-2"/>
    <n v="0.1525"/>
    <n v="9"/>
    <n v="7"/>
    <s v="Iona"/>
    <s v="Connolly"/>
    <s v="Florida Atlantic University"/>
    <n v="9"/>
    <s v="North Pacific"/>
    <n v="1.9"/>
    <s v="Category 2"/>
    <x v="0"/>
    <x v="1"/>
    <x v="1"/>
  </r>
  <r>
    <n v="2363"/>
    <s v="F"/>
    <n v="0.66"/>
    <n v="0.52500000000000002"/>
    <n v="0.20499999999999999"/>
    <n v="1.3665"/>
    <n v="0.50049999999999994"/>
    <n v="0.29099999999999998"/>
    <n v="0.41"/>
    <n v="18"/>
    <n v="15"/>
    <s v="Conan"/>
    <s v="Dalton"/>
    <s v="University of Houston"/>
    <n v="4"/>
    <s v="Mid-Atlantic"/>
    <n v="6.1"/>
    <s v="Category 3"/>
    <x v="0"/>
    <x v="0"/>
    <x v="0"/>
  </r>
  <r>
    <n v="2828"/>
    <s v="I"/>
    <n v="0.5"/>
    <n v="0.375"/>
    <n v="0.12"/>
    <n v="0.52900000000000003"/>
    <n v="0.2235"/>
    <n v="0.123"/>
    <n v="0.16"/>
    <n v="8"/>
    <n v="15"/>
    <s v="Conan"/>
    <s v="Dalton"/>
    <s v="University of Houston"/>
    <n v="5"/>
    <s v="Southeast"/>
    <n v="12.8"/>
    <s v="Category 2"/>
    <x v="0"/>
    <x v="1"/>
    <x v="1"/>
  </r>
  <r>
    <n v="2383"/>
    <s v="I"/>
    <n v="0.52500000000000002"/>
    <n v="0.43"/>
    <n v="0.15"/>
    <n v="0.73650000000000004"/>
    <n v="0.32250000000000001"/>
    <n v="0.161"/>
    <n v="0.215"/>
    <n v="11"/>
    <n v="8"/>
    <s v="Kali"/>
    <s v="Metcalfe"/>
    <s v="Mote Marine Laboratory"/>
    <n v="8"/>
    <s v="West Coast"/>
    <n v="12.3"/>
    <s v="Category 2"/>
    <x v="0"/>
    <x v="1"/>
    <x v="1"/>
  </r>
  <r>
    <n v="3521"/>
    <s v="F"/>
    <n v="0.72"/>
    <n v="0.54500000000000004"/>
    <n v="0.185"/>
    <n v="1.7184999999999999"/>
    <n v="0.79249999999999998"/>
    <n v="0.40100000000000002"/>
    <n v="0.46800000000000003"/>
    <n v="11"/>
    <n v="12"/>
    <s v="Rebecca"/>
    <s v="Bennett"/>
    <s v="University of Houston"/>
    <n v="6"/>
    <s v="Gulf of Mexico_x0009_"/>
    <n v="14.1"/>
    <s v="Category 3"/>
    <x v="0"/>
    <x v="0"/>
    <x v="0"/>
  </r>
  <r>
    <n v="3090"/>
    <s v="M"/>
    <n v="0.45500000000000002"/>
    <n v="0.35"/>
    <n v="0.11"/>
    <n v="0.45800000000000002"/>
    <n v="0.2"/>
    <n v="0.111"/>
    <n v="0.1305"/>
    <n v="8"/>
    <n v="2"/>
    <s v="Tiegan"/>
    <s v="Davie"/>
    <s v="University of California, Davis"/>
    <n v="9"/>
    <s v="North Pacific"/>
    <n v="1.9"/>
    <s v="Category 2"/>
    <x v="0"/>
    <x v="1"/>
    <x v="1"/>
  </r>
  <r>
    <n v="3500"/>
    <s v="F"/>
    <n v="0.59499999999999997"/>
    <n v="0.47"/>
    <n v="0.16500000000000001"/>
    <n v="1.0155000000000001"/>
    <n v="0.49099999999999999"/>
    <n v="0.1905"/>
    <n v="0.28899999999999998"/>
    <n v="9"/>
    <n v="14"/>
    <s v="Santiago"/>
    <s v="Vaughan"/>
    <s v="Ohio State University_x0009_"/>
    <n v="6"/>
    <s v="Gulf of Mexico_x0009_"/>
    <n v="14.1"/>
    <s v="Category 3"/>
    <x v="0"/>
    <x v="0"/>
    <x v="0"/>
  </r>
  <r>
    <n v="716"/>
    <s v="I"/>
    <n v="0.27500000000000002"/>
    <n v="0.2"/>
    <n v="6.5000000000000002E-2"/>
    <n v="0.10349999999999999"/>
    <n v="4.7500000000000001E-2"/>
    <n v="2.0500000000000001E-2"/>
    <n v="0.03"/>
    <n v="7"/>
    <n v="1"/>
    <s v="Jan"/>
    <s v="Odom"/>
    <s v="University of Houston"/>
    <n v="3"/>
    <s v="Northeast"/>
    <n v="3.6"/>
    <s v="Category 2"/>
    <x v="0"/>
    <x v="1"/>
    <x v="1"/>
  </r>
  <r>
    <n v="409"/>
    <s v="M"/>
    <n v="0.55500000000000005"/>
    <n v="0.45"/>
    <n v="0.14499999999999999"/>
    <n v="0.91500000000000004"/>
    <n v="0.4"/>
    <n v="0.246"/>
    <n v="0.28499999999999998"/>
    <n v="11"/>
    <n v="3"/>
    <s v="Inaya"/>
    <s v="Bernard"/>
    <s v="Stanford University"/>
    <n v="9"/>
    <s v="North Pacific"/>
    <n v="1.9"/>
    <s v="Category 3"/>
    <x v="0"/>
    <x v="0"/>
    <x v="0"/>
  </r>
  <r>
    <n v="84"/>
    <s v="M"/>
    <n v="0.59499999999999997"/>
    <n v="0.47499999999999998"/>
    <n v="0.16"/>
    <n v="1.3174999999999999"/>
    <n v="0.40799999999999997"/>
    <n v="0.23400000000000001"/>
    <n v="0.57999999999999996"/>
    <n v="21"/>
    <n v="10"/>
    <s v="Hazel"/>
    <s v="Villa"/>
    <s v="University of Minnesota"/>
    <n v="8"/>
    <s v="West Coast"/>
    <n v="12.3"/>
    <s v="Category 2"/>
    <x v="0"/>
    <x v="1"/>
    <x v="1"/>
  </r>
  <r>
    <n v="1395"/>
    <s v="M"/>
    <n v="0.64"/>
    <n v="0.56499999999999995"/>
    <n v="0.23"/>
    <n v="1.5209999999999999"/>
    <n v="0.64400000000000002"/>
    <n v="0.372"/>
    <n v="0.40600000000000003"/>
    <n v="15"/>
    <n v="14"/>
    <s v="Santiago"/>
    <s v="Vaughan"/>
    <s v="Ohio State University_x0009_"/>
    <n v="5"/>
    <s v="Southeast"/>
    <n v="12.8"/>
    <s v="Category 3"/>
    <x v="0"/>
    <x v="0"/>
    <x v="0"/>
  </r>
  <r>
    <n v="1385"/>
    <s v="F"/>
    <n v="0.63"/>
    <n v="0.48499999999999999"/>
    <n v="0.17"/>
    <n v="1.3205"/>
    <n v="0.59450000000000003"/>
    <n v="0.34499999999999997"/>
    <n v="0.34499999999999997"/>
    <n v="9"/>
    <n v="6"/>
    <s v="Martin"/>
    <s v="Gaines"/>
    <s v="San Diego State University"/>
    <n v="10"/>
    <s v="Pacific"/>
    <n v="24.1"/>
    <s v="Category 3"/>
    <x v="0"/>
    <x v="0"/>
    <x v="0"/>
  </r>
  <r>
    <n v="1890"/>
    <s v="M"/>
    <n v="0.56499999999999995"/>
    <n v="0.41499999999999998"/>
    <n v="0.125"/>
    <n v="0.66700000000000004"/>
    <n v="0.30199999999999999"/>
    <n v="0.1545"/>
    <n v="0.185"/>
    <n v="7"/>
    <n v="2"/>
    <s v="Tiegan"/>
    <s v="Davie"/>
    <s v="University of California, Davis"/>
    <n v="7"/>
    <s v="Great Lakes"/>
    <n v="2.5"/>
    <s v="Category 2"/>
    <x v="0"/>
    <x v="1"/>
    <x v="1"/>
  </r>
  <r>
    <n v="2471"/>
    <s v="M"/>
    <n v="0.61499999999999999"/>
    <n v="0.47499999999999998"/>
    <n v="0.17"/>
    <n v="1.1825000000000001"/>
    <n v="0.47399999999999998"/>
    <n v="0.28949999999999998"/>
    <n v="0.24"/>
    <n v="11"/>
    <n v="12"/>
    <s v="Rebecca"/>
    <s v="Bennett"/>
    <s v="University of Houston"/>
    <n v="5"/>
    <s v="Southeast"/>
    <n v="12.8"/>
    <s v="Category 3"/>
    <x v="0"/>
    <x v="0"/>
    <x v="0"/>
  </r>
  <r>
    <n v="3298"/>
    <s v="M"/>
    <n v="0.64500000000000002"/>
    <n v="0.5"/>
    <n v="0.19"/>
    <n v="1.2290000000000001"/>
    <n v="0.52400000000000002"/>
    <n v="0.27800000000000002"/>
    <n v="0.39500000000000002"/>
    <n v="17"/>
    <n v="15"/>
    <s v="Conan"/>
    <s v="Dalton"/>
    <s v="University of Houston"/>
    <n v="2"/>
    <s v="Florida Gulf Coast"/>
    <n v="18"/>
    <s v="Category 2"/>
    <x v="0"/>
    <x v="1"/>
    <x v="1"/>
  </r>
  <r>
    <n v="3532"/>
    <s v="I"/>
    <n v="0.36499999999999999"/>
    <n v="0.27500000000000002"/>
    <n v="0.09"/>
    <n v="0.23449999999999999"/>
    <n v="0.108"/>
    <n v="5.0999999999999997E-2"/>
    <n v="6.25E-2"/>
    <n v="7"/>
    <n v="1"/>
    <s v="Jan"/>
    <s v="Odom"/>
    <s v="University of Houston"/>
    <n v="10"/>
    <s v="Pacific"/>
    <n v="24.1"/>
    <s v="Category 2"/>
    <x v="0"/>
    <x v="1"/>
    <x v="1"/>
  </r>
  <r>
    <n v="3177"/>
    <s v="F"/>
    <n v="0.49"/>
    <n v="0.38"/>
    <n v="0.13"/>
    <n v="0.53900000000000003"/>
    <n v="0.22900000000000001"/>
    <n v="0.13550000000000001"/>
    <n v="0.16500000000000001"/>
    <n v="12"/>
    <n v="3"/>
    <s v="Inaya"/>
    <s v="Bernard"/>
    <s v="Stanford University"/>
    <n v="8"/>
    <s v="West Coast"/>
    <n v="12.3"/>
    <s v="Category 2"/>
    <x v="0"/>
    <x v="1"/>
    <x v="1"/>
  </r>
  <r>
    <n v="942"/>
    <s v="I"/>
    <n v="0.46500000000000002"/>
    <n v="0.36499999999999999"/>
    <n v="0.115"/>
    <n v="0.46700000000000003"/>
    <n v="0.23150000000000001"/>
    <n v="9.2499999999999999E-2"/>
    <n v="0.113"/>
    <n v="7"/>
    <n v="8"/>
    <s v="Kali"/>
    <s v="Metcalfe"/>
    <s v="Mote Marine Laboratory"/>
    <n v="5"/>
    <s v="Southeast"/>
    <n v="12.8"/>
    <s v="Category 2"/>
    <x v="0"/>
    <x v="1"/>
    <x v="1"/>
  </r>
  <r>
    <n v="487"/>
    <s v="M"/>
    <n v="0.55000000000000004"/>
    <n v="0.45"/>
    <n v="0.13"/>
    <n v="0.92"/>
    <n v="0.378"/>
    <n v="0.23849999999999999"/>
    <n v="0.28999999999999998"/>
    <n v="11"/>
    <n v="7"/>
    <s v="Iona"/>
    <s v="Connolly"/>
    <s v="Florida Atlantic University"/>
    <n v="2"/>
    <s v="Florida Gulf Coast"/>
    <n v="18"/>
    <s v="Category 2"/>
    <x v="0"/>
    <x v="1"/>
    <x v="1"/>
  </r>
  <r>
    <n v="4031"/>
    <s v="I"/>
    <n v="0.435"/>
    <n v="0.32500000000000001"/>
    <n v="0.1"/>
    <n v="0.36599999999999999"/>
    <n v="0.17399999999999999"/>
    <n v="7.2499999999999995E-2"/>
    <n v="0.109"/>
    <n v="7"/>
    <n v="12"/>
    <s v="Rebecca"/>
    <s v="Bennett"/>
    <s v="University of Houston"/>
    <n v="1"/>
    <s v="Florida Atlantic Coast"/>
    <n v="22.1"/>
    <s v="Category 2"/>
    <x v="0"/>
    <x v="1"/>
    <x v="1"/>
  </r>
  <r>
    <n v="2144"/>
    <s v="M"/>
    <n v="0.47"/>
    <n v="0.37"/>
    <n v="0.105"/>
    <n v="0.46650000000000003"/>
    <n v="0.20250000000000001"/>
    <n v="0.10150000000000001"/>
    <n v="0.155"/>
    <n v="10"/>
    <n v="8"/>
    <s v="Kali"/>
    <s v="Metcalfe"/>
    <s v="Mote Marine Laboratory"/>
    <n v="10"/>
    <s v="Pacific"/>
    <n v="24.1"/>
    <s v="Category 2"/>
    <x v="0"/>
    <x v="1"/>
    <x v="1"/>
  </r>
  <r>
    <n v="3031"/>
    <s v="I"/>
    <n v="0.52"/>
    <n v="0.39500000000000002"/>
    <n v="0.115"/>
    <n v="0.64449999999999996"/>
    <n v="0.3155"/>
    <n v="0.1245"/>
    <n v="0.186"/>
    <n v="11"/>
    <n v="7"/>
    <s v="Iona"/>
    <s v="Connolly"/>
    <s v="Florida Atlantic University"/>
    <n v="1"/>
    <s v="Florida Atlantic Coast"/>
    <n v="22.1"/>
    <s v="Category 2"/>
    <x v="0"/>
    <x v="1"/>
    <x v="1"/>
  </r>
  <r>
    <n v="635"/>
    <s v="M"/>
    <n v="0.36"/>
    <n v="0.29499999999999998"/>
    <n v="0.1"/>
    <n v="0.21049999999999999"/>
    <n v="6.6000000000000003E-2"/>
    <n v="5.2499999999999998E-2"/>
    <n v="7.4999999999999997E-2"/>
    <n v="9"/>
    <n v="15"/>
    <s v="Conan"/>
    <s v="Dalton"/>
    <s v="University of Houston"/>
    <n v="7"/>
    <s v="Great Lakes"/>
    <n v="2.5"/>
    <s v="Category 2"/>
    <x v="0"/>
    <x v="1"/>
    <x v="1"/>
  </r>
  <r>
    <n v="3387"/>
    <s v="M"/>
    <n v="0.51500000000000001"/>
    <n v="0.4"/>
    <n v="0.125"/>
    <n v="0.95499999999999996"/>
    <n v="0.34100000000000003"/>
    <n v="0.2535"/>
    <n v="0.26"/>
    <n v="13"/>
    <n v="5"/>
    <s v="Haniya"/>
    <s v="Talley"/>
    <s v="Prince William Sound Science Center"/>
    <n v="3"/>
    <s v="Northeast"/>
    <n v="3.6"/>
    <s v="Category 2"/>
    <x v="0"/>
    <x v="1"/>
    <x v="1"/>
  </r>
  <r>
    <n v="1265"/>
    <s v="I"/>
    <n v="0.45500000000000002"/>
    <n v="0.33"/>
    <n v="0.1"/>
    <n v="0.372"/>
    <n v="0.35799999999999998"/>
    <n v="7.7499999999999999E-2"/>
    <n v="0.11"/>
    <n v="8"/>
    <n v="6"/>
    <s v="Martin"/>
    <s v="Gaines"/>
    <s v="San Diego State University"/>
    <n v="3"/>
    <s v="Northeast"/>
    <n v="3.6"/>
    <s v="Category 2"/>
    <x v="0"/>
    <x v="1"/>
    <x v="1"/>
  </r>
  <r>
    <n v="1669"/>
    <s v="M"/>
    <n v="0.61"/>
    <n v="0.47499999999999998"/>
    <n v="0.155"/>
    <n v="0.98299999999999998"/>
    <n v="0.45650000000000002"/>
    <n v="0.22800000000000001"/>
    <n v="0.26600000000000001"/>
    <n v="10"/>
    <n v="14"/>
    <s v="Santiago"/>
    <s v="Vaughan"/>
    <s v="Ohio State University_x0009_"/>
    <n v="7"/>
    <s v="Great Lakes"/>
    <n v="2.5"/>
    <s v="Category 3"/>
    <x v="0"/>
    <x v="0"/>
    <x v="0"/>
  </r>
  <r>
    <n v="3770"/>
    <s v="F"/>
    <n v="0.56000000000000005"/>
    <n v="0.43"/>
    <n v="0.14499999999999999"/>
    <n v="0.89800000000000002"/>
    <n v="0.38950000000000001"/>
    <n v="0.23250000000000001"/>
    <n v="0.245"/>
    <n v="9"/>
    <n v="9"/>
    <s v="Danica"/>
    <s v="Tyler"/>
    <s v="University of Florida_x0009_"/>
    <n v="1"/>
    <s v="Florida Atlantic Coast"/>
    <n v="22.1"/>
    <s v="Category 2"/>
    <x v="0"/>
    <x v="1"/>
    <x v="1"/>
  </r>
  <r>
    <n v="1291"/>
    <s v="I"/>
    <n v="0.51500000000000001"/>
    <n v="0.38"/>
    <n v="0.12"/>
    <n v="0.625"/>
    <n v="0.32650000000000001"/>
    <n v="0.1295"/>
    <n v="0.16"/>
    <n v="7"/>
    <n v="13"/>
    <s v="Betty"/>
    <s v="Berg"/>
    <s v="University of Houston"/>
    <n v="9"/>
    <s v="North Pacific"/>
    <n v="1.9"/>
    <s v="Category 2"/>
    <x v="0"/>
    <x v="1"/>
    <x v="1"/>
  </r>
  <r>
    <n v="56"/>
    <s v="F"/>
    <n v="0.5"/>
    <n v="0.4"/>
    <n v="0.14000000000000001"/>
    <n v="0.66149999999999998"/>
    <n v="0.25650000000000001"/>
    <n v="0.17549999999999999"/>
    <n v="0.22"/>
    <n v="8"/>
    <n v="1"/>
    <s v="Jan"/>
    <s v="Odom"/>
    <s v="University of Houston"/>
    <n v="8"/>
    <s v="West Coast"/>
    <n v="12.3"/>
    <s v="Category 2"/>
    <x v="0"/>
    <x v="1"/>
    <x v="1"/>
  </r>
  <r>
    <n v="2218"/>
    <s v="F"/>
    <n v="0.51500000000000001"/>
    <n v="0.41499999999999998"/>
    <n v="0.13"/>
    <n v="0.76400000000000001"/>
    <n v="0.27600000000000002"/>
    <n v="0.19600000000000001"/>
    <n v="0.25"/>
    <n v="13"/>
    <n v="5"/>
    <s v="Haniya"/>
    <s v="Talley"/>
    <s v="Prince William Sound Science Center"/>
    <n v="3"/>
    <s v="Northeast"/>
    <n v="3.6"/>
    <s v="Category 2"/>
    <x v="0"/>
    <x v="1"/>
    <x v="1"/>
  </r>
  <r>
    <n v="4009"/>
    <s v="M"/>
    <n v="0.58499999999999996"/>
    <n v="0.45500000000000002"/>
    <n v="0.155"/>
    <n v="1.133"/>
    <n v="0.55149999999999999"/>
    <n v="0.223"/>
    <n v="0.30499999999999999"/>
    <n v="12"/>
    <n v="9"/>
    <s v="Danica"/>
    <s v="Tyler"/>
    <s v="University of Florida_x0009_"/>
    <n v="5"/>
    <s v="Southeast"/>
    <n v="12.8"/>
    <s v="Category 3"/>
    <x v="0"/>
    <x v="0"/>
    <x v="0"/>
  </r>
  <r>
    <n v="2449"/>
    <s v="F"/>
    <n v="0.35"/>
    <n v="0.26500000000000001"/>
    <n v="0.09"/>
    <n v="0.1855"/>
    <n v="7.4499999999999997E-2"/>
    <n v="4.1500000000000002E-2"/>
    <n v="0.06"/>
    <n v="7"/>
    <n v="14"/>
    <s v="Santiago"/>
    <s v="Vaughan"/>
    <s v="Ohio State University_x0009_"/>
    <n v="3"/>
    <s v="Northeast"/>
    <n v="3.6"/>
    <s v="Category 2"/>
    <x v="0"/>
    <x v="1"/>
    <x v="1"/>
  </r>
  <r>
    <n v="1648"/>
    <s v="F"/>
    <n v="0.58499999999999996"/>
    <n v="0.44500000000000001"/>
    <n v="0.14000000000000001"/>
    <n v="0.91300000000000003"/>
    <n v="0.43049999999999999"/>
    <n v="0.2205"/>
    <n v="0.253"/>
    <n v="10"/>
    <n v="8"/>
    <s v="Kali"/>
    <s v="Metcalfe"/>
    <s v="Mote Marine Laboratory"/>
    <n v="10"/>
    <s v="Pacific"/>
    <n v="24.1"/>
    <s v="Category 3"/>
    <x v="0"/>
    <x v="0"/>
    <x v="0"/>
  </r>
  <r>
    <n v="4"/>
    <s v="M"/>
    <n v="0.44"/>
    <n v="0.36499999999999999"/>
    <n v="0.125"/>
    <n v="0.51600000000000001"/>
    <n v="0.2155"/>
    <n v="0.114"/>
    <n v="0.155"/>
    <n v="10"/>
    <n v="8"/>
    <s v="Kali"/>
    <s v="Metcalfe"/>
    <s v="Mote Marine Laboratory"/>
    <n v="6"/>
    <s v="Gulf of Mexico_x0009_"/>
    <n v="14.1"/>
    <s v="Category 2"/>
    <x v="0"/>
    <x v="1"/>
    <x v="1"/>
  </r>
  <r>
    <n v="1373"/>
    <s v="F"/>
    <n v="0.61499999999999999"/>
    <n v="0.47499999999999998"/>
    <n v="0.16500000000000001"/>
    <n v="1.0229999999999999"/>
    <n v="0.49049999999999999"/>
    <n v="0.19550000000000001"/>
    <n v="0.30349999999999999"/>
    <n v="12"/>
    <n v="7"/>
    <s v="Iona"/>
    <s v="Connolly"/>
    <s v="Florida Atlantic University"/>
    <n v="2"/>
    <s v="Florida Gulf Coast"/>
    <n v="18"/>
    <s v="Category 3"/>
    <x v="0"/>
    <x v="0"/>
    <x v="0"/>
  </r>
  <r>
    <n v="869"/>
    <s v="F"/>
    <n v="0.61499999999999999"/>
    <n v="0.52"/>
    <n v="0.15"/>
    <n v="1.3434999999999999"/>
    <n v="0.629"/>
    <n v="0.26050000000000001"/>
    <n v="0.34499999999999997"/>
    <n v="10"/>
    <n v="13"/>
    <s v="Betty"/>
    <s v="Berg"/>
    <s v="University of Houston"/>
    <n v="8"/>
    <s v="West Coast"/>
    <n v="12.3"/>
    <s v="Category 3"/>
    <x v="0"/>
    <x v="0"/>
    <x v="0"/>
  </r>
  <r>
    <n v="3162"/>
    <s v="F"/>
    <n v="0.33500000000000002"/>
    <n v="0.22"/>
    <n v="7.0000000000000007E-2"/>
    <n v="0.17"/>
    <n v="7.5999999999999998E-2"/>
    <n v="3.6499999999999998E-2"/>
    <n v="0.05"/>
    <n v="6"/>
    <n v="15"/>
    <s v="Conan"/>
    <s v="Dalton"/>
    <s v="University of Houston"/>
    <n v="8"/>
    <s v="West Coast"/>
    <n v="12.3"/>
    <s v="Category 2"/>
    <x v="0"/>
    <x v="1"/>
    <x v="1"/>
  </r>
  <r>
    <n v="1453"/>
    <s v="I"/>
    <n v="0.47"/>
    <n v="0.34499999999999997"/>
    <n v="0.14000000000000001"/>
    <n v="0.46150000000000002"/>
    <n v="0.22900000000000001"/>
    <n v="0.1105"/>
    <n v="0.11600000000000001"/>
    <n v="9"/>
    <n v="11"/>
    <s v="Naima"/>
    <s v="Reyes"/>
    <s v="University of Houston"/>
    <n v="4"/>
    <s v="Mid-Atlantic"/>
    <n v="6.1"/>
    <s v="Category 2"/>
    <x v="0"/>
    <x v="1"/>
    <x v="1"/>
  </r>
  <r>
    <n v="594"/>
    <s v="F"/>
    <n v="0.66"/>
    <n v="0.52"/>
    <n v="0.18"/>
    <n v="1.514"/>
    <n v="0.52600000000000002"/>
    <n v="0.29749999999999999"/>
    <n v="0.42"/>
    <n v="19"/>
    <n v="3"/>
    <s v="Inaya"/>
    <s v="Bernard"/>
    <s v="Stanford University"/>
    <n v="7"/>
    <s v="Great Lakes"/>
    <n v="2.5"/>
    <s v="Category 2"/>
    <x v="0"/>
    <x v="1"/>
    <x v="1"/>
  </r>
  <r>
    <n v="791"/>
    <s v="F"/>
    <n v="0.56999999999999995"/>
    <n v="0.46500000000000002"/>
    <n v="0.16"/>
    <n v="0.89349999999999996"/>
    <n v="0.3145"/>
    <n v="0.25750000000000001"/>
    <n v="0.26300000000000001"/>
    <n v="10"/>
    <n v="14"/>
    <s v="Santiago"/>
    <s v="Vaughan"/>
    <s v="Ohio State University_x0009_"/>
    <n v="10"/>
    <s v="Pacific"/>
    <n v="24.1"/>
    <s v="Category 2"/>
    <x v="0"/>
    <x v="1"/>
    <x v="1"/>
  </r>
  <r>
    <n v="2138"/>
    <s v="F"/>
    <n v="0.59"/>
    <n v="0.45500000000000002"/>
    <n v="0.17499999999999999"/>
    <n v="0.96599999999999997"/>
    <n v="0.39100000000000001"/>
    <n v="0.2455"/>
    <n v="0.31"/>
    <n v="10"/>
    <n v="2"/>
    <s v="Tiegan"/>
    <s v="Davie"/>
    <s v="University of California, Davis"/>
    <n v="4"/>
    <s v="Mid-Atlantic"/>
    <n v="6.1"/>
    <s v="Category 2"/>
    <x v="0"/>
    <x v="1"/>
    <x v="1"/>
  </r>
  <r>
    <n v="2989"/>
    <s v="M"/>
    <n v="0.55500000000000005"/>
    <n v="0.42499999999999999"/>
    <n v="0.15"/>
    <n v="0.873"/>
    <n v="0.46250000000000002"/>
    <n v="0.1845"/>
    <n v="0.19650000000000001"/>
    <n v="9"/>
    <n v="9"/>
    <s v="Danica"/>
    <s v="Tyler"/>
    <s v="University of Florida_x0009_"/>
    <n v="2"/>
    <s v="Florida Gulf Coast"/>
    <n v="18"/>
    <s v="Category 3"/>
    <x v="0"/>
    <x v="0"/>
    <x v="0"/>
  </r>
  <r>
    <n v="1431"/>
    <s v="I"/>
    <n v="0.23"/>
    <n v="0.16500000000000001"/>
    <n v="0.06"/>
    <n v="5.1499999999999997E-2"/>
    <n v="1.9E-2"/>
    <n v="1.4500000000000001E-2"/>
    <n v="3.5999999999999997E-2"/>
    <n v="4"/>
    <n v="7"/>
    <s v="Iona"/>
    <s v="Connolly"/>
    <s v="Florida Atlantic University"/>
    <n v="9"/>
    <s v="North Pacific"/>
    <n v="1.9"/>
    <s v="Category 2"/>
    <x v="0"/>
    <x v="1"/>
    <x v="1"/>
  </r>
  <r>
    <n v="3423"/>
    <s v="M"/>
    <n v="0.61"/>
    <n v="0.47"/>
    <n v="0.155"/>
    <n v="1.0325"/>
    <n v="0.497"/>
    <n v="0.2175"/>
    <n v="0.27850000000000003"/>
    <n v="9"/>
    <n v="6"/>
    <s v="Martin"/>
    <s v="Gaines"/>
    <s v="San Diego State University"/>
    <n v="10"/>
    <s v="Pacific"/>
    <n v="24.1"/>
    <s v="Category 3"/>
    <x v="0"/>
    <x v="0"/>
    <x v="0"/>
  </r>
  <r>
    <n v="4042"/>
    <s v="I"/>
    <n v="0.57499999999999996"/>
    <n v="0.45"/>
    <n v="0.15"/>
    <n v="0.85799999999999998"/>
    <n v="0.44900000000000001"/>
    <n v="0.16600000000000001"/>
    <n v="0.215"/>
    <n v="10"/>
    <n v="9"/>
    <s v="Danica"/>
    <s v="Tyler"/>
    <s v="University of Florida_x0009_"/>
    <n v="4"/>
    <s v="Mid-Atlantic"/>
    <n v="6.1"/>
    <s v="Category 3"/>
    <x v="0"/>
    <x v="0"/>
    <x v="0"/>
  </r>
  <r>
    <n v="1107"/>
    <s v="I"/>
    <n v="0.51"/>
    <n v="0.4"/>
    <n v="0.125"/>
    <n v="0.5575"/>
    <n v="0.26150000000000001"/>
    <n v="0.1195"/>
    <n v="0.1525"/>
    <n v="9"/>
    <n v="2"/>
    <s v="Tiegan"/>
    <s v="Davie"/>
    <s v="University of California, Davis"/>
    <n v="1"/>
    <s v="Florida Atlantic Coast"/>
    <n v="22.1"/>
    <s v="Category 2"/>
    <x v="0"/>
    <x v="1"/>
    <x v="1"/>
  </r>
  <r>
    <n v="943"/>
    <s v="I"/>
    <n v="0.46500000000000002"/>
    <n v="0.37"/>
    <n v="0.115"/>
    <n v="0.53400000000000003"/>
    <n v="0.26100000000000001"/>
    <n v="9.8000000000000004E-2"/>
    <n v="0.14299999999999999"/>
    <n v="7"/>
    <n v="3"/>
    <s v="Inaya"/>
    <s v="Bernard"/>
    <s v="Stanford University"/>
    <n v="5"/>
    <s v="Southeast"/>
    <n v="12.8"/>
    <s v="Category 2"/>
    <x v="0"/>
    <x v="1"/>
    <x v="1"/>
  </r>
  <r>
    <n v="1712"/>
    <s v="M"/>
    <n v="0.64500000000000002"/>
    <n v="0.51"/>
    <n v="0.16"/>
    <n v="1.33"/>
    <n v="0.66649999999999998"/>
    <n v="0.309"/>
    <n v="0.317"/>
    <n v="9"/>
    <n v="1"/>
    <s v="Jan"/>
    <s v="Odom"/>
    <s v="University of Houston"/>
    <n v="4"/>
    <s v="Mid-Atlantic"/>
    <n v="6.1"/>
    <s v="Category 3"/>
    <x v="0"/>
    <x v="0"/>
    <x v="0"/>
  </r>
  <r>
    <n v="843"/>
    <s v="M"/>
    <n v="0.5"/>
    <n v="0.4"/>
    <n v="0.125"/>
    <n v="0.59750000000000003"/>
    <n v="0.27"/>
    <n v="0.1275"/>
    <n v="0.16600000000000001"/>
    <n v="9"/>
    <n v="4"/>
    <s v="Nate"/>
    <s v="Craig"/>
    <s v="NOAA Fisheries"/>
    <n v="4"/>
    <s v="Mid-Atlantic"/>
    <n v="6.1"/>
    <s v="Category 2"/>
    <x v="0"/>
    <x v="1"/>
    <x v="1"/>
  </r>
  <r>
    <n v="1662"/>
    <s v="M"/>
    <n v="0.6"/>
    <n v="0.47"/>
    <n v="0.16"/>
    <n v="1.194"/>
    <n v="0.5625"/>
    <n v="0.30449999999999999"/>
    <n v="0.26350000000000001"/>
    <n v="10"/>
    <n v="11"/>
    <s v="Naima"/>
    <s v="Reyes"/>
    <s v="University of Houston"/>
    <n v="6"/>
    <s v="Gulf of Mexico_x0009_"/>
    <n v="14.1"/>
    <s v="Category 3"/>
    <x v="0"/>
    <x v="0"/>
    <x v="0"/>
  </r>
  <r>
    <n v="2758"/>
    <s v="I"/>
    <n v="0.52500000000000002"/>
    <n v="0.375"/>
    <n v="0.12"/>
    <n v="0.63149999999999995"/>
    <n v="0.30449999999999999"/>
    <n v="0.114"/>
    <n v="0.19"/>
    <n v="9"/>
    <n v="3"/>
    <s v="Inaya"/>
    <s v="Bernard"/>
    <s v="Stanford University"/>
    <n v="8"/>
    <s v="West Coast"/>
    <n v="12.3"/>
    <s v="Category 2"/>
    <x v="0"/>
    <x v="1"/>
    <x v="1"/>
  </r>
  <r>
    <n v="614"/>
    <s v="I"/>
    <n v="0.495"/>
    <n v="0.37"/>
    <n v="0.125"/>
    <n v="0.47749999999999998"/>
    <n v="0.185"/>
    <n v="7.0499999999999993E-2"/>
    <n v="0.16900000000000001"/>
    <n v="18"/>
    <n v="6"/>
    <s v="Martin"/>
    <s v="Gaines"/>
    <s v="San Diego State University"/>
    <n v="10"/>
    <s v="Pacific"/>
    <n v="24.1"/>
    <s v="Category 1"/>
    <x v="1"/>
    <x v="0"/>
    <x v="1"/>
  </r>
  <r>
    <n v="57"/>
    <s v="M"/>
    <n v="0.44500000000000001"/>
    <n v="0.35"/>
    <n v="0.12"/>
    <n v="0.4425"/>
    <n v="0.192"/>
    <n v="9.5500000000000002E-2"/>
    <n v="0.13500000000000001"/>
    <n v="8"/>
    <n v="8"/>
    <s v="Kali"/>
    <s v="Metcalfe"/>
    <s v="Mote Marine Laboratory"/>
    <n v="6"/>
    <s v="Gulf of Mexico_x0009_"/>
    <n v="14.1"/>
    <s v="Category 2"/>
    <x v="0"/>
    <x v="1"/>
    <x v="1"/>
  </r>
  <r>
    <n v="4096"/>
    <s v="F"/>
    <n v="0.63500000000000001"/>
    <n v="0.48499999999999999"/>
    <n v="0.155"/>
    <n v="1.073"/>
    <n v="0.46700000000000003"/>
    <n v="0.19750000000000001"/>
    <n v="0.35"/>
    <n v="11"/>
    <n v="11"/>
    <s v="Naima"/>
    <s v="Reyes"/>
    <s v="University of Houston"/>
    <n v="9"/>
    <s v="North Pacific"/>
    <n v="1.9"/>
    <s v="Category 3"/>
    <x v="0"/>
    <x v="0"/>
    <x v="0"/>
  </r>
  <r>
    <n v="1779"/>
    <s v="F"/>
    <n v="0.49"/>
    <n v="0.35499999999999998"/>
    <n v="0.16"/>
    <n v="0.87949999999999995"/>
    <n v="0.34849999999999998"/>
    <n v="0.215"/>
    <n v="0.28249999999999997"/>
    <n v="8"/>
    <n v="3"/>
    <s v="Inaya"/>
    <s v="Bernard"/>
    <s v="Stanford University"/>
    <n v="10"/>
    <s v="Pacific"/>
    <n v="24.1"/>
    <s v="Category 2"/>
    <x v="0"/>
    <x v="1"/>
    <x v="1"/>
  </r>
  <r>
    <n v="2336"/>
    <s v="M"/>
    <n v="0.61"/>
    <n v="0.49"/>
    <n v="0.15"/>
    <n v="1.103"/>
    <n v="0.42499999999999999"/>
    <n v="0.20250000000000001"/>
    <n v="0.36"/>
    <n v="23"/>
    <n v="3"/>
    <s v="Inaya"/>
    <s v="Bernard"/>
    <s v="Stanford University"/>
    <n v="8"/>
    <s v="West Coast"/>
    <n v="12.3"/>
    <s v="Category 2"/>
    <x v="0"/>
    <x v="1"/>
    <x v="1"/>
  </r>
  <r>
    <n v="2817"/>
    <s v="I"/>
    <n v="0.32500000000000001"/>
    <n v="0.24"/>
    <n v="7.4999999999999997E-2"/>
    <n v="0.1525"/>
    <n v="7.1999999999999995E-2"/>
    <n v="6.4500000000000002E-2"/>
    <n v="4.2999999999999997E-2"/>
    <n v="6"/>
    <n v="8"/>
    <s v="Kali"/>
    <s v="Metcalfe"/>
    <s v="Mote Marine Laboratory"/>
    <n v="10"/>
    <s v="Pacific"/>
    <n v="24.1"/>
    <s v="Category 2"/>
    <x v="0"/>
    <x v="1"/>
    <x v="1"/>
  </r>
  <r>
    <n v="2498"/>
    <s v="M"/>
    <n v="0.505"/>
    <n v="0.4"/>
    <n v="0.155"/>
    <n v="0.84150000000000003"/>
    <n v="0.27150000000000002"/>
    <n v="0.17749999999999999"/>
    <n v="0.28499999999999998"/>
    <n v="12"/>
    <n v="11"/>
    <s v="Naima"/>
    <s v="Reyes"/>
    <s v="University of Houston"/>
    <n v="10"/>
    <s v="Pacific"/>
    <n v="24.1"/>
    <s v="Category 2"/>
    <x v="0"/>
    <x v="1"/>
    <x v="1"/>
  </r>
  <r>
    <n v="2752"/>
    <s v="F"/>
    <n v="0.51500000000000001"/>
    <n v="0.39500000000000002"/>
    <n v="0.13500000000000001"/>
    <n v="0.51600000000000001"/>
    <n v="0.20150000000000001"/>
    <n v="0.13200000000000001"/>
    <n v="0.16200000000000001"/>
    <n v="9"/>
    <n v="11"/>
    <s v="Naima"/>
    <s v="Reyes"/>
    <s v="University of Houston"/>
    <n v="1"/>
    <s v="Florida Atlantic Coast"/>
    <n v="22.1"/>
    <s v="Category 2"/>
    <x v="0"/>
    <x v="1"/>
    <x v="1"/>
  </r>
  <r>
    <n v="3195"/>
    <s v="F"/>
    <n v="0.61"/>
    <n v="0.47"/>
    <n v="0.16"/>
    <n v="1.0169999999999999"/>
    <n v="0.42599999999999999"/>
    <n v="0.22550000000000001"/>
    <n v="0.32"/>
    <n v="12"/>
    <n v="3"/>
    <s v="Inaya"/>
    <s v="Bernard"/>
    <s v="Stanford University"/>
    <n v="9"/>
    <s v="North Pacific"/>
    <n v="1.9"/>
    <s v="Category 3"/>
    <x v="0"/>
    <x v="0"/>
    <x v="0"/>
  </r>
  <r>
    <n v="778"/>
    <s v="M"/>
    <n v="0.49"/>
    <n v="0.38"/>
    <n v="0.14000000000000001"/>
    <n v="0.63849999999999996"/>
    <n v="0.23050000000000001"/>
    <n v="0.14199999999999999"/>
    <n v="0.19500000000000001"/>
    <n v="13"/>
    <n v="10"/>
    <s v="Hazel"/>
    <s v="Villa"/>
    <s v="University of Minnesota"/>
    <n v="5"/>
    <s v="Southeast"/>
    <n v="12.8"/>
    <s v="Category 2"/>
    <x v="0"/>
    <x v="1"/>
    <x v="1"/>
  </r>
  <r>
    <n v="1930"/>
    <s v="M"/>
    <n v="0.61499999999999999"/>
    <n v="0.495"/>
    <n v="0.2"/>
    <n v="1.2190000000000001"/>
    <n v="0.56399999999999995"/>
    <n v="0.22700000000000001"/>
    <n v="0.38850000000000001"/>
    <n v="10"/>
    <n v="12"/>
    <s v="Rebecca"/>
    <s v="Bennett"/>
    <s v="University of Houston"/>
    <n v="6"/>
    <s v="Gulf of Mexico_x0009_"/>
    <n v="14.1"/>
    <s v="Category 3"/>
    <x v="0"/>
    <x v="0"/>
    <x v="0"/>
  </r>
  <r>
    <n v="4161"/>
    <s v="F"/>
    <n v="0.58499999999999996"/>
    <n v="0.47499999999999998"/>
    <n v="0.16500000000000001"/>
    <n v="1.0529999999999999"/>
    <n v="0.45800000000000002"/>
    <n v="0.217"/>
    <n v="0.3"/>
    <n v="11"/>
    <n v="10"/>
    <s v="Hazel"/>
    <s v="Villa"/>
    <s v="University of Minnesota"/>
    <n v="10"/>
    <s v="Pacific"/>
    <n v="24.1"/>
    <s v="Category 3"/>
    <x v="0"/>
    <x v="0"/>
    <x v="0"/>
  </r>
  <r>
    <n v="28"/>
    <s v="M"/>
    <n v="0.59"/>
    <n v="0.44500000000000001"/>
    <n v="0.14000000000000001"/>
    <n v="0.93100000000000005"/>
    <n v="0.35599999999999998"/>
    <n v="0.23400000000000001"/>
    <n v="0.28000000000000003"/>
    <n v="12"/>
    <n v="14"/>
    <s v="Santiago"/>
    <s v="Vaughan"/>
    <s v="Ohio State University_x0009_"/>
    <n v="3"/>
    <s v="Northeast"/>
    <n v="3.6"/>
    <s v="Category 2"/>
    <x v="0"/>
    <x v="1"/>
    <x v="1"/>
  </r>
  <r>
    <n v="2807"/>
    <s v="F"/>
    <n v="0.67500000000000004"/>
    <n v="0.52500000000000002"/>
    <n v="0.17"/>
    <n v="1.7110000000000001"/>
    <n v="0.83650000000000002"/>
    <n v="0.35199999999999998"/>
    <n v="0.47499999999999998"/>
    <n v="9"/>
    <n v="15"/>
    <s v="Conan"/>
    <s v="Dalton"/>
    <s v="University of Houston"/>
    <n v="10"/>
    <s v="Pacific"/>
    <n v="24.1"/>
    <s v="Category 3"/>
    <x v="0"/>
    <x v="0"/>
    <x v="0"/>
  </r>
  <r>
    <n v="1832"/>
    <s v="I"/>
    <n v="0.36499999999999999"/>
    <n v="0.27"/>
    <n v="7.4999999999999997E-2"/>
    <n v="0.2215"/>
    <n v="9.5000000000000001E-2"/>
    <n v="4.4499999999999998E-2"/>
    <n v="7.0000000000000007E-2"/>
    <n v="6"/>
    <n v="13"/>
    <s v="Betty"/>
    <s v="Berg"/>
    <s v="University of Houston"/>
    <n v="7"/>
    <s v="Great Lakes"/>
    <n v="2.5"/>
    <s v="Category 2"/>
    <x v="0"/>
    <x v="1"/>
    <x v="1"/>
  </r>
  <r>
    <n v="474"/>
    <s v="F"/>
    <n v="0.52"/>
    <n v="0.40500000000000003"/>
    <n v="0.12"/>
    <n v="0.627"/>
    <n v="0.26450000000000001"/>
    <n v="0.14149999999999999"/>
    <n v="0.18099999999999999"/>
    <n v="11"/>
    <n v="4"/>
    <s v="Nate"/>
    <s v="Craig"/>
    <s v="NOAA Fisheries"/>
    <n v="9"/>
    <s v="North Pacific"/>
    <n v="1.9"/>
    <s v="Category 2"/>
    <x v="0"/>
    <x v="1"/>
    <x v="1"/>
  </r>
  <r>
    <n v="856"/>
    <s v="F"/>
    <n v="0.57499999999999996"/>
    <n v="0.46500000000000002"/>
    <n v="0.14000000000000001"/>
    <n v="0.95799999999999996"/>
    <n v="0.442"/>
    <n v="0.18149999999999999"/>
    <n v="0.27050000000000002"/>
    <n v="9"/>
    <n v="5"/>
    <s v="Haniya"/>
    <s v="Talley"/>
    <s v="Prince William Sound Science Center"/>
    <n v="4"/>
    <s v="Mid-Atlantic"/>
    <n v="6.1"/>
    <s v="Category 3"/>
    <x v="0"/>
    <x v="0"/>
    <x v="0"/>
  </r>
  <r>
    <n v="3358"/>
    <s v="I"/>
    <n v="0.375"/>
    <n v="0.28499999999999998"/>
    <n v="0.1"/>
    <n v="0.23899999999999999"/>
    <n v="0.105"/>
    <n v="5.5500000000000001E-2"/>
    <n v="7.0000000000000007E-2"/>
    <n v="8"/>
    <n v="5"/>
    <s v="Haniya"/>
    <s v="Talley"/>
    <s v="Prince William Sound Science Center"/>
    <n v="9"/>
    <s v="North Pacific"/>
    <n v="1.9"/>
    <s v="Category 2"/>
    <x v="0"/>
    <x v="1"/>
    <x v="1"/>
  </r>
  <r>
    <n v="1486"/>
    <s v="F"/>
    <n v="0.59"/>
    <n v="0.46"/>
    <n v="0.14499999999999999"/>
    <n v="0.99050000000000005"/>
    <n v="0.45300000000000001"/>
    <n v="0.2205"/>
    <n v="0.27500000000000002"/>
    <n v="8"/>
    <n v="6"/>
    <s v="Martin"/>
    <s v="Gaines"/>
    <s v="San Diego State University"/>
    <n v="6"/>
    <s v="Gulf of Mexico_x0009_"/>
    <n v="14.1"/>
    <s v="Category 3"/>
    <x v="0"/>
    <x v="0"/>
    <x v="0"/>
  </r>
  <r>
    <n v="419"/>
    <s v="F"/>
    <n v="0.63"/>
    <n v="0.5"/>
    <n v="0.155"/>
    <n v="1.0049999999999999"/>
    <n v="0.36699999999999999"/>
    <n v="0.19900000000000001"/>
    <n v="0.36"/>
    <n v="16"/>
    <n v="1"/>
    <s v="Jan"/>
    <s v="Odom"/>
    <s v="University of Houston"/>
    <n v="10"/>
    <s v="Pacific"/>
    <n v="24.1"/>
    <s v="Category 2"/>
    <x v="0"/>
    <x v="1"/>
    <x v="1"/>
  </r>
  <r>
    <n v="3908"/>
    <s v="I"/>
    <n v="0.48"/>
    <n v="0.39"/>
    <n v="0.15"/>
    <n v="0.62749999999999995"/>
    <n v="0.27600000000000002"/>
    <n v="0.13400000000000001"/>
    <n v="0.185"/>
    <n v="13"/>
    <n v="8"/>
    <s v="Kali"/>
    <s v="Metcalfe"/>
    <s v="Mote Marine Laboratory"/>
    <n v="2"/>
    <s v="Florida Gulf Coast"/>
    <n v="18"/>
    <s v="Category 2"/>
    <x v="0"/>
    <x v="1"/>
    <x v="1"/>
  </r>
  <r>
    <n v="639"/>
    <s v="I"/>
    <n v="0.44"/>
    <n v="0.34499999999999997"/>
    <n v="0.12"/>
    <n v="0.48699999999999999"/>
    <n v="0.19650000000000001"/>
    <n v="0.108"/>
    <n v="0.16"/>
    <n v="14"/>
    <n v="14"/>
    <s v="Santiago"/>
    <s v="Vaughan"/>
    <s v="Ohio State University_x0009_"/>
    <n v="7"/>
    <s v="Great Lakes"/>
    <n v="2.5"/>
    <s v="Category 2"/>
    <x v="0"/>
    <x v="1"/>
    <x v="1"/>
  </r>
  <r>
    <n v="2007"/>
    <s v="I"/>
    <n v="0.40500000000000003"/>
    <n v="0.25"/>
    <n v="0.09"/>
    <n v="0.28749999999999998"/>
    <n v="0.128"/>
    <n v="6.3E-2"/>
    <n v="8.0500000000000002E-2"/>
    <n v="7"/>
    <n v="11"/>
    <s v="Naima"/>
    <s v="Reyes"/>
    <s v="University of Houston"/>
    <n v="5"/>
    <s v="Southeast"/>
    <n v="12.8"/>
    <s v="Category 2"/>
    <x v="0"/>
    <x v="1"/>
    <x v="1"/>
  </r>
  <r>
    <n v="1199"/>
    <s v="M"/>
    <n v="0.71499999999999997"/>
    <n v="0.53500000000000003"/>
    <n v="0.19"/>
    <n v="1.6755"/>
    <n v="0.88900000000000001"/>
    <n v="0.313"/>
    <n v="0.42"/>
    <n v="10"/>
    <n v="5"/>
    <s v="Haniya"/>
    <s v="Talley"/>
    <s v="Prince William Sound Science Center"/>
    <n v="5"/>
    <s v="Southeast"/>
    <n v="12.8"/>
    <s v="Category 3"/>
    <x v="0"/>
    <x v="0"/>
    <x v="0"/>
  </r>
  <r>
    <n v="1888"/>
    <s v="I"/>
    <n v="0.56000000000000005"/>
    <n v="0.44500000000000001"/>
    <n v="0.16500000000000001"/>
    <n v="0.83199999999999996"/>
    <n v="0.34549999999999997"/>
    <n v="0.17899999999999999"/>
    <n v="0.27900000000000003"/>
    <n v="9"/>
    <n v="10"/>
    <s v="Hazel"/>
    <s v="Villa"/>
    <s v="University of Minnesota"/>
    <n v="5"/>
    <s v="Southeast"/>
    <n v="12.8"/>
    <s v="Category 2"/>
    <x v="0"/>
    <x v="1"/>
    <x v="1"/>
  </r>
  <r>
    <n v="2060"/>
    <s v="I"/>
    <n v="0.49"/>
    <n v="0.37"/>
    <n v="0.11"/>
    <n v="0.53800000000000003"/>
    <n v="0.27100000000000002"/>
    <n v="0.10349999999999999"/>
    <n v="0.13900000000000001"/>
    <n v="8"/>
    <n v="11"/>
    <s v="Naima"/>
    <s v="Reyes"/>
    <s v="University of Houston"/>
    <n v="8"/>
    <s v="West Coast"/>
    <n v="12.3"/>
    <s v="Category 2"/>
    <x v="0"/>
    <x v="1"/>
    <x v="1"/>
  </r>
  <r>
    <n v="3795"/>
    <s v="M"/>
    <n v="0.67"/>
    <n v="0.52"/>
    <n v="0.17499999999999999"/>
    <n v="1.4755"/>
    <n v="0.62749999999999995"/>
    <n v="0.379"/>
    <n v="0.374"/>
    <n v="10"/>
    <n v="10"/>
    <s v="Hazel"/>
    <s v="Villa"/>
    <s v="University of Minnesota"/>
    <n v="1"/>
    <s v="Florida Atlantic Coast"/>
    <n v="22.1"/>
    <s v="Category 3"/>
    <x v="0"/>
    <x v="0"/>
    <x v="0"/>
  </r>
  <r>
    <n v="3435"/>
    <s v="I"/>
    <n v="0.37"/>
    <n v="0.28000000000000003"/>
    <n v="0.09"/>
    <n v="0.25650000000000001"/>
    <n v="0.1255"/>
    <n v="6.4500000000000002E-2"/>
    <n v="6.4500000000000002E-2"/>
    <n v="6"/>
    <n v="5"/>
    <s v="Haniya"/>
    <s v="Talley"/>
    <s v="Prince William Sound Science Center"/>
    <n v="8"/>
    <s v="West Coast"/>
    <n v="12.3"/>
    <s v="Category 2"/>
    <x v="0"/>
    <x v="1"/>
    <x v="1"/>
  </r>
  <r>
    <n v="4068"/>
    <s v="I"/>
    <n v="0.4"/>
    <n v="0.3"/>
    <n v="0.115"/>
    <n v="0.318"/>
    <n v="0.13350000000000001"/>
    <n v="7.2499999999999995E-2"/>
    <n v="9.35E-2"/>
    <n v="6"/>
    <n v="8"/>
    <s v="Kali"/>
    <s v="Metcalfe"/>
    <s v="Mote Marine Laboratory"/>
    <n v="2"/>
    <s v="Florida Gulf Coast"/>
    <n v="18"/>
    <s v="Category 2"/>
    <x v="0"/>
    <x v="1"/>
    <x v="1"/>
  </r>
  <r>
    <n v="3063"/>
    <s v="F"/>
    <n v="0.63500000000000001"/>
    <n v="0.505"/>
    <n v="0.16500000000000001"/>
    <n v="1.2509999999999999"/>
    <n v="0.57699999999999996"/>
    <n v="0.22700000000000001"/>
    <n v="0.38250000000000001"/>
    <n v="11"/>
    <n v="14"/>
    <s v="Santiago"/>
    <s v="Vaughan"/>
    <s v="Ohio State University_x0009_"/>
    <n v="5"/>
    <s v="Southeast"/>
    <n v="12.8"/>
    <s v="Category 3"/>
    <x v="0"/>
    <x v="0"/>
    <x v="0"/>
  </r>
  <r>
    <n v="3628"/>
    <s v="M"/>
    <n v="0.71499999999999997"/>
    <n v="0.52500000000000002"/>
    <n v="0.2"/>
    <n v="1.89"/>
    <n v="0.95"/>
    <n v="0.436"/>
    <n v="0.43049999999999999"/>
    <n v="10"/>
    <n v="12"/>
    <s v="Rebecca"/>
    <s v="Bennett"/>
    <s v="University of Houston"/>
    <n v="9"/>
    <s v="North Pacific"/>
    <n v="1.9"/>
    <s v="Category 3"/>
    <x v="0"/>
    <x v="0"/>
    <x v="0"/>
  </r>
  <r>
    <n v="4131"/>
    <s v="M"/>
    <n v="0.57999999999999996"/>
    <n v="0.45"/>
    <n v="0.14000000000000001"/>
    <n v="0.82399999999999995"/>
    <n v="0.34649999999999997"/>
    <n v="0.17649999999999999"/>
    <n v="0.26300000000000001"/>
    <n v="10"/>
    <n v="6"/>
    <s v="Martin"/>
    <s v="Gaines"/>
    <s v="San Diego State University"/>
    <n v="1"/>
    <s v="Florida Atlantic Coast"/>
    <n v="22.1"/>
    <s v="Category 2"/>
    <x v="0"/>
    <x v="1"/>
    <x v="1"/>
  </r>
  <r>
    <n v="2997"/>
    <s v="F"/>
    <n v="0.62"/>
    <n v="0.5"/>
    <n v="0.17"/>
    <n v="1.1479999999999999"/>
    <n v="0.54749999999999999"/>
    <n v="0.22"/>
    <n v="0.33150000000000002"/>
    <n v="10"/>
    <n v="3"/>
    <s v="Inaya"/>
    <s v="Bernard"/>
    <s v="Stanford University"/>
    <n v="3"/>
    <s v="Northeast"/>
    <n v="3.6"/>
    <s v="Category 3"/>
    <x v="0"/>
    <x v="0"/>
    <x v="0"/>
  </r>
  <r>
    <n v="2304"/>
    <s v="F"/>
    <n v="0.57999999999999996"/>
    <n v="0.45500000000000002"/>
    <n v="0.12"/>
    <n v="0.94"/>
    <n v="0.39900000000000002"/>
    <n v="0.25700000000000001"/>
    <n v="0.26500000000000001"/>
    <n v="11"/>
    <n v="12"/>
    <s v="Rebecca"/>
    <s v="Bennett"/>
    <s v="University of Houston"/>
    <n v="9"/>
    <s v="North Pacific"/>
    <n v="1.9"/>
    <s v="Category 2"/>
    <x v="0"/>
    <x v="1"/>
    <x v="1"/>
  </r>
  <r>
    <n v="2354"/>
    <s v="F"/>
    <n v="0.72"/>
    <n v="0.56000000000000005"/>
    <n v="0.17499999999999999"/>
    <n v="1.7264999999999999"/>
    <n v="0.63700000000000001"/>
    <n v="0.34150000000000003"/>
    <n v="0.52500000000000002"/>
    <n v="17"/>
    <n v="3"/>
    <s v="Inaya"/>
    <s v="Bernard"/>
    <s v="Stanford University"/>
    <n v="4"/>
    <s v="Mid-Atlantic"/>
    <n v="6.1"/>
    <s v="Category 3"/>
    <x v="0"/>
    <x v="0"/>
    <x v="0"/>
  </r>
  <r>
    <n v="170"/>
    <s v="F"/>
    <n v="0.68"/>
    <n v="0.51500000000000001"/>
    <n v="0.17499999999999999"/>
    <n v="1.6185"/>
    <n v="0.51249999999999996"/>
    <n v="0.40899999999999997"/>
    <n v="0.62"/>
    <n v="12"/>
    <n v="9"/>
    <s v="Danica"/>
    <s v="Tyler"/>
    <s v="University of Florida_x0009_"/>
    <n v="10"/>
    <s v="Pacific"/>
    <n v="24.1"/>
    <s v="Category 3"/>
    <x v="0"/>
    <x v="0"/>
    <x v="0"/>
  </r>
  <r>
    <n v="2812"/>
    <s v="M"/>
    <n v="0.72499999999999998"/>
    <n v="0.56999999999999995"/>
    <n v="0.19"/>
    <n v="2.3304999999999998"/>
    <n v="1.2529999999999999"/>
    <n v="0.54100000000000004"/>
    <n v="0.52"/>
    <n v="9"/>
    <n v="12"/>
    <s v="Rebecca"/>
    <s v="Bennett"/>
    <s v="University of Houston"/>
    <n v="1"/>
    <s v="Florida Atlantic Coast"/>
    <n v="22.1"/>
    <s v="Category 1"/>
    <x v="1"/>
    <x v="0"/>
    <x v="1"/>
  </r>
  <r>
    <n v="1575"/>
    <s v="M"/>
    <n v="0.48"/>
    <n v="0.35499999999999998"/>
    <n v="0.16"/>
    <n v="0.46400000000000002"/>
    <n v="0.221"/>
    <n v="0.106"/>
    <n v="0.23899999999999999"/>
    <n v="8"/>
    <n v="4"/>
    <s v="Nate"/>
    <s v="Craig"/>
    <s v="NOAA Fisheries"/>
    <n v="2"/>
    <s v="Florida Gulf Coast"/>
    <n v="18"/>
    <s v="Category 2"/>
    <x v="0"/>
    <x v="1"/>
    <x v="1"/>
  </r>
  <r>
    <n v="2943"/>
    <s v="M"/>
    <n v="0.63"/>
    <n v="0.53"/>
    <n v="0.18"/>
    <n v="1.2795000000000001"/>
    <n v="0.61799999999999999"/>
    <n v="0.25600000000000001"/>
    <n v="0.315"/>
    <n v="9"/>
    <n v="14"/>
    <s v="Santiago"/>
    <s v="Vaughan"/>
    <s v="Ohio State University_x0009_"/>
    <n v="9"/>
    <s v="North Pacific"/>
    <n v="1.9"/>
    <s v="Category 3"/>
    <x v="0"/>
    <x v="0"/>
    <x v="0"/>
  </r>
  <r>
    <n v="1691"/>
    <s v="M"/>
    <n v="0.625"/>
    <n v="0.5"/>
    <n v="0.17"/>
    <n v="1.0985"/>
    <n v="0.46450000000000002"/>
    <n v="0.22"/>
    <n v="0.35399999999999998"/>
    <n v="9"/>
    <n v="12"/>
    <s v="Rebecca"/>
    <s v="Bennett"/>
    <s v="University of Houston"/>
    <n v="2"/>
    <s v="Florida Gulf Coast"/>
    <n v="18"/>
    <s v="Category 3"/>
    <x v="0"/>
    <x v="0"/>
    <x v="0"/>
  </r>
  <r>
    <n v="3480"/>
    <s v="I"/>
    <n v="0.44"/>
    <n v="0.33"/>
    <n v="0.11"/>
    <n v="0.38"/>
    <n v="0.19700000000000001"/>
    <n v="7.9000000000000001E-2"/>
    <n v="0.09"/>
    <n v="7"/>
    <n v="15"/>
    <s v="Conan"/>
    <s v="Dalton"/>
    <s v="University of Houston"/>
    <n v="9"/>
    <s v="North Pacific"/>
    <n v="1.9"/>
    <s v="Category 2"/>
    <x v="0"/>
    <x v="1"/>
    <x v="1"/>
  </r>
  <r>
    <n v="3656"/>
    <s v="M"/>
    <n v="0.53"/>
    <n v="0.41"/>
    <n v="0.125"/>
    <n v="0.76900000000000002"/>
    <n v="0.34599999999999997"/>
    <n v="0.17299999999999999"/>
    <n v="0.215"/>
    <n v="9"/>
    <n v="7"/>
    <s v="Iona"/>
    <s v="Connolly"/>
    <s v="Florida Atlantic University"/>
    <n v="3"/>
    <s v="Northeast"/>
    <n v="3.6"/>
    <s v="Category 2"/>
    <x v="0"/>
    <x v="1"/>
    <x v="1"/>
  </r>
  <r>
    <n v="201"/>
    <s v="F"/>
    <n v="0.45"/>
    <n v="0.34499999999999997"/>
    <n v="0.12"/>
    <n v="0.41649999999999998"/>
    <n v="0.16550000000000001"/>
    <n v="9.5000000000000001E-2"/>
    <n v="0.13500000000000001"/>
    <n v="9"/>
    <n v="13"/>
    <s v="Betty"/>
    <s v="Berg"/>
    <s v="University of Houston"/>
    <n v="2"/>
    <s v="Florida Gulf Coast"/>
    <n v="18"/>
    <s v="Category 2"/>
    <x v="0"/>
    <x v="1"/>
    <x v="1"/>
  </r>
  <r>
    <n v="862"/>
    <s v="F"/>
    <n v="0.59499999999999997"/>
    <n v="0.46500000000000002"/>
    <n v="0.14000000000000001"/>
    <n v="1.113"/>
    <n v="0.51749999999999996"/>
    <n v="0.24399999999999999"/>
    <n v="0.30499999999999999"/>
    <n v="12"/>
    <n v="1"/>
    <s v="Jan"/>
    <s v="Odom"/>
    <s v="University of Houston"/>
    <n v="1"/>
    <s v="Florida Atlantic Coast"/>
    <n v="22.1"/>
    <s v="Category 3"/>
    <x v="0"/>
    <x v="0"/>
    <x v="0"/>
  </r>
  <r>
    <n v="261"/>
    <s v="F"/>
    <n v="0.54"/>
    <n v="0.47499999999999998"/>
    <n v="0.155"/>
    <n v="0.92800000000000005"/>
    <n v="0.39400000000000002"/>
    <n v="0.19400000000000001"/>
    <n v="0.26"/>
    <n v="11"/>
    <n v="10"/>
    <s v="Hazel"/>
    <s v="Villa"/>
    <s v="University of Minnesota"/>
    <n v="10"/>
    <s v="Pacific"/>
    <n v="24.1"/>
    <s v="Category 2"/>
    <x v="0"/>
    <x v="1"/>
    <x v="1"/>
  </r>
  <r>
    <n v="2467"/>
    <s v="M"/>
    <n v="0.42499999999999999"/>
    <n v="0.32500000000000001"/>
    <n v="0.12"/>
    <n v="0.3755"/>
    <n v="0.14199999999999999"/>
    <n v="0.1065"/>
    <n v="0.105"/>
    <n v="9"/>
    <n v="14"/>
    <s v="Santiago"/>
    <s v="Vaughan"/>
    <s v="Ohio State University_x0009_"/>
    <n v="8"/>
    <s v="West Coast"/>
    <n v="12.3"/>
    <s v="Category 2"/>
    <x v="0"/>
    <x v="1"/>
    <x v="1"/>
  </r>
  <r>
    <n v="3723"/>
    <s v="I"/>
    <n v="0.46500000000000002"/>
    <n v="0.36"/>
    <n v="0.105"/>
    <n v="0.45200000000000001"/>
    <n v="0.22"/>
    <n v="0.159"/>
    <n v="0.10349999999999999"/>
    <n v="9"/>
    <n v="4"/>
    <s v="Nate"/>
    <s v="Craig"/>
    <s v="NOAA Fisheries"/>
    <n v="2"/>
    <s v="Florida Gulf Coast"/>
    <n v="18"/>
    <s v="Category 2"/>
    <x v="0"/>
    <x v="1"/>
    <x v="1"/>
  </r>
  <r>
    <n v="3648"/>
    <s v="I"/>
    <n v="0.48499999999999999"/>
    <n v="0.36499999999999999"/>
    <n v="0.125"/>
    <n v="0.42599999999999999"/>
    <n v="0.16300000000000001"/>
    <n v="9.6500000000000002E-2"/>
    <n v="0.151"/>
    <n v="8"/>
    <n v="13"/>
    <s v="Betty"/>
    <s v="Berg"/>
    <s v="University of Houston"/>
    <n v="2"/>
    <s v="Florida Gulf Coast"/>
    <n v="18"/>
    <s v="Category 2"/>
    <x v="0"/>
    <x v="1"/>
    <x v="1"/>
  </r>
  <r>
    <n v="3118"/>
    <s v="F"/>
    <n v="0.47"/>
    <n v="0.36"/>
    <n v="0.1"/>
    <n v="0.47049999999999997"/>
    <n v="0.16350000000000001"/>
    <n v="8.8999999999999996E-2"/>
    <n v="0.13850000000000001"/>
    <n v="8"/>
    <n v="13"/>
    <s v="Betty"/>
    <s v="Berg"/>
    <s v="University of Houston"/>
    <n v="5"/>
    <s v="Southeast"/>
    <n v="12.8"/>
    <s v="Category 2"/>
    <x v="0"/>
    <x v="1"/>
    <x v="1"/>
  </r>
  <r>
    <n v="1305"/>
    <s v="M"/>
    <n v="0.53500000000000003"/>
    <n v="0.435"/>
    <n v="0.15"/>
    <n v="0.71699999999999997"/>
    <n v="0.34749999999999998"/>
    <n v="0.14449999999999999"/>
    <n v="0.19400000000000001"/>
    <n v="9"/>
    <n v="12"/>
    <s v="Rebecca"/>
    <s v="Bennett"/>
    <s v="University of Houston"/>
    <n v="9"/>
    <s v="North Pacific"/>
    <n v="1.9"/>
    <s v="Category 2"/>
    <x v="0"/>
    <x v="1"/>
    <x v="1"/>
  </r>
  <r>
    <n v="968"/>
    <s v="I"/>
    <n v="0.51"/>
    <n v="0.40500000000000003"/>
    <n v="0.13500000000000001"/>
    <n v="0.76900000000000002"/>
    <n v="0.36549999999999999"/>
    <n v="0.1585"/>
    <n v="0.18"/>
    <n v="7"/>
    <n v="15"/>
    <s v="Conan"/>
    <s v="Dalton"/>
    <s v="University of Houston"/>
    <n v="7"/>
    <s v="Great Lakes"/>
    <n v="2.5"/>
    <s v="Category 2"/>
    <x v="0"/>
    <x v="1"/>
    <x v="1"/>
  </r>
  <r>
    <n v="3986"/>
    <s v="M"/>
    <n v="0.63"/>
    <n v="0.48"/>
    <n v="0.185"/>
    <n v="1.21"/>
    <n v="0.53"/>
    <n v="0.2555"/>
    <n v="0.32200000000000001"/>
    <n v="11"/>
    <n v="5"/>
    <s v="Haniya"/>
    <s v="Talley"/>
    <s v="Prince William Sound Science Center"/>
    <n v="8"/>
    <s v="West Coast"/>
    <n v="12.3"/>
    <s v="Category 3"/>
    <x v="0"/>
    <x v="0"/>
    <x v="0"/>
  </r>
  <r>
    <n v="3729"/>
    <s v="I"/>
    <n v="0.51"/>
    <n v="0.375"/>
    <n v="0.15"/>
    <n v="0.84150000000000003"/>
    <n v="0.38450000000000001"/>
    <n v="0.156"/>
    <n v="0.255"/>
    <n v="10"/>
    <n v="4"/>
    <s v="Nate"/>
    <s v="Craig"/>
    <s v="NOAA Fisheries"/>
    <n v="10"/>
    <s v="Pacific"/>
    <n v="24.1"/>
    <s v="Category 2"/>
    <x v="0"/>
    <x v="1"/>
    <x v="1"/>
  </r>
  <r>
    <n v="3075"/>
    <s v="M"/>
    <n v="0.67500000000000004"/>
    <n v="0.52"/>
    <n v="0.14499999999999999"/>
    <n v="1.3645"/>
    <n v="0.55700000000000005"/>
    <n v="0.34050000000000002"/>
    <n v="0.38500000000000001"/>
    <n v="11"/>
    <n v="7"/>
    <s v="Iona"/>
    <s v="Connolly"/>
    <s v="Florida Atlantic University"/>
    <n v="5"/>
    <s v="Southeast"/>
    <n v="12.8"/>
    <s v="Category 3"/>
    <x v="0"/>
    <x v="0"/>
    <x v="0"/>
  </r>
  <r>
    <n v="1144"/>
    <s v="M"/>
    <n v="0.57499999999999996"/>
    <n v="0.44500000000000001"/>
    <n v="0.14499999999999999"/>
    <n v="0.84699999999999998"/>
    <n v="0.41499999999999998"/>
    <n v="0.19450000000000001"/>
    <n v="0.22"/>
    <n v="9"/>
    <n v="8"/>
    <s v="Kali"/>
    <s v="Metcalfe"/>
    <s v="Mote Marine Laboratory"/>
    <n v="5"/>
    <s v="Southeast"/>
    <n v="12.8"/>
    <s v="Category 3"/>
    <x v="0"/>
    <x v="0"/>
    <x v="0"/>
  </r>
  <r>
    <n v="2032"/>
    <s v="F"/>
    <n v="0.6"/>
    <n v="0.45"/>
    <n v="0.14000000000000001"/>
    <n v="0.83699999999999997"/>
    <n v="0.37"/>
    <n v="0.17699999999999999"/>
    <n v="0.24249999999999999"/>
    <n v="10"/>
    <n v="12"/>
    <s v="Rebecca"/>
    <s v="Bennett"/>
    <s v="University of Houston"/>
    <n v="1"/>
    <s v="Florida Atlantic Coast"/>
    <n v="22.1"/>
    <s v="Category 2"/>
    <x v="0"/>
    <x v="1"/>
    <x v="1"/>
  </r>
  <r>
    <n v="3303"/>
    <s v="F"/>
    <n v="0.71"/>
    <n v="0.57499999999999996"/>
    <n v="0.17499999999999999"/>
    <n v="1.5549999999999999"/>
    <n v="0.64649999999999996"/>
    <n v="0.3705"/>
    <n v="0.52"/>
    <n v="15"/>
    <n v="2"/>
    <s v="Tiegan"/>
    <s v="Davie"/>
    <s v="University of California, Davis"/>
    <n v="4"/>
    <s v="Mid-Atlantic"/>
    <n v="6.1"/>
    <s v="Category 3"/>
    <x v="0"/>
    <x v="0"/>
    <x v="0"/>
  </r>
  <r>
    <n v="4152"/>
    <s v="I"/>
    <n v="0.35"/>
    <n v="0.25"/>
    <n v="7.4999999999999997E-2"/>
    <n v="0.16950000000000001"/>
    <n v="8.3500000000000005E-2"/>
    <n v="3.5499999999999997E-2"/>
    <n v="4.1000000000000002E-2"/>
    <n v="6"/>
    <n v="1"/>
    <s v="Jan"/>
    <s v="Odom"/>
    <s v="University of Houston"/>
    <n v="7"/>
    <s v="Great Lakes"/>
    <n v="2.5"/>
    <s v="Category 2"/>
    <x v="0"/>
    <x v="1"/>
    <x v="1"/>
  </r>
  <r>
    <n v="3171"/>
    <s v="F"/>
    <n v="0.56999999999999995"/>
    <n v="0.46500000000000002"/>
    <n v="0.155"/>
    <n v="0.872"/>
    <n v="0.32450000000000001"/>
    <n v="0.23899999999999999"/>
    <n v="0.28499999999999998"/>
    <n v="14"/>
    <n v="7"/>
    <s v="Iona"/>
    <s v="Connolly"/>
    <s v="Florida Atlantic University"/>
    <n v="6"/>
    <s v="Gulf of Mexico_x0009_"/>
    <n v="14.1"/>
    <s v="Category 2"/>
    <x v="0"/>
    <x v="1"/>
    <x v="1"/>
  </r>
  <r>
    <n v="1308"/>
    <s v="I"/>
    <n v="0.54500000000000004"/>
    <n v="0.435"/>
    <n v="0.13500000000000001"/>
    <n v="0.77149999999999996"/>
    <n v="0.372"/>
    <n v="0.14799999999999999"/>
    <n v="0.22700000000000001"/>
    <n v="8"/>
    <n v="12"/>
    <s v="Rebecca"/>
    <s v="Bennett"/>
    <s v="University of Houston"/>
    <n v="5"/>
    <s v="Southeast"/>
    <n v="12.8"/>
    <s v="Category 2"/>
    <x v="0"/>
    <x v="1"/>
    <x v="1"/>
  </r>
  <r>
    <n v="1377"/>
    <s v="M"/>
    <n v="0.62"/>
    <n v="0.51"/>
    <n v="0.17499999999999999"/>
    <n v="1.2815000000000001"/>
    <n v="0.57150000000000001"/>
    <n v="0.23849999999999999"/>
    <n v="0.39"/>
    <n v="10"/>
    <n v="9"/>
    <s v="Danica"/>
    <s v="Tyler"/>
    <s v="University of Florida_x0009_"/>
    <n v="9"/>
    <s v="North Pacific"/>
    <n v="1.9"/>
    <s v="Category 3"/>
    <x v="0"/>
    <x v="0"/>
    <x v="0"/>
  </r>
  <r>
    <n v="510"/>
    <s v="I"/>
    <n v="0.56000000000000005"/>
    <n v="0.44500000000000001"/>
    <n v="0.155"/>
    <n v="0.87350000000000005"/>
    <n v="0.30049999999999999"/>
    <n v="0.20899999999999999"/>
    <n v="0.27500000000000002"/>
    <n v="16"/>
    <n v="6"/>
    <s v="Martin"/>
    <s v="Gaines"/>
    <s v="San Diego State University"/>
    <n v="3"/>
    <s v="Northeast"/>
    <n v="3.6"/>
    <s v="Category 1"/>
    <x v="1"/>
    <x v="0"/>
    <x v="1"/>
  </r>
  <r>
    <n v="2647"/>
    <s v="I"/>
    <n v="0.495"/>
    <n v="0.38"/>
    <n v="0.12"/>
    <n v="0.51200000000000001"/>
    <n v="0.23300000000000001"/>
    <n v="0.1205"/>
    <n v="0.13600000000000001"/>
    <n v="7"/>
    <n v="14"/>
    <s v="Santiago"/>
    <s v="Vaughan"/>
    <s v="Ohio State University_x0009_"/>
    <n v="8"/>
    <s v="West Coast"/>
    <n v="12.3"/>
    <s v="Category 2"/>
    <x v="0"/>
    <x v="1"/>
    <x v="1"/>
  </r>
  <r>
    <n v="3472"/>
    <s v="F"/>
    <n v="0.72499999999999998"/>
    <n v="0.57999999999999996"/>
    <n v="0.185"/>
    <n v="1.5229999999999999"/>
    <n v="0.80449999999999999"/>
    <n v="0.35949999999999999"/>
    <n v="0.4375"/>
    <n v="9"/>
    <n v="14"/>
    <s v="Santiago"/>
    <s v="Vaughan"/>
    <s v="Ohio State University_x0009_"/>
    <n v="5"/>
    <s v="Southeast"/>
    <n v="12.8"/>
    <s v="Category 3"/>
    <x v="0"/>
    <x v="0"/>
    <x v="0"/>
  </r>
  <r>
    <n v="1611"/>
    <s v="I"/>
    <n v="0.54500000000000004"/>
    <n v="0.42"/>
    <n v="0.125"/>
    <n v="0.71699999999999997"/>
    <n v="0.35799999999999998"/>
    <n v="0.112"/>
    <n v="0.22"/>
    <n v="8"/>
    <n v="4"/>
    <s v="Nate"/>
    <s v="Craig"/>
    <s v="NOAA Fisheries"/>
    <n v="10"/>
    <s v="Pacific"/>
    <n v="24.1"/>
    <s v="Category 2"/>
    <x v="0"/>
    <x v="1"/>
    <x v="1"/>
  </r>
  <r>
    <n v="1398"/>
    <s v="M"/>
    <n v="0.64500000000000002"/>
    <n v="0.5"/>
    <n v="0.19500000000000001"/>
    <n v="1.401"/>
    <n v="0.61650000000000005"/>
    <n v="0.35149999999999998"/>
    <n v="0.3725"/>
    <n v="10"/>
    <n v="3"/>
    <s v="Inaya"/>
    <s v="Bernard"/>
    <s v="Stanford University"/>
    <n v="1"/>
    <s v="Florida Atlantic Coast"/>
    <n v="22.1"/>
    <s v="Category 3"/>
    <x v="0"/>
    <x v="0"/>
    <x v="0"/>
  </r>
  <r>
    <n v="2668"/>
    <s v="F"/>
    <n v="0.58499999999999996"/>
    <n v="0.45"/>
    <n v="0.15"/>
    <n v="0.93799999999999994"/>
    <n v="0.46700000000000003"/>
    <n v="0.20300000000000001"/>
    <n v="0.22500000000000001"/>
    <n v="7"/>
    <n v="5"/>
    <s v="Haniya"/>
    <s v="Talley"/>
    <s v="Prince William Sound Science Center"/>
    <n v="9"/>
    <s v="North Pacific"/>
    <n v="1.9"/>
    <s v="Category 3"/>
    <x v="0"/>
    <x v="0"/>
    <x v="0"/>
  </r>
  <r>
    <n v="3055"/>
    <s v="M"/>
    <n v="0.6"/>
    <n v="0.45"/>
    <n v="0.15"/>
    <n v="0.86650000000000005"/>
    <n v="0.3695"/>
    <n v="0.19550000000000001"/>
    <n v="0.255"/>
    <n v="12"/>
    <n v="6"/>
    <s v="Martin"/>
    <s v="Gaines"/>
    <s v="San Diego State University"/>
    <n v="4"/>
    <s v="Mid-Atlantic"/>
    <n v="6.1"/>
    <s v="Category 2"/>
    <x v="0"/>
    <x v="1"/>
    <x v="1"/>
  </r>
  <r>
    <n v="1225"/>
    <s v="I"/>
    <n v="0.34499999999999997"/>
    <n v="0.255"/>
    <n v="9.5000000000000001E-2"/>
    <n v="0.19450000000000001"/>
    <n v="9.2499999999999999E-2"/>
    <n v="3.6999999999999998E-2"/>
    <n v="5.5E-2"/>
    <n v="6"/>
    <n v="7"/>
    <s v="Iona"/>
    <s v="Connolly"/>
    <s v="Florida Atlantic University"/>
    <n v="10"/>
    <s v="Pacific"/>
    <n v="24.1"/>
    <s v="Category 2"/>
    <x v="0"/>
    <x v="1"/>
    <x v="1"/>
  </r>
  <r>
    <n v="766"/>
    <s v="M"/>
    <n v="0.54500000000000004"/>
    <n v="0.45"/>
    <n v="0.15"/>
    <n v="0.97799999999999998"/>
    <n v="0.33650000000000002"/>
    <n v="0.1905"/>
    <n v="0.3"/>
    <n v="11"/>
    <n v="13"/>
    <s v="Betty"/>
    <s v="Berg"/>
    <s v="University of Houston"/>
    <n v="7"/>
    <s v="Great Lakes"/>
    <n v="2.5"/>
    <s v="Category 2"/>
    <x v="0"/>
    <x v="1"/>
    <x v="1"/>
  </r>
  <r>
    <n v="1159"/>
    <s v="M"/>
    <n v="0.60499999999999998"/>
    <n v="0.47499999999999998"/>
    <n v="0.14000000000000001"/>
    <n v="1.1174999999999999"/>
    <n v="0.55500000000000005"/>
    <n v="0.25700000000000001"/>
    <n v="0.27400000000000002"/>
    <n v="9"/>
    <n v="7"/>
    <s v="Iona"/>
    <s v="Connolly"/>
    <s v="Florida Atlantic University"/>
    <n v="5"/>
    <s v="Southeast"/>
    <n v="12.8"/>
    <s v="Category 3"/>
    <x v="0"/>
    <x v="0"/>
    <x v="0"/>
  </r>
  <r>
    <n v="2359"/>
    <s v="F"/>
    <n v="0.61"/>
    <n v="0.48499999999999999"/>
    <n v="0.21"/>
    <n v="1.3445"/>
    <n v="0.53500000000000003"/>
    <n v="0.2205"/>
    <n v="0.51500000000000001"/>
    <n v="20"/>
    <n v="8"/>
    <s v="Kali"/>
    <s v="Metcalfe"/>
    <s v="Mote Marine Laboratory"/>
    <n v="1"/>
    <s v="Florida Atlantic Coast"/>
    <n v="22.1"/>
    <s v="Category 2"/>
    <x v="0"/>
    <x v="1"/>
    <x v="1"/>
  </r>
  <r>
    <n v="1065"/>
    <s v="I"/>
    <n v="0.3"/>
    <n v="0.22"/>
    <n v="0.08"/>
    <n v="0.1255"/>
    <n v="5.5E-2"/>
    <n v="2.6499999999999999E-2"/>
    <n v="3.9E-2"/>
    <n v="6"/>
    <n v="12"/>
    <s v="Rebecca"/>
    <s v="Bennett"/>
    <s v="University of Houston"/>
    <n v="3"/>
    <s v="Northeast"/>
    <n v="3.6"/>
    <s v="Category 2"/>
    <x v="0"/>
    <x v="1"/>
    <x v="1"/>
  </r>
  <r>
    <n v="406"/>
    <s v="F"/>
    <n v="0.52500000000000002"/>
    <n v="0.44"/>
    <n v="0.15"/>
    <n v="0.84250000000000003"/>
    <n v="0.36849999999999999"/>
    <n v="0.19850000000000001"/>
    <n v="0.24"/>
    <n v="12"/>
    <n v="12"/>
    <s v="Rebecca"/>
    <s v="Bennett"/>
    <s v="University of Houston"/>
    <n v="2"/>
    <s v="Florida Gulf Coast"/>
    <n v="18"/>
    <s v="Category 2"/>
    <x v="0"/>
    <x v="1"/>
    <x v="1"/>
  </r>
  <r>
    <n v="717"/>
    <s v="I"/>
    <n v="0.28999999999999998"/>
    <n v="0.20499999999999999"/>
    <n v="7.0000000000000007E-2"/>
    <n v="9.7500000000000003E-2"/>
    <n v="3.5999999999999997E-2"/>
    <n v="1.9E-2"/>
    <n v="3.5000000000000003E-2"/>
    <n v="8"/>
    <n v="6"/>
    <s v="Martin"/>
    <s v="Gaines"/>
    <s v="San Diego State University"/>
    <n v="6"/>
    <s v="Gulf of Mexico_x0009_"/>
    <n v="14.1"/>
    <s v="Category 2"/>
    <x v="0"/>
    <x v="1"/>
    <x v="1"/>
  </r>
  <r>
    <n v="3263"/>
    <s v="F"/>
    <n v="0.59499999999999997"/>
    <n v="0.48499999999999999"/>
    <n v="0.14499999999999999"/>
    <n v="1.2515000000000001"/>
    <n v="0.50349999999999995"/>
    <n v="0.29249999999999998"/>
    <n v="0.33"/>
    <n v="14"/>
    <n v="10"/>
    <s v="Hazel"/>
    <s v="Villa"/>
    <s v="University of Minnesota"/>
    <n v="8"/>
    <s v="West Coast"/>
    <n v="12.3"/>
    <s v="Category 3"/>
    <x v="0"/>
    <x v="0"/>
    <x v="0"/>
  </r>
  <r>
    <n v="1098"/>
    <s v="I"/>
    <n v="0.48"/>
    <n v="0.38"/>
    <n v="0.125"/>
    <n v="0.62450000000000006"/>
    <n v="0.33950000000000002"/>
    <n v="0.1085"/>
    <n v="0.16650000000000001"/>
    <n v="8"/>
    <n v="5"/>
    <s v="Haniya"/>
    <s v="Talley"/>
    <s v="Prince William Sound Science Center"/>
    <n v="4"/>
    <s v="Mid-Atlantic"/>
    <n v="6.1"/>
    <s v="Category 2"/>
    <x v="0"/>
    <x v="1"/>
    <x v="1"/>
  </r>
  <r>
    <n v="4055"/>
    <s v="F"/>
    <n v="0.63500000000000001"/>
    <n v="0.5"/>
    <n v="0.18"/>
    <n v="1.2565"/>
    <n v="0.53900000000000003"/>
    <n v="0.29199999999999998"/>
    <n v="0.35"/>
    <n v="10"/>
    <n v="4"/>
    <s v="Nate"/>
    <s v="Craig"/>
    <s v="NOAA Fisheries"/>
    <n v="2"/>
    <s v="Florida Gulf Coast"/>
    <n v="18"/>
    <s v="Category 3"/>
    <x v="0"/>
    <x v="0"/>
    <x v="0"/>
  </r>
  <r>
    <n v="4129"/>
    <s v="M"/>
    <n v="0.55500000000000005"/>
    <n v="0.435"/>
    <n v="0.14499999999999999"/>
    <n v="0.92049999999999998"/>
    <n v="0.40400000000000003"/>
    <n v="0.22750000000000001"/>
    <n v="0.255"/>
    <n v="8"/>
    <n v="10"/>
    <s v="Hazel"/>
    <s v="Villa"/>
    <s v="University of Minnesota"/>
    <n v="4"/>
    <s v="Mid-Atlantic"/>
    <n v="6.1"/>
    <s v="Category 3"/>
    <x v="0"/>
    <x v="0"/>
    <x v="0"/>
  </r>
  <r>
    <n v="2143"/>
    <s v="I"/>
    <n v="0.46"/>
    <n v="0.35"/>
    <n v="0.11"/>
    <n v="0.39450000000000002"/>
    <n v="0.16850000000000001"/>
    <n v="8.6499999999999994E-2"/>
    <n v="0.125"/>
    <n v="9"/>
    <n v="2"/>
    <s v="Tiegan"/>
    <s v="Davie"/>
    <s v="University of California, Davis"/>
    <n v="6"/>
    <s v="Gulf of Mexico_x0009_"/>
    <n v="14.1"/>
    <s v="Category 2"/>
    <x v="0"/>
    <x v="1"/>
    <x v="1"/>
  </r>
  <r>
    <n v="1310"/>
    <s v="I"/>
    <n v="0.54500000000000004"/>
    <n v="0.43"/>
    <n v="0.15"/>
    <n v="0.72850000000000004"/>
    <n v="0.30199999999999999"/>
    <n v="0.13150000000000001"/>
    <n v="0.2545"/>
    <n v="10"/>
    <n v="8"/>
    <s v="Kali"/>
    <s v="Metcalfe"/>
    <s v="Mote Marine Laboratory"/>
    <n v="4"/>
    <s v="Mid-Atlantic"/>
    <n v="6.1"/>
    <s v="Category 2"/>
    <x v="0"/>
    <x v="1"/>
    <x v="1"/>
  </r>
  <r>
    <n v="1429"/>
    <s v="F"/>
    <n v="0.81499999999999995"/>
    <n v="0.65"/>
    <n v="0.25"/>
    <n v="2.2549999999999999"/>
    <n v="0.89049999999999996"/>
    <n v="0.42"/>
    <n v="0.79749999999999999"/>
    <n v="14"/>
    <n v="12"/>
    <s v="Rebecca"/>
    <s v="Bennett"/>
    <s v="University of Houston"/>
    <n v="4"/>
    <s v="Mid-Atlantic"/>
    <n v="6.1"/>
    <s v="Category 3"/>
    <x v="0"/>
    <x v="0"/>
    <x v="0"/>
  </r>
  <r>
    <n v="442"/>
    <s v="I"/>
    <n v="0.33500000000000002"/>
    <n v="0.26"/>
    <n v="0.1"/>
    <n v="0.192"/>
    <n v="7.85E-2"/>
    <n v="5.8500000000000003E-2"/>
    <n v="7.0000000000000007E-2"/>
    <n v="8"/>
    <n v="15"/>
    <s v="Conan"/>
    <s v="Dalton"/>
    <s v="University of Houston"/>
    <n v="9"/>
    <s v="North Pacific"/>
    <n v="1.9"/>
    <s v="Category 2"/>
    <x v="0"/>
    <x v="1"/>
    <x v="1"/>
  </r>
  <r>
    <n v="72"/>
    <s v="F"/>
    <n v="0.4"/>
    <n v="0.32"/>
    <n v="0.11"/>
    <n v="0.35299999999999998"/>
    <n v="0.14050000000000001"/>
    <n v="9.8500000000000004E-2"/>
    <n v="0.1"/>
    <n v="8"/>
    <n v="9"/>
    <s v="Danica"/>
    <s v="Tyler"/>
    <s v="University of Florida_x0009_"/>
    <n v="1"/>
    <s v="Florida Atlantic Coast"/>
    <n v="22.1"/>
    <s v="Category 2"/>
    <x v="0"/>
    <x v="1"/>
    <x v="1"/>
  </r>
  <r>
    <n v="1538"/>
    <s v="I"/>
    <n v="0.35"/>
    <n v="0.26"/>
    <n v="7.4999999999999997E-2"/>
    <n v="0.18"/>
    <n v="0.09"/>
    <n v="2.4500000000000001E-2"/>
    <n v="5.5E-2"/>
    <n v="5"/>
    <n v="8"/>
    <s v="Kali"/>
    <s v="Metcalfe"/>
    <s v="Mote Marine Laboratory"/>
    <n v="10"/>
    <s v="Pacific"/>
    <n v="24.1"/>
    <s v="Category 2"/>
    <x v="0"/>
    <x v="1"/>
    <x v="1"/>
  </r>
  <r>
    <n v="4172"/>
    <s v="M"/>
    <n v="0.56000000000000005"/>
    <n v="0.43"/>
    <n v="0.155"/>
    <n v="0.86750000000000005"/>
    <n v="0.4"/>
    <n v="0.17199999999999999"/>
    <n v="0.22900000000000001"/>
    <n v="8"/>
    <n v="9"/>
    <s v="Danica"/>
    <s v="Tyler"/>
    <s v="University of Florida_x0009_"/>
    <n v="6"/>
    <s v="Gulf of Mexico_x0009_"/>
    <n v="14.1"/>
    <s v="Category 3"/>
    <x v="0"/>
    <x v="0"/>
    <x v="0"/>
  </r>
  <r>
    <n v="987"/>
    <s v="F"/>
    <n v="0.56999999999999995"/>
    <n v="0.45500000000000002"/>
    <n v="0.15"/>
    <n v="1.107"/>
    <n v="0.54"/>
    <n v="0.255"/>
    <n v="0.27"/>
    <n v="8"/>
    <n v="13"/>
    <s v="Betty"/>
    <s v="Berg"/>
    <s v="University of Houston"/>
    <n v="6"/>
    <s v="Gulf of Mexico_x0009_"/>
    <n v="14.1"/>
    <s v="Category 3"/>
    <x v="0"/>
    <x v="0"/>
    <x v="0"/>
  </r>
  <r>
    <n v="163"/>
    <s v="M"/>
    <n v="0.61"/>
    <n v="0.48499999999999999"/>
    <n v="0.17499999999999999"/>
    <n v="1.2444999999999999"/>
    <n v="0.54400000000000004"/>
    <n v="0.29699999999999999"/>
    <n v="0.34499999999999997"/>
    <n v="12"/>
    <n v="7"/>
    <s v="Iona"/>
    <s v="Connolly"/>
    <s v="Florida Atlantic University"/>
    <n v="10"/>
    <s v="Pacific"/>
    <n v="24.1"/>
    <s v="Category 3"/>
    <x v="0"/>
    <x v="0"/>
    <x v="0"/>
  </r>
  <r>
    <n v="371"/>
    <s v="F"/>
    <n v="0.65"/>
    <n v="0.54500000000000004"/>
    <n v="0.16500000000000001"/>
    <n v="1.5660000000000001"/>
    <n v="0.66449999999999998"/>
    <n v="0.34549999999999997"/>
    <n v="0.41499999999999998"/>
    <n v="16"/>
    <n v="9"/>
    <s v="Danica"/>
    <s v="Tyler"/>
    <s v="University of Florida_x0009_"/>
    <n v="2"/>
    <s v="Florida Gulf Coast"/>
    <n v="18"/>
    <s v="Category 3"/>
    <x v="0"/>
    <x v="0"/>
    <x v="0"/>
  </r>
  <r>
    <n v="3997"/>
    <s v="I"/>
    <n v="0.315"/>
    <n v="0.23"/>
    <n v="0"/>
    <n v="0.13400000000000001"/>
    <n v="5.7500000000000002E-2"/>
    <n v="2.8500000000000001E-2"/>
    <n v="0.35049999999999998"/>
    <n v="6"/>
    <n v="9"/>
    <s v="Danica"/>
    <s v="Tyler"/>
    <s v="University of Florida_x0009_"/>
    <n v="5"/>
    <s v="Southeast"/>
    <n v="12.8"/>
    <s v="Category 2"/>
    <x v="0"/>
    <x v="1"/>
    <x v="1"/>
  </r>
  <r>
    <n v="1133"/>
    <s v="F"/>
    <n v="0.56499999999999995"/>
    <n v="0.45"/>
    <n v="0.17499999999999999"/>
    <n v="1.0095000000000001"/>
    <n v="0.44700000000000001"/>
    <n v="0.23749999999999999"/>
    <n v="0.26450000000000001"/>
    <n v="9"/>
    <n v="6"/>
    <s v="Martin"/>
    <s v="Gaines"/>
    <s v="San Diego State University"/>
    <n v="4"/>
    <s v="Mid-Atlantic"/>
    <n v="6.1"/>
    <s v="Category 3"/>
    <x v="0"/>
    <x v="0"/>
    <x v="0"/>
  </r>
  <r>
    <n v="1450"/>
    <s v="M"/>
    <n v="0.45"/>
    <n v="0.33500000000000002"/>
    <n v="0.125"/>
    <n v="0.44750000000000001"/>
    <n v="0.2165"/>
    <n v="0.126"/>
    <n v="0.11"/>
    <n v="6"/>
    <n v="9"/>
    <s v="Danica"/>
    <s v="Tyler"/>
    <s v="University of Florida_x0009_"/>
    <n v="8"/>
    <s v="West Coast"/>
    <n v="12.3"/>
    <s v="Category 2"/>
    <x v="0"/>
    <x v="1"/>
    <x v="1"/>
  </r>
  <r>
    <n v="354"/>
    <s v="M"/>
    <n v="0.57999999999999996"/>
    <n v="0.45500000000000002"/>
    <n v="0.17"/>
    <n v="0.93"/>
    <n v="0.40799999999999997"/>
    <n v="0.25900000000000001"/>
    <n v="0.22"/>
    <n v="9"/>
    <n v="2"/>
    <s v="Tiegan"/>
    <s v="Davie"/>
    <s v="University of California, Davis"/>
    <n v="1"/>
    <s v="Florida Atlantic Coast"/>
    <n v="22.1"/>
    <s v="Category 3"/>
    <x v="0"/>
    <x v="0"/>
    <x v="0"/>
  </r>
  <r>
    <n v="585"/>
    <s v="F"/>
    <n v="0.41"/>
    <n v="0.30499999999999999"/>
    <n v="0.1"/>
    <n v="0.36299999999999999"/>
    <n v="0.17349999999999999"/>
    <n v="6.5000000000000002E-2"/>
    <n v="0.11"/>
    <n v="11"/>
    <n v="12"/>
    <s v="Rebecca"/>
    <s v="Bennett"/>
    <s v="University of Houston"/>
    <n v="10"/>
    <s v="Pacific"/>
    <n v="24.1"/>
    <s v="Category 2"/>
    <x v="0"/>
    <x v="1"/>
    <x v="1"/>
  </r>
  <r>
    <n v="1981"/>
    <s v="F"/>
    <n v="0.70499999999999996"/>
    <n v="0.53500000000000003"/>
    <n v="0.22"/>
    <n v="1.8660000000000001"/>
    <n v="0.92900000000000005"/>
    <n v="0.38350000000000001"/>
    <n v="0.4395"/>
    <n v="10"/>
    <n v="3"/>
    <s v="Inaya"/>
    <s v="Bernard"/>
    <s v="Stanford University"/>
    <n v="1"/>
    <s v="Florida Atlantic Coast"/>
    <n v="22.1"/>
    <s v="Category 3"/>
    <x v="0"/>
    <x v="0"/>
    <x v="0"/>
  </r>
  <r>
    <n v="1448"/>
    <s v="M"/>
    <n v="0.44"/>
    <n v="0.32"/>
    <n v="0.12"/>
    <n v="0.45650000000000002"/>
    <n v="0.24349999999999999"/>
    <n v="9.1999999999999998E-2"/>
    <n v="0.10249999999999999"/>
    <n v="8"/>
    <n v="6"/>
    <s v="Martin"/>
    <s v="Gaines"/>
    <s v="San Diego State University"/>
    <n v="8"/>
    <s v="West Coast"/>
    <n v="12.3"/>
    <s v="Category 2"/>
    <x v="0"/>
    <x v="1"/>
    <x v="1"/>
  </r>
  <r>
    <n v="2800"/>
    <s v="M"/>
    <n v="0.64"/>
    <n v="0.495"/>
    <n v="0.17"/>
    <n v="1.139"/>
    <n v="0.53949999999999998"/>
    <n v="0.28199999999999997"/>
    <n v="0.28499999999999998"/>
    <n v="10"/>
    <n v="5"/>
    <s v="Haniya"/>
    <s v="Talley"/>
    <s v="Prince William Sound Science Center"/>
    <n v="8"/>
    <s v="West Coast"/>
    <n v="12.3"/>
    <s v="Category 3"/>
    <x v="0"/>
    <x v="0"/>
    <x v="0"/>
  </r>
  <r>
    <n v="2474"/>
    <s v="F"/>
    <n v="0.61499999999999999"/>
    <n v="0.47"/>
    <n v="0.17499999999999999"/>
    <n v="1.2985"/>
    <n v="0.51349999999999996"/>
    <n v="0.34300000000000003"/>
    <n v="0.32"/>
    <n v="14"/>
    <n v="9"/>
    <s v="Danica"/>
    <s v="Tyler"/>
    <s v="University of Florida_x0009_"/>
    <n v="3"/>
    <s v="Northeast"/>
    <n v="3.6"/>
    <s v="Category 3"/>
    <x v="0"/>
    <x v="0"/>
    <x v="0"/>
  </r>
  <r>
    <n v="468"/>
    <s v="M"/>
    <n v="0.65500000000000003"/>
    <n v="0.53"/>
    <n v="0.19500000000000001"/>
    <n v="1.3879999999999999"/>
    <n v="0.56699999999999995"/>
    <n v="0.27350000000000002"/>
    <n v="0.41"/>
    <n v="13"/>
    <n v="15"/>
    <s v="Conan"/>
    <s v="Dalton"/>
    <s v="University of Houston"/>
    <n v="9"/>
    <s v="North Pacific"/>
    <n v="1.9"/>
    <s v="Category 3"/>
    <x v="0"/>
    <x v="0"/>
    <x v="0"/>
  </r>
  <r>
    <n v="3005"/>
    <s v="F"/>
    <n v="0.67"/>
    <n v="0.51500000000000001"/>
    <n v="0.17"/>
    <n v="1.4265000000000001"/>
    <n v="0.66049999999999998"/>
    <n v="0.33950000000000002"/>
    <n v="0.37"/>
    <n v="11"/>
    <n v="3"/>
    <s v="Inaya"/>
    <s v="Bernard"/>
    <s v="Stanford University"/>
    <n v="1"/>
    <s v="Florida Atlantic Coast"/>
    <n v="22.1"/>
    <s v="Category 3"/>
    <x v="0"/>
    <x v="0"/>
    <x v="0"/>
  </r>
  <r>
    <n v="2145"/>
    <s v="M"/>
    <n v="0.45500000000000002"/>
    <n v="0.35"/>
    <n v="0.105"/>
    <n v="0.40100000000000002"/>
    <n v="0.1575"/>
    <n v="8.3000000000000004E-2"/>
    <n v="0.13500000000000001"/>
    <n v="9"/>
    <n v="13"/>
    <s v="Betty"/>
    <s v="Berg"/>
    <s v="University of Houston"/>
    <n v="6"/>
    <s v="Gulf of Mexico_x0009_"/>
    <n v="14.1"/>
    <s v="Category 2"/>
    <x v="0"/>
    <x v="1"/>
    <x v="1"/>
  </r>
  <r>
    <n v="40"/>
    <s v="M"/>
    <n v="0.35499999999999998"/>
    <n v="0.28999999999999998"/>
    <n v="0.09"/>
    <n v="0.32750000000000001"/>
    <n v="0.13400000000000001"/>
    <n v="8.5999999999999993E-2"/>
    <n v="0.09"/>
    <n v="9"/>
    <n v="8"/>
    <s v="Kali"/>
    <s v="Metcalfe"/>
    <s v="Mote Marine Laboratory"/>
    <n v="4"/>
    <s v="Mid-Atlantic"/>
    <n v="6.1"/>
    <s v="Category 2"/>
    <x v="0"/>
    <x v="1"/>
    <x v="1"/>
  </r>
  <r>
    <n v="332"/>
    <s v="F"/>
    <n v="0.4"/>
    <n v="0.32500000000000001"/>
    <n v="0.12"/>
    <n v="0.31850000000000001"/>
    <n v="0.13400000000000001"/>
    <n v="5.6500000000000002E-2"/>
    <n v="9.5000000000000001E-2"/>
    <n v="8"/>
    <n v="11"/>
    <s v="Naima"/>
    <s v="Reyes"/>
    <s v="University of Houston"/>
    <n v="3"/>
    <s v="Northeast"/>
    <n v="3.6"/>
    <s v="Category 2"/>
    <x v="0"/>
    <x v="1"/>
    <x v="1"/>
  </r>
  <r>
    <n v="1894"/>
    <s v="I"/>
    <n v="0.56499999999999995"/>
    <n v="0.46"/>
    <n v="0.155"/>
    <n v="0.87150000000000005"/>
    <n v="0.3755"/>
    <n v="0.215"/>
    <n v="0.25"/>
    <n v="10"/>
    <n v="5"/>
    <s v="Haniya"/>
    <s v="Talley"/>
    <s v="Prince William Sound Science Center"/>
    <n v="6"/>
    <s v="Gulf of Mexico_x0009_"/>
    <n v="14.1"/>
    <s v="Category 2"/>
    <x v="0"/>
    <x v="1"/>
    <x v="1"/>
  </r>
  <r>
    <n v="2017"/>
    <s v="M"/>
    <n v="0.505"/>
    <n v="0.39"/>
    <n v="0.12"/>
    <n v="0.65300000000000002"/>
    <n v="0.33150000000000002"/>
    <n v="0.13850000000000001"/>
    <n v="0.16700000000000001"/>
    <n v="9"/>
    <n v="11"/>
    <s v="Naima"/>
    <s v="Reyes"/>
    <s v="University of Houston"/>
    <n v="3"/>
    <s v="Northeast"/>
    <n v="3.6"/>
    <s v="Category 2"/>
    <x v="0"/>
    <x v="1"/>
    <x v="1"/>
  </r>
  <r>
    <n v="844"/>
    <s v="M"/>
    <n v="0.505"/>
    <n v="0.44"/>
    <n v="0.14000000000000001"/>
    <n v="0.82750000000000001"/>
    <n v="0.34150000000000003"/>
    <n v="0.1855"/>
    <n v="0.23899999999999999"/>
    <n v="8"/>
    <n v="13"/>
    <s v="Betty"/>
    <s v="Berg"/>
    <s v="University of Houston"/>
    <n v="2"/>
    <s v="Florida Gulf Coast"/>
    <n v="18"/>
    <s v="Category 2"/>
    <x v="0"/>
    <x v="1"/>
    <x v="1"/>
  </r>
  <r>
    <n v="3264"/>
    <s v="M"/>
    <n v="0.56499999999999995"/>
    <n v="0.45"/>
    <n v="0.115"/>
    <n v="0.90849999999999997"/>
    <n v="0.39800000000000002"/>
    <n v="0.19700000000000001"/>
    <n v="0.28999999999999998"/>
    <n v="17"/>
    <n v="3"/>
    <s v="Inaya"/>
    <s v="Bernard"/>
    <s v="Stanford University"/>
    <n v="9"/>
    <s v="North Pacific"/>
    <n v="1.9"/>
    <s v="Category 2"/>
    <x v="0"/>
    <x v="1"/>
    <x v="1"/>
  </r>
  <r>
    <n v="235"/>
    <s v="I"/>
    <n v="0.44"/>
    <n v="0.35"/>
    <n v="0.13500000000000001"/>
    <n v="0.435"/>
    <n v="0.18149999999999999"/>
    <n v="8.3000000000000004E-2"/>
    <n v="0.125"/>
    <n v="12"/>
    <n v="5"/>
    <s v="Haniya"/>
    <s v="Talley"/>
    <s v="Prince William Sound Science Center"/>
    <n v="5"/>
    <s v="Southeast"/>
    <n v="12.8"/>
    <s v="Category 2"/>
    <x v="0"/>
    <x v="1"/>
    <x v="1"/>
  </r>
  <r>
    <n v="2634"/>
    <s v="I"/>
    <n v="0.42499999999999999"/>
    <n v="0.33"/>
    <n v="0.115"/>
    <n v="0.32650000000000001"/>
    <n v="0.13150000000000001"/>
    <n v="7.6999999999999999E-2"/>
    <n v="0.10299999999999999"/>
    <n v="6"/>
    <n v="8"/>
    <s v="Kali"/>
    <s v="Metcalfe"/>
    <s v="Mote Marine Laboratory"/>
    <n v="4"/>
    <s v="Mid-Atlantic"/>
    <n v="6.1"/>
    <s v="Category 2"/>
    <x v="0"/>
    <x v="1"/>
    <x v="1"/>
  </r>
  <r>
    <n v="2532"/>
    <s v="M"/>
    <n v="0.60499999999999998"/>
    <n v="0.47499999999999998"/>
    <n v="0.17499999999999999"/>
    <n v="1.2010000000000001"/>
    <n v="0.53949999999999998"/>
    <n v="0.27500000000000002"/>
    <n v="0.309"/>
    <n v="10"/>
    <n v="10"/>
    <s v="Hazel"/>
    <s v="Villa"/>
    <s v="University of Minnesota"/>
    <n v="10"/>
    <s v="Pacific"/>
    <n v="24.1"/>
    <s v="Category 3"/>
    <x v="0"/>
    <x v="0"/>
    <x v="0"/>
  </r>
  <r>
    <n v="2505"/>
    <s v="I"/>
    <n v="0.31"/>
    <n v="0.24"/>
    <n v="0.105"/>
    <n v="0.28849999999999998"/>
    <n v="0.11799999999999999"/>
    <n v="6.5000000000000002E-2"/>
    <n v="8.3000000000000004E-2"/>
    <n v="6"/>
    <n v="7"/>
    <s v="Iona"/>
    <s v="Connolly"/>
    <s v="Florida Atlantic University"/>
    <n v="9"/>
    <s v="North Pacific"/>
    <n v="1.9"/>
    <s v="Category 2"/>
    <x v="0"/>
    <x v="1"/>
    <x v="1"/>
  </r>
  <r>
    <n v="537"/>
    <s v="I"/>
    <n v="0.52"/>
    <n v="0.40500000000000003"/>
    <n v="0.14000000000000001"/>
    <n v="0.57750000000000001"/>
    <n v="0.2"/>
    <n v="0.14499999999999999"/>
    <n v="0.17899999999999999"/>
    <n v="11"/>
    <n v="5"/>
    <s v="Haniya"/>
    <s v="Talley"/>
    <s v="Prince William Sound Science Center"/>
    <n v="5"/>
    <s v="Southeast"/>
    <n v="12.8"/>
    <s v="Category 2"/>
    <x v="0"/>
    <x v="1"/>
    <x v="1"/>
  </r>
  <r>
    <n v="1458"/>
    <s v="F"/>
    <n v="0.47499999999999998"/>
    <n v="0.36499999999999999"/>
    <n v="0.115"/>
    <n v="0.56599999999999995"/>
    <n v="0.28100000000000003"/>
    <n v="0.11700000000000001"/>
    <n v="0.13350000000000001"/>
    <n v="7"/>
    <n v="1"/>
    <s v="Jan"/>
    <s v="Odom"/>
    <s v="University of Houston"/>
    <n v="10"/>
    <s v="Pacific"/>
    <n v="24.1"/>
    <s v="Category 2"/>
    <x v="0"/>
    <x v="1"/>
    <x v="1"/>
  </r>
  <r>
    <n v="3345"/>
    <s v="I"/>
    <n v="0.495"/>
    <n v="0.38"/>
    <n v="0.14499999999999999"/>
    <n v="0.51500000000000001"/>
    <n v="0.17499999999999999"/>
    <n v="9.8000000000000004E-2"/>
    <n v="0.21199999999999999"/>
    <n v="13"/>
    <n v="15"/>
    <s v="Conan"/>
    <s v="Dalton"/>
    <s v="University of Houston"/>
    <n v="8"/>
    <s v="West Coast"/>
    <n v="12.3"/>
    <s v="Category 2"/>
    <x v="0"/>
    <x v="1"/>
    <x v="1"/>
  </r>
  <r>
    <n v="3792"/>
    <s v="F"/>
    <n v="0.65"/>
    <n v="0.495"/>
    <n v="0.17499999999999999"/>
    <n v="1.2270000000000001"/>
    <n v="0.52800000000000002"/>
    <n v="0.25800000000000001"/>
    <n v="0.37"/>
    <n v="11"/>
    <n v="14"/>
    <s v="Santiago"/>
    <s v="Vaughan"/>
    <s v="Ohio State University_x0009_"/>
    <n v="5"/>
    <s v="Southeast"/>
    <n v="12.8"/>
    <s v="Category 3"/>
    <x v="0"/>
    <x v="0"/>
    <x v="0"/>
  </r>
  <r>
    <n v="2567"/>
    <s v="F"/>
    <n v="0.45500000000000002"/>
    <n v="0.35"/>
    <n v="0.12"/>
    <n v="0.45550000000000002"/>
    <n v="0.19450000000000001"/>
    <n v="0.1045"/>
    <n v="0.13750000000000001"/>
    <n v="7"/>
    <n v="1"/>
    <s v="Jan"/>
    <s v="Odom"/>
    <s v="University of Houston"/>
    <n v="3"/>
    <s v="Northeast"/>
    <n v="3.6"/>
    <s v="Category 2"/>
    <x v="0"/>
    <x v="1"/>
    <x v="1"/>
  </r>
  <r>
    <n v="2315"/>
    <s v="F"/>
    <n v="0.57999999999999996"/>
    <n v="0.47499999999999998"/>
    <n v="0.13500000000000001"/>
    <n v="0.92500000000000004"/>
    <n v="0.39100000000000001"/>
    <n v="0.16500000000000001"/>
    <n v="0.27500000000000002"/>
    <n v="14"/>
    <n v="10"/>
    <s v="Hazel"/>
    <s v="Villa"/>
    <s v="University of Minnesota"/>
    <n v="6"/>
    <s v="Gulf of Mexico_x0009_"/>
    <n v="14.1"/>
    <s v="Category 2"/>
    <x v="0"/>
    <x v="1"/>
    <x v="1"/>
  </r>
  <r>
    <n v="3021"/>
    <s v="I"/>
    <n v="0.45"/>
    <n v="0.34"/>
    <n v="0.125"/>
    <n v="0.40450000000000003"/>
    <n v="0.17100000000000001"/>
    <n v="7.0000000000000007E-2"/>
    <n v="0.13450000000000001"/>
    <n v="8"/>
    <n v="15"/>
    <s v="Conan"/>
    <s v="Dalton"/>
    <s v="University of Houston"/>
    <n v="10"/>
    <s v="Pacific"/>
    <n v="24.1"/>
    <s v="Category 2"/>
    <x v="0"/>
    <x v="1"/>
    <x v="1"/>
  </r>
  <r>
    <n v="232"/>
    <s v="M"/>
    <n v="0.56499999999999995"/>
    <n v="0.44"/>
    <n v="0.17499999999999999"/>
    <n v="0.90249999999999997"/>
    <n v="0.31"/>
    <n v="0.193"/>
    <n v="0.32500000000000001"/>
    <n v="14"/>
    <n v="5"/>
    <s v="Haniya"/>
    <s v="Talley"/>
    <s v="Prince William Sound Science Center"/>
    <n v="7"/>
    <s v="Great Lakes"/>
    <n v="2.5"/>
    <s v="Category 2"/>
    <x v="0"/>
    <x v="1"/>
    <x v="1"/>
  </r>
  <r>
    <n v="25"/>
    <s v="F"/>
    <n v="0.61499999999999999"/>
    <n v="0.48"/>
    <n v="0.16500000000000001"/>
    <n v="1.1615"/>
    <n v="0.51300000000000001"/>
    <n v="0.30099999999999999"/>
    <n v="0.30499999999999999"/>
    <n v="10"/>
    <n v="3"/>
    <s v="Inaya"/>
    <s v="Bernard"/>
    <s v="Stanford University"/>
    <n v="2"/>
    <s v="Florida Gulf Coast"/>
    <n v="18"/>
    <s v="Category 3"/>
    <x v="0"/>
    <x v="0"/>
    <x v="0"/>
  </r>
  <r>
    <n v="55"/>
    <s v="M"/>
    <n v="0.40500000000000003"/>
    <n v="0.31"/>
    <n v="0.1"/>
    <n v="0.38500000000000001"/>
    <n v="0.17299999999999999"/>
    <n v="9.1499999999999998E-2"/>
    <n v="0.11"/>
    <n v="7"/>
    <n v="4"/>
    <s v="Nate"/>
    <s v="Craig"/>
    <s v="NOAA Fisheries"/>
    <n v="7"/>
    <s v="Great Lakes"/>
    <n v="2.5"/>
    <s v="Category 2"/>
    <x v="0"/>
    <x v="1"/>
    <x v="1"/>
  </r>
  <r>
    <n v="2414"/>
    <s v="F"/>
    <n v="0.505"/>
    <n v="0.38"/>
    <n v="0.14499999999999999"/>
    <n v="0.65100000000000002"/>
    <n v="0.29349999999999998"/>
    <n v="0.19"/>
    <n v="0.17"/>
    <n v="12"/>
    <n v="12"/>
    <s v="Rebecca"/>
    <s v="Bennett"/>
    <s v="University of Houston"/>
    <n v="4"/>
    <s v="Mid-Atlantic"/>
    <n v="6.1"/>
    <s v="Category 2"/>
    <x v="0"/>
    <x v="1"/>
    <x v="1"/>
  </r>
  <r>
    <n v="3320"/>
    <s v="F"/>
    <n v="0.70499999999999996"/>
    <n v="0.55500000000000005"/>
    <n v="0.2"/>
    <n v="1.4684999999999999"/>
    <n v="0.47149999999999997"/>
    <n v="0.32350000000000001"/>
    <n v="0.52"/>
    <n v="19"/>
    <n v="10"/>
    <s v="Hazel"/>
    <s v="Villa"/>
    <s v="University of Minnesota"/>
    <n v="4"/>
    <s v="Mid-Atlantic"/>
    <n v="6.1"/>
    <s v="Category 2"/>
    <x v="0"/>
    <x v="1"/>
    <x v="1"/>
  </r>
  <r>
    <n v="1528"/>
    <s v="M"/>
    <n v="0.72"/>
    <n v="0.56499999999999995"/>
    <n v="0.2"/>
    <n v="2.1055000000000001"/>
    <n v="1.0169999999999999"/>
    <n v="0.36299999999999999"/>
    <n v="0.49399999999999999"/>
    <n v="12"/>
    <n v="6"/>
    <s v="Martin"/>
    <s v="Gaines"/>
    <s v="San Diego State University"/>
    <n v="8"/>
    <s v="West Coast"/>
    <n v="12.3"/>
    <s v="Category 3"/>
    <x v="0"/>
    <x v="0"/>
    <x v="0"/>
  </r>
  <r>
    <n v="3011"/>
    <s v="I"/>
    <n v="0.375"/>
    <n v="0.26"/>
    <n v="0.08"/>
    <n v="0.20749999999999999"/>
    <n v="0.09"/>
    <n v="4.1500000000000002E-2"/>
    <n v="7.0000000000000007E-2"/>
    <n v="6"/>
    <n v="1"/>
    <s v="Jan"/>
    <s v="Odom"/>
    <s v="University of Houston"/>
    <n v="7"/>
    <s v="Great Lakes"/>
    <n v="2.5"/>
    <s v="Category 2"/>
    <x v="0"/>
    <x v="1"/>
    <x v="1"/>
  </r>
  <r>
    <n v="653"/>
    <s v="I"/>
    <n v="0.47"/>
    <n v="0.35"/>
    <n v="0.13"/>
    <n v="0.46600000000000003"/>
    <n v="0.1845"/>
    <n v="9.9000000000000005E-2"/>
    <n v="0.14499999999999999"/>
    <n v="11"/>
    <n v="5"/>
    <s v="Haniya"/>
    <s v="Talley"/>
    <s v="Prince William Sound Science Center"/>
    <n v="4"/>
    <s v="Mid-Atlantic"/>
    <n v="6.1"/>
    <s v="Category 2"/>
    <x v="0"/>
    <x v="1"/>
    <x v="1"/>
  </r>
  <r>
    <n v="238"/>
    <s v="I"/>
    <n v="0.13"/>
    <n v="0.1"/>
    <n v="0.03"/>
    <n v="1.2999999999999999E-2"/>
    <n v="4.4999999999999997E-3"/>
    <n v="3.0000000000000001E-3"/>
    <n v="4.0000000000000001E-3"/>
    <n v="3"/>
    <n v="1"/>
    <s v="Jan"/>
    <s v="Odom"/>
    <s v="University of Houston"/>
    <n v="6"/>
    <s v="Gulf of Mexico_x0009_"/>
    <n v="14.1"/>
    <s v="Category 2"/>
    <x v="0"/>
    <x v="1"/>
    <x v="1"/>
  </r>
  <r>
    <n v="2005"/>
    <s v="I"/>
    <n v="0.375"/>
    <n v="0.27500000000000002"/>
    <n v="8.5000000000000006E-2"/>
    <n v="0.22"/>
    <n v="0.109"/>
    <n v="0.05"/>
    <n v="6.0499999999999998E-2"/>
    <n v="7"/>
    <n v="15"/>
    <s v="Conan"/>
    <s v="Dalton"/>
    <s v="University of Houston"/>
    <n v="9"/>
    <s v="North Pacific"/>
    <n v="1.9"/>
    <s v="Category 2"/>
    <x v="0"/>
    <x v="1"/>
    <x v="1"/>
  </r>
  <r>
    <n v="1451"/>
    <s v="I"/>
    <n v="0.45500000000000002"/>
    <n v="0.33500000000000002"/>
    <n v="0.13500000000000001"/>
    <n v="0.501"/>
    <n v="0.27400000000000002"/>
    <n v="9.9500000000000005E-2"/>
    <n v="0.1065"/>
    <n v="7"/>
    <n v="12"/>
    <s v="Rebecca"/>
    <s v="Bennett"/>
    <s v="University of Houston"/>
    <n v="1"/>
    <s v="Florida Atlantic Coast"/>
    <n v="22.1"/>
    <s v="Category 2"/>
    <x v="0"/>
    <x v="1"/>
    <x v="1"/>
  </r>
  <r>
    <n v="1087"/>
    <s v="I"/>
    <n v="0.44500000000000001"/>
    <n v="0.33500000000000002"/>
    <n v="0.11"/>
    <n v="0.41099999999999998"/>
    <n v="0.19850000000000001"/>
    <n v="9.35E-2"/>
    <n v="0.109"/>
    <n v="8"/>
    <n v="10"/>
    <s v="Hazel"/>
    <s v="Villa"/>
    <s v="University of Minnesota"/>
    <n v="7"/>
    <s v="Great Lakes"/>
    <n v="2.5"/>
    <s v="Category 2"/>
    <x v="0"/>
    <x v="1"/>
    <x v="1"/>
  </r>
  <r>
    <n v="1672"/>
    <s v="M"/>
    <n v="0.61"/>
    <n v="0.47"/>
    <n v="0.16"/>
    <n v="1.022"/>
    <n v="0.44900000000000001"/>
    <n v="0.23449999999999999"/>
    <n v="0.29449999999999998"/>
    <n v="9"/>
    <n v="9"/>
    <s v="Danica"/>
    <s v="Tyler"/>
    <s v="University of Florida_x0009_"/>
    <n v="10"/>
    <s v="Pacific"/>
    <n v="24.1"/>
    <s v="Category 3"/>
    <x v="0"/>
    <x v="0"/>
    <x v="0"/>
  </r>
  <r>
    <n v="1920"/>
    <s v="I"/>
    <n v="0.60499999999999998"/>
    <n v="0.49"/>
    <n v="0.16500000000000001"/>
    <n v="1.071"/>
    <n v="0.48199999999999998"/>
    <n v="0.19350000000000001"/>
    <n v="0.35199999999999998"/>
    <n v="10"/>
    <n v="2"/>
    <s v="Tiegan"/>
    <s v="Davie"/>
    <s v="University of California, Davis"/>
    <n v="10"/>
    <s v="Pacific"/>
    <n v="24.1"/>
    <s v="Category 3"/>
    <x v="0"/>
    <x v="0"/>
    <x v="0"/>
  </r>
  <r>
    <n v="1356"/>
    <s v="F"/>
    <n v="0.6"/>
    <n v="0.46500000000000002"/>
    <n v="0.155"/>
    <n v="1.04"/>
    <n v="0.47549999999999998"/>
    <n v="0.25"/>
    <n v="0.28000000000000003"/>
    <n v="11"/>
    <n v="9"/>
    <s v="Danica"/>
    <s v="Tyler"/>
    <s v="University of Florida_x0009_"/>
    <n v="4"/>
    <s v="Mid-Atlantic"/>
    <n v="6.1"/>
    <s v="Category 3"/>
    <x v="0"/>
    <x v="0"/>
    <x v="0"/>
  </r>
  <r>
    <n v="3567"/>
    <s v="M"/>
    <n v="0.57499999999999996"/>
    <n v="0.45"/>
    <n v="0.155"/>
    <n v="0.88600000000000001"/>
    <n v="0.36049999999999999"/>
    <n v="0.21099999999999999"/>
    <n v="0.25750000000000001"/>
    <n v="9"/>
    <n v="13"/>
    <s v="Betty"/>
    <s v="Berg"/>
    <s v="University of Houston"/>
    <n v="4"/>
    <s v="Mid-Atlantic"/>
    <n v="6.1"/>
    <s v="Category 2"/>
    <x v="0"/>
    <x v="1"/>
    <x v="1"/>
  </r>
  <r>
    <n v="230"/>
    <s v="F"/>
    <n v="0.53"/>
    <n v="0.41499999999999998"/>
    <n v="0.16"/>
    <n v="0.78300000000000003"/>
    <n v="0.29349999999999998"/>
    <n v="0.158"/>
    <n v="0.245"/>
    <n v="15"/>
    <n v="12"/>
    <s v="Rebecca"/>
    <s v="Bennett"/>
    <s v="University of Houston"/>
    <n v="4"/>
    <s v="Mid-Atlantic"/>
    <n v="6.1"/>
    <s v="Category 2"/>
    <x v="0"/>
    <x v="1"/>
    <x v="1"/>
  </r>
  <r>
    <n v="2654"/>
    <s v="I"/>
    <n v="0.52"/>
    <n v="0.39500000000000002"/>
    <n v="0.13500000000000001"/>
    <n v="0.63300000000000001"/>
    <n v="0.29849999999999999"/>
    <n v="0.1295"/>
    <n v="0.17499999999999999"/>
    <n v="9"/>
    <n v="6"/>
    <s v="Martin"/>
    <s v="Gaines"/>
    <s v="San Diego State University"/>
    <n v="2"/>
    <s v="Florida Gulf Coast"/>
    <n v="18"/>
    <s v="Category 2"/>
    <x v="0"/>
    <x v="1"/>
    <x v="1"/>
  </r>
  <r>
    <n v="885"/>
    <s v="M"/>
    <n v="0.66"/>
    <n v="0.52"/>
    <n v="0.19"/>
    <n v="1.5580000000000001"/>
    <n v="0.755"/>
    <n v="0.29799999999999999"/>
    <n v="0.4"/>
    <n v="10"/>
    <n v="14"/>
    <s v="Santiago"/>
    <s v="Vaughan"/>
    <s v="Ohio State University_x0009_"/>
    <n v="6"/>
    <s v="Gulf of Mexico_x0009_"/>
    <n v="14.1"/>
    <s v="Category 3"/>
    <x v="0"/>
    <x v="0"/>
    <x v="0"/>
  </r>
  <r>
    <n v="528"/>
    <s v="F"/>
    <n v="0.56999999999999995"/>
    <n v="0.44500000000000001"/>
    <n v="0.155"/>
    <n v="0.73299999999999998"/>
    <n v="0.28199999999999997"/>
    <n v="0.159"/>
    <n v="0.23499999999999999"/>
    <n v="14"/>
    <n v="13"/>
    <s v="Betty"/>
    <s v="Berg"/>
    <s v="University of Houston"/>
    <n v="4"/>
    <s v="Mid-Atlantic"/>
    <n v="6.1"/>
    <s v="Category 2"/>
    <x v="0"/>
    <x v="1"/>
    <x v="1"/>
  </r>
  <r>
    <n v="2023"/>
    <s v="F"/>
    <n v="0.53"/>
    <n v="0.43"/>
    <n v="0.15"/>
    <n v="0.74099999999999999"/>
    <n v="0.32500000000000001"/>
    <n v="0.1855"/>
    <n v="0.19600000000000001"/>
    <n v="9"/>
    <n v="4"/>
    <s v="Nate"/>
    <s v="Craig"/>
    <s v="NOAA Fisheries"/>
    <n v="3"/>
    <s v="Northeast"/>
    <n v="3.6"/>
    <s v="Category 2"/>
    <x v="0"/>
    <x v="1"/>
    <x v="1"/>
  </r>
  <r>
    <n v="854"/>
    <s v="M"/>
    <n v="0.56999999999999995"/>
    <n v="0.45500000000000002"/>
    <n v="0.15"/>
    <n v="0.95199999999999996"/>
    <n v="0.38950000000000001"/>
    <n v="0.2155"/>
    <n v="0.27450000000000002"/>
    <n v="9"/>
    <n v="14"/>
    <s v="Santiago"/>
    <s v="Vaughan"/>
    <s v="Ohio State University_x0009_"/>
    <n v="5"/>
    <s v="Southeast"/>
    <n v="12.8"/>
    <s v="Category 2"/>
    <x v="0"/>
    <x v="1"/>
    <x v="1"/>
  </r>
  <r>
    <n v="2649"/>
    <s v="M"/>
    <n v="0.5"/>
    <n v="0.38"/>
    <n v="0.12"/>
    <n v="0.57650000000000001"/>
    <n v="0.27300000000000002"/>
    <n v="0.13500000000000001"/>
    <n v="0.14499999999999999"/>
    <n v="9"/>
    <n v="12"/>
    <s v="Rebecca"/>
    <s v="Bennett"/>
    <s v="University of Houston"/>
    <n v="7"/>
    <s v="Great Lakes"/>
    <n v="2.5"/>
    <s v="Category 2"/>
    <x v="0"/>
    <x v="1"/>
    <x v="1"/>
  </r>
  <r>
    <n v="2603"/>
    <s v="M"/>
    <n v="0.61499999999999999"/>
    <n v="0.47"/>
    <n v="0.155"/>
    <n v="1.2"/>
    <n v="0.50849999999999995"/>
    <n v="0.32"/>
    <n v="0.29199999999999998"/>
    <n v="8"/>
    <n v="10"/>
    <s v="Hazel"/>
    <s v="Villa"/>
    <s v="University of Minnesota"/>
    <n v="6"/>
    <s v="Gulf of Mexico_x0009_"/>
    <n v="14.1"/>
    <s v="Category 3"/>
    <x v="0"/>
    <x v="0"/>
    <x v="0"/>
  </r>
  <r>
    <n v="2557"/>
    <s v="I"/>
    <n v="0.38"/>
    <n v="0.28499999999999998"/>
    <n v="8.5000000000000006E-2"/>
    <n v="0.23699999999999999"/>
    <n v="0.115"/>
    <n v="4.0500000000000001E-2"/>
    <n v="7.0000000000000007E-2"/>
    <n v="6"/>
    <n v="4"/>
    <s v="Nate"/>
    <s v="Craig"/>
    <s v="NOAA Fisheries"/>
    <n v="5"/>
    <s v="Southeast"/>
    <n v="12.8"/>
    <s v="Category 2"/>
    <x v="0"/>
    <x v="1"/>
    <x v="1"/>
  </r>
  <r>
    <n v="936"/>
    <s v="I"/>
    <n v="0.45"/>
    <n v="0.34499999999999997"/>
    <n v="0.11"/>
    <n v="0.47"/>
    <n v="0.23549999999999999"/>
    <n v="8.5500000000000007E-2"/>
    <n v="0.1135"/>
    <n v="7"/>
    <n v="5"/>
    <s v="Haniya"/>
    <s v="Talley"/>
    <s v="Prince William Sound Science Center"/>
    <n v="2"/>
    <s v="Florida Gulf Coast"/>
    <n v="18"/>
    <s v="Category 2"/>
    <x v="0"/>
    <x v="1"/>
    <x v="1"/>
  </r>
  <r>
    <n v="768"/>
    <s v="M"/>
    <n v="0.34499999999999997"/>
    <n v="0.27"/>
    <n v="9.5000000000000001E-2"/>
    <n v="0.19700000000000001"/>
    <n v="6.6500000000000004E-2"/>
    <n v="0.05"/>
    <n v="7.0000000000000007E-2"/>
    <n v="9"/>
    <n v="14"/>
    <s v="Santiago"/>
    <s v="Vaughan"/>
    <s v="Ohio State University_x0009_"/>
    <n v="9"/>
    <s v="North Pacific"/>
    <n v="1.9"/>
    <s v="Category 2"/>
    <x v="0"/>
    <x v="1"/>
    <x v="1"/>
  </r>
  <r>
    <n v="3149"/>
    <s v="F"/>
    <n v="0.71"/>
    <n v="0.53"/>
    <n v="0.19500000000000001"/>
    <n v="1.8745000000000001"/>
    <n v="0.67549999999999999"/>
    <n v="0.40649999999999997"/>
    <n v="0.6855"/>
    <n v="12"/>
    <n v="14"/>
    <s v="Santiago"/>
    <s v="Vaughan"/>
    <s v="Ohio State University_x0009_"/>
    <n v="6"/>
    <s v="Gulf of Mexico_x0009_"/>
    <n v="14.1"/>
    <s v="Category 3"/>
    <x v="0"/>
    <x v="0"/>
    <x v="0"/>
  </r>
  <r>
    <n v="2377"/>
    <s v="F"/>
    <n v="0.43"/>
    <n v="0.34"/>
    <n v="0.11"/>
    <n v="0.38200000000000001"/>
    <n v="0.154"/>
    <n v="9.5500000000000002E-2"/>
    <n v="0.109"/>
    <n v="8"/>
    <n v="10"/>
    <s v="Hazel"/>
    <s v="Villa"/>
    <s v="University of Minnesota"/>
    <n v="8"/>
    <s v="West Coast"/>
    <n v="12.3"/>
    <s v="Category 2"/>
    <x v="0"/>
    <x v="1"/>
    <x v="1"/>
  </r>
  <r>
    <n v="818"/>
    <s v="I"/>
    <n v="0.35"/>
    <n v="0.27"/>
    <n v="0.09"/>
    <n v="0.20549999999999999"/>
    <n v="7.4999999999999997E-2"/>
    <n v="5.7500000000000002E-2"/>
    <n v="6.2E-2"/>
    <n v="6"/>
    <n v="7"/>
    <s v="Iona"/>
    <s v="Connolly"/>
    <s v="Florida Atlantic University"/>
    <n v="1"/>
    <s v="Florida Atlantic Coast"/>
    <n v="22.1"/>
    <s v="Category 2"/>
    <x v="0"/>
    <x v="1"/>
    <x v="1"/>
  </r>
  <r>
    <n v="2223"/>
    <s v="F"/>
    <n v="0.625"/>
    <n v="0.52500000000000002"/>
    <n v="0.19500000000000001"/>
    <n v="1.3520000000000001"/>
    <n v="0.45050000000000001"/>
    <n v="0.2445"/>
    <n v="0.53"/>
    <n v="13"/>
    <n v="5"/>
    <s v="Haniya"/>
    <s v="Talley"/>
    <s v="Prince William Sound Science Center"/>
    <n v="3"/>
    <s v="Northeast"/>
    <n v="3.6"/>
    <s v="Category 3"/>
    <x v="0"/>
    <x v="0"/>
    <x v="0"/>
  </r>
  <r>
    <n v="2582"/>
    <s v="F"/>
    <n v="0.53"/>
    <n v="0.42"/>
    <n v="0.17"/>
    <n v="0.82799999999999996"/>
    <n v="0.41"/>
    <n v="0.20799999999999999"/>
    <n v="0.15049999999999999"/>
    <n v="6"/>
    <n v="9"/>
    <s v="Danica"/>
    <s v="Tyler"/>
    <s v="University of Florida_x0009_"/>
    <n v="2"/>
    <s v="Florida Gulf Coast"/>
    <n v="18"/>
    <s v="Category 3"/>
    <x v="0"/>
    <x v="0"/>
    <x v="0"/>
  </r>
  <r>
    <n v="2777"/>
    <s v="M"/>
    <n v="0.58499999999999996"/>
    <n v="0.46500000000000002"/>
    <n v="0.16500000000000001"/>
    <n v="0.88500000000000001"/>
    <n v="0.40250000000000002"/>
    <n v="0.16250000000000001"/>
    <n v="0.27400000000000002"/>
    <n v="10"/>
    <n v="12"/>
    <s v="Rebecca"/>
    <s v="Bennett"/>
    <s v="University of Houston"/>
    <n v="8"/>
    <s v="West Coast"/>
    <n v="12.3"/>
    <s v="Category 3"/>
    <x v="0"/>
    <x v="0"/>
    <x v="0"/>
  </r>
  <r>
    <n v="975"/>
    <s v="F"/>
    <n v="0.53"/>
    <n v="0.42499999999999999"/>
    <n v="0.13"/>
    <n v="0.75849999999999995"/>
    <n v="0.32500000000000001"/>
    <n v="0.19700000000000001"/>
    <n v="0.20499999999999999"/>
    <n v="8"/>
    <n v="2"/>
    <s v="Tiegan"/>
    <s v="Davie"/>
    <s v="University of California, Davis"/>
    <n v="1"/>
    <s v="Florida Atlantic Coast"/>
    <n v="22.1"/>
    <s v="Category 2"/>
    <x v="0"/>
    <x v="1"/>
    <x v="1"/>
  </r>
  <r>
    <n v="1574"/>
    <s v="I"/>
    <n v="0.48"/>
    <n v="0.37"/>
    <n v="0.12"/>
    <n v="0.53600000000000003"/>
    <n v="0.251"/>
    <n v="0.114"/>
    <n v="0.15"/>
    <n v="8"/>
    <n v="2"/>
    <s v="Tiegan"/>
    <s v="Davie"/>
    <s v="University of California, Davis"/>
    <n v="2"/>
    <s v="Florida Gulf Coast"/>
    <n v="18"/>
    <s v="Category 2"/>
    <x v="0"/>
    <x v="1"/>
    <x v="1"/>
  </r>
  <r>
    <n v="3580"/>
    <s v="F"/>
    <n v="0.6"/>
    <n v="0.48499999999999999"/>
    <n v="0.14499999999999999"/>
    <n v="0.77600000000000002"/>
    <n v="0.35449999999999998"/>
    <n v="0.1585"/>
    <n v="0.23899999999999999"/>
    <n v="9"/>
    <n v="13"/>
    <s v="Betty"/>
    <s v="Berg"/>
    <s v="University of Houston"/>
    <n v="3"/>
    <s v="Northeast"/>
    <n v="3.6"/>
    <s v="Category 2"/>
    <x v="0"/>
    <x v="1"/>
    <x v="1"/>
  </r>
  <r>
    <n v="3664"/>
    <s v="I"/>
    <n v="0.55000000000000004"/>
    <n v="0.4"/>
    <n v="0.13500000000000001"/>
    <n v="0.71699999999999997"/>
    <n v="0.33150000000000002"/>
    <n v="0.14949999999999999"/>
    <n v="0.221"/>
    <n v="9"/>
    <n v="1"/>
    <s v="Jan"/>
    <s v="Odom"/>
    <s v="University of Houston"/>
    <n v="8"/>
    <s v="West Coast"/>
    <n v="12.3"/>
    <s v="Category 2"/>
    <x v="0"/>
    <x v="1"/>
    <x v="1"/>
  </r>
  <r>
    <n v="1456"/>
    <s v="M"/>
    <n v="0.47499999999999998"/>
    <n v="0.37"/>
    <n v="0.125"/>
    <n v="0.64900000000000002"/>
    <n v="0.34699999999999998"/>
    <n v="0.13600000000000001"/>
    <n v="0.14199999999999999"/>
    <n v="8"/>
    <n v="4"/>
    <s v="Nate"/>
    <s v="Craig"/>
    <s v="NOAA Fisheries"/>
    <n v="9"/>
    <s v="North Pacific"/>
    <n v="1.9"/>
    <s v="Category 2"/>
    <x v="0"/>
    <x v="1"/>
    <x v="1"/>
  </r>
  <r>
    <n v="2422"/>
    <s v="I"/>
    <n v="0.52"/>
    <n v="0.41499999999999998"/>
    <n v="0.16"/>
    <n v="0.59499999999999997"/>
    <n v="0.21049999999999999"/>
    <n v="0.14199999999999999"/>
    <n v="0.26"/>
    <n v="15"/>
    <n v="10"/>
    <s v="Hazel"/>
    <s v="Villa"/>
    <s v="University of Minnesota"/>
    <n v="9"/>
    <s v="North Pacific"/>
    <n v="1.9"/>
    <s v="Category 2"/>
    <x v="0"/>
    <x v="1"/>
    <x v="1"/>
  </r>
  <r>
    <n v="2926"/>
    <s v="I"/>
    <n v="0.60499999999999998"/>
    <n v="0.48"/>
    <n v="0.155"/>
    <n v="0.99950000000000006"/>
    <n v="0.42499999999999999"/>
    <n v="0.19850000000000001"/>
    <n v="0.3"/>
    <n v="10"/>
    <n v="15"/>
    <s v="Conan"/>
    <s v="Dalton"/>
    <s v="University of Houston"/>
    <n v="6"/>
    <s v="Gulf of Mexico_x0009_"/>
    <n v="14.1"/>
    <s v="Category 3"/>
    <x v="0"/>
    <x v="0"/>
    <x v="0"/>
  </r>
  <r>
    <n v="2263"/>
    <s v="F"/>
    <n v="0.57999999999999996"/>
    <n v="0.45500000000000002"/>
    <n v="0.16"/>
    <n v="0.92149999999999999"/>
    <n v="0.312"/>
    <n v="0.19600000000000001"/>
    <n v="0.3"/>
    <n v="17"/>
    <n v="13"/>
    <s v="Betty"/>
    <s v="Berg"/>
    <s v="University of Houston"/>
    <n v="10"/>
    <s v="Pacific"/>
    <n v="24.1"/>
    <s v="Category 2"/>
    <x v="0"/>
    <x v="1"/>
    <x v="1"/>
  </r>
  <r>
    <n v="2745"/>
    <s v="M"/>
    <n v="0.48"/>
    <n v="0.375"/>
    <n v="0.12"/>
    <n v="0.58950000000000002"/>
    <n v="0.2535"/>
    <n v="0.128"/>
    <n v="0.17199999999999999"/>
    <n v="11"/>
    <n v="7"/>
    <s v="Iona"/>
    <s v="Connolly"/>
    <s v="Florida Atlantic University"/>
    <n v="2"/>
    <s v="Florida Gulf Coast"/>
    <n v="18"/>
    <s v="Category 2"/>
    <x v="0"/>
    <x v="1"/>
    <x v="1"/>
  </r>
  <r>
    <n v="3007"/>
    <s v="M"/>
    <n v="0.7"/>
    <n v="0.54500000000000004"/>
    <n v="0.185"/>
    <n v="1.6134999999999999"/>
    <n v="0.75"/>
    <n v="0.40350000000000003"/>
    <n v="0.36849999999999999"/>
    <n v="11"/>
    <n v="15"/>
    <s v="Conan"/>
    <s v="Dalton"/>
    <s v="University of Houston"/>
    <n v="2"/>
    <s v="Florida Gulf Coast"/>
    <n v="18"/>
    <s v="Category 3"/>
    <x v="0"/>
    <x v="0"/>
    <x v="0"/>
  </r>
  <r>
    <n v="83"/>
    <s v="F"/>
    <n v="0.52"/>
    <n v="0.42499999999999999"/>
    <n v="0.16500000000000001"/>
    <n v="0.98850000000000005"/>
    <n v="0.39600000000000002"/>
    <n v="0.22500000000000001"/>
    <n v="0.32"/>
    <n v="16"/>
    <n v="6"/>
    <s v="Martin"/>
    <s v="Gaines"/>
    <s v="San Diego State University"/>
    <n v="2"/>
    <s v="Florida Gulf Coast"/>
    <n v="18"/>
    <s v="Category 2"/>
    <x v="0"/>
    <x v="1"/>
    <x v="1"/>
  </r>
  <r>
    <n v="2705"/>
    <s v="M"/>
    <n v="0.7"/>
    <n v="0.52500000000000002"/>
    <n v="0.17499999999999999"/>
    <n v="1.7585"/>
    <n v="0.87450000000000006"/>
    <n v="0.36149999999999999"/>
    <n v="0.47"/>
    <n v="10"/>
    <n v="15"/>
    <s v="Conan"/>
    <s v="Dalton"/>
    <s v="University of Houston"/>
    <n v="4"/>
    <s v="Mid-Atlantic"/>
    <n v="6.1"/>
    <s v="Category 3"/>
    <x v="0"/>
    <x v="0"/>
    <x v="0"/>
  </r>
  <r>
    <n v="1972"/>
    <s v="F"/>
    <n v="0.67500000000000004"/>
    <n v="0.51"/>
    <n v="0.185"/>
    <n v="1.4730000000000001"/>
    <n v="0.62949999999999995"/>
    <n v="0.30249999999999999"/>
    <n v="0.42449999999999999"/>
    <n v="11"/>
    <n v="7"/>
    <s v="Iona"/>
    <s v="Connolly"/>
    <s v="Florida Atlantic University"/>
    <n v="6"/>
    <s v="Gulf of Mexico_x0009_"/>
    <n v="14.1"/>
    <s v="Category 3"/>
    <x v="0"/>
    <x v="0"/>
    <x v="0"/>
  </r>
  <r>
    <n v="4010"/>
    <s v="M"/>
    <n v="0.61"/>
    <n v="0.49"/>
    <n v="0.16"/>
    <n v="1.1459999999999999"/>
    <n v="0.59699999999999998"/>
    <n v="0.246"/>
    <n v="0.26500000000000001"/>
    <n v="8"/>
    <n v="11"/>
    <s v="Naima"/>
    <s v="Reyes"/>
    <s v="University of Houston"/>
    <n v="6"/>
    <s v="Gulf of Mexico_x0009_"/>
    <n v="14.1"/>
    <s v="Category 3"/>
    <x v="0"/>
    <x v="0"/>
    <x v="0"/>
  </r>
  <r>
    <n v="882"/>
    <s v="M"/>
    <n v="0.65500000000000003"/>
    <n v="0.52"/>
    <n v="0.16500000000000001"/>
    <n v="1.4095"/>
    <n v="0.58599999999999997"/>
    <n v="0.29099999999999998"/>
    <n v="0.40500000000000003"/>
    <n v="9"/>
    <n v="10"/>
    <s v="Hazel"/>
    <s v="Villa"/>
    <s v="University of Minnesota"/>
    <n v="1"/>
    <s v="Florida Atlantic Coast"/>
    <n v="22.1"/>
    <s v="Category 3"/>
    <x v="0"/>
    <x v="0"/>
    <x v="0"/>
  </r>
  <r>
    <n v="455"/>
    <s v="F"/>
    <n v="0.64500000000000002"/>
    <n v="0.55000000000000004"/>
    <n v="0.17499999999999999"/>
    <n v="1.2915000000000001"/>
    <n v="0.56999999999999995"/>
    <n v="0.30449999999999999"/>
    <n v="0.33"/>
    <n v="14"/>
    <n v="6"/>
    <s v="Martin"/>
    <s v="Gaines"/>
    <s v="San Diego State University"/>
    <n v="10"/>
    <s v="Pacific"/>
    <n v="24.1"/>
    <s v="Category 3"/>
    <x v="0"/>
    <x v="0"/>
    <x v="0"/>
  </r>
  <r>
    <n v="3683"/>
    <s v="M"/>
    <n v="0.62"/>
    <n v="0.5"/>
    <n v="0.18"/>
    <n v="1.3915"/>
    <n v="0.72599999999999998"/>
    <n v="0.27950000000000003"/>
    <n v="0.33200000000000002"/>
    <n v="11"/>
    <n v="9"/>
    <s v="Danica"/>
    <s v="Tyler"/>
    <s v="University of Florida_x0009_"/>
    <n v="1"/>
    <s v="Florida Atlantic Coast"/>
    <n v="22.1"/>
    <s v="Category 3"/>
    <x v="0"/>
    <x v="0"/>
    <x v="0"/>
  </r>
  <r>
    <n v="1335"/>
    <s v="F"/>
    <n v="0.57499999999999996"/>
    <n v="0.42"/>
    <n v="0.13500000000000001"/>
    <n v="0.85699999999999998"/>
    <n v="0.46100000000000002"/>
    <n v="0.14699999999999999"/>
    <n v="0.21249999999999999"/>
    <n v="10"/>
    <n v="13"/>
    <s v="Betty"/>
    <s v="Berg"/>
    <s v="University of Houston"/>
    <n v="10"/>
    <s v="Pacific"/>
    <n v="24.1"/>
    <s v="Category 3"/>
    <x v="0"/>
    <x v="0"/>
    <x v="0"/>
  </r>
  <r>
    <n v="2289"/>
    <s v="I"/>
    <n v="0.33"/>
    <n v="0.26500000000000001"/>
    <n v="0.09"/>
    <n v="0.18"/>
    <n v="6.8000000000000005E-2"/>
    <n v="3.5999999999999997E-2"/>
    <n v="0.06"/>
    <n v="6"/>
    <n v="10"/>
    <s v="Hazel"/>
    <s v="Villa"/>
    <s v="University of Minnesota"/>
    <n v="9"/>
    <s v="North Pacific"/>
    <n v="1.9"/>
    <s v="Category 2"/>
    <x v="0"/>
    <x v="1"/>
    <x v="1"/>
  </r>
  <r>
    <n v="3342"/>
    <s v="F"/>
    <n v="0.49"/>
    <n v="0.39"/>
    <n v="0.13500000000000001"/>
    <n v="0.59"/>
    <n v="0.215"/>
    <n v="0.125"/>
    <n v="0.1845"/>
    <n v="12"/>
    <n v="3"/>
    <s v="Inaya"/>
    <s v="Bernard"/>
    <s v="Stanford University"/>
    <n v="6"/>
    <s v="Gulf of Mexico_x0009_"/>
    <n v="14.1"/>
    <s v="Category 2"/>
    <x v="0"/>
    <x v="1"/>
    <x v="1"/>
  </r>
  <r>
    <n v="783"/>
    <s v="M"/>
    <n v="0.51500000000000001"/>
    <n v="0.435"/>
    <n v="0.14499999999999999"/>
    <n v="0.88149999999999995"/>
    <n v="0.29199999999999998"/>
    <n v="0.20599999999999999"/>
    <n v="0.255"/>
    <n v="10"/>
    <n v="14"/>
    <s v="Santiago"/>
    <s v="Vaughan"/>
    <s v="Ohio State University_x0009_"/>
    <n v="5"/>
    <s v="Southeast"/>
    <n v="12.8"/>
    <s v="Category 2"/>
    <x v="0"/>
    <x v="1"/>
    <x v="1"/>
  </r>
  <r>
    <n v="3078"/>
    <s v="M"/>
    <n v="0.68500000000000005"/>
    <n v="0.51"/>
    <n v="0.16500000000000001"/>
    <n v="1.5449999999999999"/>
    <n v="0.68600000000000005"/>
    <n v="0.3775"/>
    <n v="0.40550000000000003"/>
    <n v="10"/>
    <n v="9"/>
    <s v="Danica"/>
    <s v="Tyler"/>
    <s v="University of Florida_x0009_"/>
    <n v="9"/>
    <s v="North Pacific"/>
    <n v="1.9"/>
    <s v="Category 3"/>
    <x v="0"/>
    <x v="0"/>
    <x v="0"/>
  </r>
  <r>
    <n v="2155"/>
    <s v="M"/>
    <n v="0.55000000000000004"/>
    <n v="0.44"/>
    <n v="0.13500000000000001"/>
    <n v="0.879"/>
    <n v="0.36799999999999999"/>
    <n v="0.20949999999999999"/>
    <n v="0.26500000000000001"/>
    <n v="10"/>
    <n v="8"/>
    <s v="Kali"/>
    <s v="Metcalfe"/>
    <s v="Mote Marine Laboratory"/>
    <n v="7"/>
    <s v="Great Lakes"/>
    <n v="2.5"/>
    <s v="Category 2"/>
    <x v="0"/>
    <x v="1"/>
    <x v="1"/>
  </r>
  <r>
    <n v="947"/>
    <s v="F"/>
    <n v="0.47"/>
    <n v="0.36499999999999999"/>
    <n v="0.12"/>
    <n v="0.58199999999999996"/>
    <n v="0.28999999999999998"/>
    <n v="9.1999999999999998E-2"/>
    <n v="0.14599999999999999"/>
    <n v="8"/>
    <n v="14"/>
    <s v="Santiago"/>
    <s v="Vaughan"/>
    <s v="Ohio State University_x0009_"/>
    <n v="6"/>
    <s v="Gulf of Mexico_x0009_"/>
    <n v="14.1"/>
    <s v="Category 2"/>
    <x v="0"/>
    <x v="1"/>
    <x v="1"/>
  </r>
  <r>
    <n v="2071"/>
    <s v="I"/>
    <n v="0.55000000000000004"/>
    <n v="0.42"/>
    <n v="0.115"/>
    <n v="0.66800000000000004"/>
    <n v="0.29249999999999998"/>
    <n v="0.13700000000000001"/>
    <n v="0.20899999999999999"/>
    <n v="11"/>
    <n v="11"/>
    <s v="Naima"/>
    <s v="Reyes"/>
    <s v="University of Houston"/>
    <n v="3"/>
    <s v="Northeast"/>
    <n v="3.6"/>
    <s v="Category 2"/>
    <x v="0"/>
    <x v="1"/>
    <x v="1"/>
  </r>
  <r>
    <n v="2775"/>
    <s v="F"/>
    <n v="0.57999999999999996"/>
    <n v="0.42499999999999999"/>
    <n v="0.15"/>
    <n v="0.84399999999999997"/>
    <n v="0.36449999999999999"/>
    <n v="0.185"/>
    <n v="0.27050000000000002"/>
    <n v="9"/>
    <n v="11"/>
    <s v="Naima"/>
    <s v="Reyes"/>
    <s v="University of Houston"/>
    <n v="2"/>
    <s v="Florida Gulf Coast"/>
    <n v="18"/>
    <s v="Category 2"/>
    <x v="0"/>
    <x v="1"/>
    <x v="1"/>
  </r>
  <r>
    <n v="2251"/>
    <s v="M"/>
    <n v="0.65500000000000003"/>
    <n v="0.59"/>
    <n v="0.2"/>
    <n v="1.5455000000000001"/>
    <n v="0.65400000000000003"/>
    <n v="0.3765"/>
    <n v="0.41499999999999998"/>
    <n v="11"/>
    <n v="7"/>
    <s v="Iona"/>
    <s v="Connolly"/>
    <s v="Florida Atlantic University"/>
    <n v="1"/>
    <s v="Florida Atlantic Coast"/>
    <n v="22.1"/>
    <s v="Category 3"/>
    <x v="0"/>
    <x v="0"/>
    <x v="0"/>
  </r>
  <r>
    <n v="1789"/>
    <s v="F"/>
    <n v="0.54500000000000004"/>
    <n v="0.41499999999999998"/>
    <n v="0.2"/>
    <n v="1.3580000000000001"/>
    <n v="0.56699999999999995"/>
    <n v="0.318"/>
    <n v="0.40300000000000002"/>
    <n v="10"/>
    <n v="4"/>
    <s v="Nate"/>
    <s v="Craig"/>
    <s v="NOAA Fisheries"/>
    <n v="4"/>
    <s v="Mid-Atlantic"/>
    <n v="6.1"/>
    <s v="Category 3"/>
    <x v="0"/>
    <x v="0"/>
    <x v="0"/>
  </r>
  <r>
    <n v="103"/>
    <s v="M"/>
    <n v="0.53"/>
    <n v="0.435"/>
    <n v="0.16"/>
    <n v="0.88300000000000001"/>
    <n v="0.316"/>
    <n v="0.16400000000000001"/>
    <n v="0.33500000000000002"/>
    <n v="15"/>
    <n v="10"/>
    <s v="Hazel"/>
    <s v="Villa"/>
    <s v="University of Minnesota"/>
    <n v="3"/>
    <s v="Northeast"/>
    <n v="3.6"/>
    <s v="Category 2"/>
    <x v="0"/>
    <x v="1"/>
    <x v="1"/>
  </r>
  <r>
    <n v="567"/>
    <s v="I"/>
    <n v="0.48499999999999999"/>
    <n v="0.35499999999999998"/>
    <n v="0.13"/>
    <n v="0.58099999999999996"/>
    <n v="0.245"/>
    <n v="0.13200000000000001"/>
    <n v="0.16800000000000001"/>
    <n v="12"/>
    <n v="1"/>
    <s v="Jan"/>
    <s v="Odom"/>
    <s v="University of Houston"/>
    <n v="5"/>
    <s v="Southeast"/>
    <n v="12.8"/>
    <s v="Category 2"/>
    <x v="0"/>
    <x v="1"/>
    <x v="1"/>
  </r>
  <r>
    <n v="3440"/>
    <s v="I"/>
    <n v="0.44"/>
    <n v="0.35"/>
    <n v="0.125"/>
    <n v="0.45600000000000002"/>
    <n v="0.21"/>
    <n v="9.5500000000000002E-2"/>
    <n v="0.13100000000000001"/>
    <n v="8"/>
    <n v="4"/>
    <s v="Nate"/>
    <s v="Craig"/>
    <s v="NOAA Fisheries"/>
    <n v="2"/>
    <s v="Florida Gulf Coast"/>
    <n v="18"/>
    <s v="Category 2"/>
    <x v="0"/>
    <x v="1"/>
    <x v="1"/>
  </r>
  <r>
    <n v="3752"/>
    <s v="I"/>
    <n v="0.45"/>
    <n v="0.33500000000000002"/>
    <n v="0.115"/>
    <n v="0.39350000000000002"/>
    <n v="0.19500000000000001"/>
    <n v="7.0999999999999994E-2"/>
    <n v="0.11"/>
    <n v="7"/>
    <n v="10"/>
    <s v="Hazel"/>
    <s v="Villa"/>
    <s v="University of Minnesota"/>
    <n v="8"/>
    <s v="West Coast"/>
    <n v="12.3"/>
    <s v="Category 2"/>
    <x v="0"/>
    <x v="1"/>
    <x v="1"/>
  </r>
  <r>
    <n v="3289"/>
    <s v="F"/>
    <n v="0.60499999999999998"/>
    <n v="0.47499999999999998"/>
    <n v="0.14499999999999999"/>
    <n v="1.0185"/>
    <n v="0.46949999999999997"/>
    <n v="0.22500000000000001"/>
    <n v="0.27"/>
    <n v="15"/>
    <n v="10"/>
    <s v="Hazel"/>
    <s v="Villa"/>
    <s v="University of Minnesota"/>
    <n v="7"/>
    <s v="Great Lakes"/>
    <n v="2.5"/>
    <s v="Category 3"/>
    <x v="0"/>
    <x v="0"/>
    <x v="0"/>
  </r>
  <r>
    <n v="180"/>
    <s v="M"/>
    <n v="0.57999999999999996"/>
    <n v="0.47499999999999998"/>
    <n v="0.15"/>
    <n v="0.97"/>
    <n v="0.38500000000000001"/>
    <n v="0.2165"/>
    <n v="0.35"/>
    <n v="11"/>
    <n v="12"/>
    <s v="Rebecca"/>
    <s v="Bennett"/>
    <s v="University of Houston"/>
    <n v="4"/>
    <s v="Mid-Atlantic"/>
    <n v="6.1"/>
    <s v="Category 2"/>
    <x v="0"/>
    <x v="1"/>
    <x v="1"/>
  </r>
  <r>
    <n v="3341"/>
    <s v="I"/>
    <n v="0.54"/>
    <n v="0.435"/>
    <n v="0.14499999999999999"/>
    <n v="0.97"/>
    <n v="0.42849999999999999"/>
    <n v="0.22"/>
    <n v="0.26400000000000001"/>
    <n v="17"/>
    <n v="1"/>
    <s v="Jan"/>
    <s v="Odom"/>
    <s v="University of Houston"/>
    <n v="7"/>
    <s v="Great Lakes"/>
    <n v="2.5"/>
    <s v="Category 1"/>
    <x v="1"/>
    <x v="0"/>
    <x v="1"/>
  </r>
  <r>
    <n v="2700"/>
    <s v="M"/>
    <n v="0.67"/>
    <n v="0.5"/>
    <n v="0.2"/>
    <n v="1.2689999999999999"/>
    <n v="0.57599999999999996"/>
    <n v="0.29849999999999999"/>
    <n v="0.35099999999999998"/>
    <n v="11"/>
    <n v="13"/>
    <s v="Betty"/>
    <s v="Berg"/>
    <s v="University of Houston"/>
    <n v="6"/>
    <s v="Gulf of Mexico_x0009_"/>
    <n v="14.1"/>
    <s v="Category 3"/>
    <x v="0"/>
    <x v="0"/>
    <x v="0"/>
  </r>
  <r>
    <n v="3452"/>
    <s v="M"/>
    <n v="0.55000000000000004"/>
    <n v="0.44"/>
    <n v="0.155"/>
    <n v="0.91549999999999998"/>
    <n v="0.36449999999999999"/>
    <n v="0.19500000000000001"/>
    <n v="0.25"/>
    <n v="8"/>
    <n v="5"/>
    <s v="Haniya"/>
    <s v="Talley"/>
    <s v="Prince William Sound Science Center"/>
    <n v="5"/>
    <s v="Southeast"/>
    <n v="12.8"/>
    <s v="Category 2"/>
    <x v="0"/>
    <x v="1"/>
    <x v="1"/>
  </r>
  <r>
    <n v="801"/>
    <s v="M"/>
    <n v="0.46"/>
    <n v="0.34"/>
    <n v="0.13500000000000001"/>
    <n v="0.495"/>
    <n v="0.16550000000000001"/>
    <n v="0.11700000000000001"/>
    <n v="0.185"/>
    <n v="10"/>
    <n v="12"/>
    <s v="Rebecca"/>
    <s v="Bennett"/>
    <s v="University of Houston"/>
    <n v="10"/>
    <s v="Pacific"/>
    <n v="24.1"/>
    <s v="Category 2"/>
    <x v="0"/>
    <x v="1"/>
    <x v="1"/>
  </r>
  <r>
    <n v="2788"/>
    <s v="F"/>
    <n v="0.61"/>
    <n v="0.45"/>
    <n v="0.13"/>
    <n v="0.87250000000000005"/>
    <n v="0.38900000000000001"/>
    <n v="0.17150000000000001"/>
    <n v="0.27200000000000002"/>
    <n v="11"/>
    <n v="5"/>
    <s v="Haniya"/>
    <s v="Talley"/>
    <s v="Prince William Sound Science Center"/>
    <n v="5"/>
    <s v="Southeast"/>
    <n v="12.8"/>
    <s v="Category 2"/>
    <x v="0"/>
    <x v="1"/>
    <x v="1"/>
  </r>
  <r>
    <n v="307"/>
    <s v="I"/>
    <n v="0.16500000000000001"/>
    <n v="0.12"/>
    <n v="0.03"/>
    <n v="2.1499999999999998E-2"/>
    <n v="7.0000000000000001E-3"/>
    <n v="5.0000000000000001E-3"/>
    <n v="5.0000000000000001E-3"/>
    <n v="3"/>
    <n v="11"/>
    <s v="Naima"/>
    <s v="Reyes"/>
    <s v="University of Houston"/>
    <n v="10"/>
    <s v="Pacific"/>
    <n v="24.1"/>
    <s v="Category 2"/>
    <x v="0"/>
    <x v="1"/>
    <x v="1"/>
  </r>
  <r>
    <n v="3654"/>
    <s v="I"/>
    <n v="0.53"/>
    <n v="0.42499999999999999"/>
    <n v="0.13"/>
    <n v="0.78100000000000003"/>
    <n v="0.39050000000000001"/>
    <n v="0.20050000000000001"/>
    <n v="0.215"/>
    <n v="9"/>
    <n v="3"/>
    <s v="Inaya"/>
    <s v="Bernard"/>
    <s v="Stanford University"/>
    <n v="2"/>
    <s v="Florida Gulf Coast"/>
    <n v="18"/>
    <s v="Category 2"/>
    <x v="0"/>
    <x v="1"/>
    <x v="1"/>
  </r>
  <r>
    <n v="2755"/>
    <s v="I"/>
    <n v="0.52500000000000002"/>
    <n v="0.38500000000000001"/>
    <n v="0.13"/>
    <n v="0.60699999999999998"/>
    <n v="0.23549999999999999"/>
    <n v="0.125"/>
    <n v="0.19500000000000001"/>
    <n v="8"/>
    <n v="6"/>
    <s v="Martin"/>
    <s v="Gaines"/>
    <s v="San Diego State University"/>
    <n v="5"/>
    <s v="Southeast"/>
    <n v="12.8"/>
    <s v="Category 2"/>
    <x v="0"/>
    <x v="1"/>
    <x v="1"/>
  </r>
  <r>
    <n v="3426"/>
    <s v="F"/>
    <n v="0.65"/>
    <n v="0.54500000000000004"/>
    <n v="0.185"/>
    <n v="1.5055000000000001"/>
    <n v="0.65649999999999997"/>
    <n v="0.34100000000000003"/>
    <n v="0.43"/>
    <n v="10"/>
    <n v="12"/>
    <s v="Rebecca"/>
    <s v="Bennett"/>
    <s v="University of Houston"/>
    <n v="2"/>
    <s v="Florida Gulf Coast"/>
    <n v="18"/>
    <s v="Category 3"/>
    <x v="0"/>
    <x v="0"/>
    <x v="0"/>
  </r>
  <r>
    <n v="4094"/>
    <s v="M"/>
    <n v="0.63"/>
    <n v="0.48499999999999999"/>
    <n v="0.18"/>
    <n v="1.2435"/>
    <n v="0.51749999999999996"/>
    <n v="0.308"/>
    <n v="0.37"/>
    <n v="11"/>
    <n v="8"/>
    <s v="Kali"/>
    <s v="Metcalfe"/>
    <s v="Mote Marine Laboratory"/>
    <n v="10"/>
    <s v="Pacific"/>
    <n v="24.1"/>
    <s v="Category 3"/>
    <x v="0"/>
    <x v="0"/>
    <x v="0"/>
  </r>
  <r>
    <n v="2499"/>
    <s v="M"/>
    <n v="0.495"/>
    <n v="0.4"/>
    <n v="0.14000000000000001"/>
    <n v="0.77749999999999997"/>
    <n v="0.20150000000000001"/>
    <n v="0.18"/>
    <n v="0.25"/>
    <n v="15"/>
    <n v="4"/>
    <s v="Nate"/>
    <s v="Craig"/>
    <s v="NOAA Fisheries"/>
    <n v="1"/>
    <s v="Florida Atlantic Coast"/>
    <n v="22.1"/>
    <s v="Category 2"/>
    <x v="0"/>
    <x v="1"/>
    <x v="1"/>
  </r>
  <r>
    <n v="3260"/>
    <s v="M"/>
    <n v="0.64"/>
    <n v="0.505"/>
    <n v="0.16500000000000001"/>
    <n v="1.4435"/>
    <n v="0.61450000000000005"/>
    <n v="0.30349999999999999"/>
    <n v="0.39"/>
    <n v="18"/>
    <n v="8"/>
    <s v="Kali"/>
    <s v="Metcalfe"/>
    <s v="Mote Marine Laboratory"/>
    <n v="3"/>
    <s v="Northeast"/>
    <n v="3.6"/>
    <s v="Category 2"/>
    <x v="0"/>
    <x v="1"/>
    <x v="1"/>
  </r>
  <r>
    <n v="2220"/>
    <s v="F"/>
    <n v="0.48499999999999999"/>
    <n v="0.375"/>
    <n v="0.14499999999999999"/>
    <n v="0.58850000000000002"/>
    <n v="0.23849999999999999"/>
    <n v="0.11550000000000001"/>
    <n v="0.19"/>
    <n v="13"/>
    <n v="14"/>
    <s v="Santiago"/>
    <s v="Vaughan"/>
    <s v="Ohio State University_x0009_"/>
    <n v="5"/>
    <s v="Southeast"/>
    <n v="12.8"/>
    <s v="Category 2"/>
    <x v="0"/>
    <x v="1"/>
    <x v="1"/>
  </r>
  <r>
    <n v="3180"/>
    <s v="I"/>
    <n v="0.27"/>
    <n v="0.19500000000000001"/>
    <n v="7.0000000000000007E-2"/>
    <n v="0.10199999999999999"/>
    <n v="4.4999999999999998E-2"/>
    <n v="1.35E-2"/>
    <n v="3.4000000000000002E-2"/>
    <n v="8"/>
    <n v="14"/>
    <s v="Santiago"/>
    <s v="Vaughan"/>
    <s v="Ohio State University_x0009_"/>
    <n v="9"/>
    <s v="North Pacific"/>
    <n v="1.9"/>
    <s v="Category 2"/>
    <x v="0"/>
    <x v="1"/>
    <x v="1"/>
  </r>
  <r>
    <n v="3321"/>
    <s v="F"/>
    <n v="0.53500000000000003"/>
    <n v="0.42499999999999999"/>
    <n v="0.155"/>
    <n v="0.77649999999999997"/>
    <n v="0.30199999999999999"/>
    <n v="0.1565"/>
    <n v="0.25"/>
    <n v="16"/>
    <n v="7"/>
    <s v="Iona"/>
    <s v="Connolly"/>
    <s v="Florida Atlantic University"/>
    <n v="9"/>
    <s v="North Pacific"/>
    <n v="1.9"/>
    <s v="Category 2"/>
    <x v="0"/>
    <x v="1"/>
    <x v="1"/>
  </r>
  <r>
    <n v="1288"/>
    <s v="I"/>
    <n v="0.505"/>
    <n v="0.40500000000000003"/>
    <n v="0.13"/>
    <n v="0.60150000000000003"/>
    <n v="0.30149999999999999"/>
    <n v="0.11"/>
    <n v="0.18"/>
    <n v="8"/>
    <n v="4"/>
    <s v="Nate"/>
    <s v="Craig"/>
    <s v="NOAA Fisheries"/>
    <n v="5"/>
    <s v="Southeast"/>
    <n v="12.8"/>
    <s v="Category 2"/>
    <x v="0"/>
    <x v="1"/>
    <x v="1"/>
  </r>
  <r>
    <n v="2323"/>
    <s v="M"/>
    <n v="0.53"/>
    <n v="0.435"/>
    <n v="0.13500000000000001"/>
    <n v="0.73650000000000004"/>
    <n v="0.32750000000000001"/>
    <n v="0.13150000000000001"/>
    <n v="0.22"/>
    <n v="12"/>
    <n v="6"/>
    <s v="Martin"/>
    <s v="Gaines"/>
    <s v="San Diego State University"/>
    <n v="10"/>
    <s v="Pacific"/>
    <n v="24.1"/>
    <s v="Category 2"/>
    <x v="0"/>
    <x v="1"/>
    <x v="1"/>
  </r>
  <r>
    <n v="3601"/>
    <s v="I"/>
    <n v="0.17499999999999999"/>
    <n v="0.125"/>
    <n v="0.04"/>
    <n v="2.8000000000000001E-2"/>
    <n v="9.4999999999999998E-3"/>
    <n v="8.0000000000000002E-3"/>
    <n v="8.9999999999999993E-3"/>
    <n v="4"/>
    <n v="7"/>
    <s v="Iona"/>
    <s v="Connolly"/>
    <s v="Florida Atlantic University"/>
    <n v="2"/>
    <s v="Florida Gulf Coast"/>
    <n v="18"/>
    <s v="Category 2"/>
    <x v="0"/>
    <x v="1"/>
    <x v="1"/>
  </r>
  <r>
    <n v="2127"/>
    <s v="F"/>
    <n v="0.5"/>
    <n v="0.4"/>
    <n v="0.125"/>
    <n v="0.57650000000000001"/>
    <n v="0.23949999999999999"/>
    <n v="0.126"/>
    <n v="0.185"/>
    <n v="10"/>
    <n v="7"/>
    <s v="Iona"/>
    <s v="Connolly"/>
    <s v="Florida Atlantic University"/>
    <n v="8"/>
    <s v="West Coast"/>
    <n v="12.3"/>
    <s v="Category 2"/>
    <x v="0"/>
    <x v="1"/>
    <x v="1"/>
  </r>
  <r>
    <n v="4117"/>
    <s v="M"/>
    <n v="0.625"/>
    <n v="0.48"/>
    <n v="0.16"/>
    <n v="1.2415"/>
    <n v="0.65749999999999997"/>
    <n v="0.26250000000000001"/>
    <n v="0.27850000000000003"/>
    <n v="9"/>
    <n v="11"/>
    <s v="Naima"/>
    <s v="Reyes"/>
    <s v="University of Houston"/>
    <n v="9"/>
    <s v="North Pacific"/>
    <n v="1.9"/>
    <s v="Category 3"/>
    <x v="0"/>
    <x v="0"/>
    <x v="0"/>
  </r>
  <r>
    <n v="812"/>
    <s v="F"/>
    <n v="0.49"/>
    <n v="0.36499999999999999"/>
    <n v="0.13"/>
    <n v="0.6835"/>
    <n v="0.16500000000000001"/>
    <n v="0.13150000000000001"/>
    <n v="0.20499999999999999"/>
    <n v="21"/>
    <n v="5"/>
    <s v="Haniya"/>
    <s v="Talley"/>
    <s v="Prince William Sound Science Center"/>
    <n v="6"/>
    <s v="Gulf of Mexico_x0009_"/>
    <n v="14.1"/>
    <s v="Category 2"/>
    <x v="0"/>
    <x v="1"/>
    <x v="1"/>
  </r>
  <r>
    <n v="2194"/>
    <s v="I"/>
    <n v="0.215"/>
    <n v="0.17"/>
    <n v="5.5E-2"/>
    <n v="6.0499999999999998E-2"/>
    <n v="2.0500000000000001E-2"/>
    <n v="1.4E-2"/>
    <n v="0.02"/>
    <n v="6"/>
    <n v="3"/>
    <s v="Inaya"/>
    <s v="Bernard"/>
    <s v="Stanford University"/>
    <n v="9"/>
    <s v="North Pacific"/>
    <n v="1.9"/>
    <s v="Category 2"/>
    <x v="0"/>
    <x v="1"/>
    <x v="1"/>
  </r>
  <r>
    <n v="775"/>
    <s v="M"/>
    <n v="0.49"/>
    <n v="0.38"/>
    <n v="0.14000000000000001"/>
    <n v="0.76049999999999995"/>
    <n v="0.245"/>
    <n v="0.16700000000000001"/>
    <n v="0.185"/>
    <n v="10"/>
    <n v="14"/>
    <s v="Santiago"/>
    <s v="Vaughan"/>
    <s v="Ohio State University_x0009_"/>
    <n v="3"/>
    <s v="Northeast"/>
    <n v="3.6"/>
    <s v="Category 2"/>
    <x v="0"/>
    <x v="1"/>
    <x v="1"/>
  </r>
  <r>
    <n v="2382"/>
    <s v="M"/>
    <n v="0.155"/>
    <n v="0.115"/>
    <n v="2.5000000000000001E-2"/>
    <n v="2.4E-2"/>
    <n v="8.9999999999999993E-3"/>
    <n v="5.0000000000000001E-3"/>
    <n v="7.4999999999999997E-3"/>
    <n v="5"/>
    <n v="12"/>
    <s v="Rebecca"/>
    <s v="Bennett"/>
    <s v="University of Houston"/>
    <n v="9"/>
    <s v="North Pacific"/>
    <n v="1.9"/>
    <s v="Category 2"/>
    <x v="0"/>
    <x v="1"/>
    <x v="1"/>
  </r>
  <r>
    <n v="2821"/>
    <s v="I"/>
    <n v="0.375"/>
    <n v="0.28499999999999998"/>
    <n v="0.09"/>
    <n v="0.2545"/>
    <n v="0.11899999999999999"/>
    <n v="5.9499999999999997E-2"/>
    <n v="6.7500000000000004E-2"/>
    <n v="6"/>
    <n v="2"/>
    <s v="Tiegan"/>
    <s v="Davie"/>
    <s v="University of California, Davis"/>
    <n v="3"/>
    <s v="Northeast"/>
    <n v="3.6"/>
    <s v="Category 2"/>
    <x v="0"/>
    <x v="1"/>
    <x v="1"/>
  </r>
  <r>
    <n v="871"/>
    <s v="M"/>
    <n v="0.61499999999999999"/>
    <n v="0.505"/>
    <n v="0.16500000000000001"/>
    <n v="1.34"/>
    <n v="0.53149999999999997"/>
    <n v="0.28149999999999997"/>
    <n v="0.41"/>
    <n v="12"/>
    <n v="13"/>
    <s v="Betty"/>
    <s v="Berg"/>
    <s v="University of Houston"/>
    <n v="4"/>
    <s v="Mid-Atlantic"/>
    <n v="6.1"/>
    <s v="Category 3"/>
    <x v="0"/>
    <x v="0"/>
    <x v="0"/>
  </r>
  <r>
    <n v="2196"/>
    <s v="I"/>
    <n v="0.26"/>
    <n v="0.215"/>
    <n v="0.08"/>
    <n v="9.9000000000000005E-2"/>
    <n v="3.6999999999999998E-2"/>
    <n v="2.5499999999999998E-2"/>
    <n v="4.4999999999999998E-2"/>
    <n v="5"/>
    <n v="2"/>
    <s v="Tiegan"/>
    <s v="Davie"/>
    <s v="University of California, Davis"/>
    <n v="8"/>
    <s v="West Coast"/>
    <n v="12.3"/>
    <s v="Category 2"/>
    <x v="0"/>
    <x v="1"/>
    <x v="1"/>
  </r>
  <r>
    <n v="619"/>
    <s v="M"/>
    <n v="0.31"/>
    <n v="0.22500000000000001"/>
    <n v="7.4999999999999997E-2"/>
    <n v="0.1295"/>
    <n v="4.5499999999999999E-2"/>
    <n v="3.3500000000000002E-2"/>
    <n v="4.3999999999999997E-2"/>
    <n v="9"/>
    <n v="7"/>
    <s v="Iona"/>
    <s v="Connolly"/>
    <s v="Florida Atlantic University"/>
    <n v="2"/>
    <s v="Florida Gulf Coast"/>
    <n v="18"/>
    <s v="Category 2"/>
    <x v="0"/>
    <x v="1"/>
    <x v="1"/>
  </r>
  <r>
    <n v="3237"/>
    <s v="I"/>
    <n v="0.34499999999999997"/>
    <n v="0.28499999999999998"/>
    <n v="0.1"/>
    <n v="0.2225"/>
    <n v="8.6499999999999994E-2"/>
    <n v="5.8000000000000003E-2"/>
    <n v="7.4999999999999997E-2"/>
    <n v="8"/>
    <n v="13"/>
    <s v="Betty"/>
    <s v="Berg"/>
    <s v="University of Houston"/>
    <n v="10"/>
    <s v="Pacific"/>
    <n v="24.1"/>
    <s v="Category 2"/>
    <x v="0"/>
    <x v="1"/>
    <x v="1"/>
  </r>
  <r>
    <n v="1082"/>
    <s v="I"/>
    <n v="0.435"/>
    <n v="0.33"/>
    <n v="0.11"/>
    <n v="0.41299999999999998"/>
    <n v="0.20549999999999999"/>
    <n v="9.6000000000000002E-2"/>
    <n v="9.6000000000000002E-2"/>
    <n v="6"/>
    <n v="6"/>
    <s v="Martin"/>
    <s v="Gaines"/>
    <s v="San Diego State University"/>
    <n v="9"/>
    <s v="North Pacific"/>
    <n v="1.9"/>
    <s v="Category 2"/>
    <x v="0"/>
    <x v="1"/>
    <x v="1"/>
  </r>
  <r>
    <n v="358"/>
    <s v="F"/>
    <n v="0.64500000000000002"/>
    <n v="0.52500000000000002"/>
    <n v="0.19"/>
    <n v="1.8085"/>
    <n v="0.70350000000000001"/>
    <n v="0.38850000000000001"/>
    <n v="0.39500000000000002"/>
    <n v="18"/>
    <n v="10"/>
    <s v="Hazel"/>
    <s v="Villa"/>
    <s v="University of Minnesota"/>
    <n v="7"/>
    <s v="Great Lakes"/>
    <n v="2.5"/>
    <s v="Category 3"/>
    <x v="0"/>
    <x v="0"/>
    <x v="0"/>
  </r>
  <r>
    <n v="3635"/>
    <s v="I"/>
    <n v="0.36"/>
    <n v="0.26500000000000001"/>
    <n v="8.5000000000000006E-2"/>
    <n v="0.1895"/>
    <n v="7.2499999999999995E-2"/>
    <n v="5.1499999999999997E-2"/>
    <n v="5.5E-2"/>
    <n v="6"/>
    <n v="14"/>
    <s v="Santiago"/>
    <s v="Vaughan"/>
    <s v="Ohio State University_x0009_"/>
    <n v="3"/>
    <s v="Northeast"/>
    <n v="3.6"/>
    <s v="Category 2"/>
    <x v="0"/>
    <x v="1"/>
    <x v="1"/>
  </r>
  <r>
    <n v="573"/>
    <s v="F"/>
    <n v="0.59"/>
    <n v="0.45500000000000002"/>
    <n v="0.155"/>
    <n v="1.0660000000000001"/>
    <n v="0.38200000000000001"/>
    <n v="0.22750000000000001"/>
    <n v="0.41499999999999998"/>
    <n v="20"/>
    <n v="2"/>
    <s v="Tiegan"/>
    <s v="Davie"/>
    <s v="University of California, Davis"/>
    <n v="4"/>
    <s v="Mid-Atlantic"/>
    <n v="6.1"/>
    <s v="Category 2"/>
    <x v="0"/>
    <x v="1"/>
    <x v="1"/>
  </r>
  <r>
    <n v="383"/>
    <s v="M"/>
    <n v="0.48499999999999999"/>
    <n v="0.4"/>
    <n v="0.13500000000000001"/>
    <n v="0.66300000000000003"/>
    <n v="0.313"/>
    <n v="0.13700000000000001"/>
    <n v="0.2"/>
    <n v="10"/>
    <n v="13"/>
    <s v="Betty"/>
    <s v="Berg"/>
    <s v="University of Houston"/>
    <n v="6"/>
    <s v="Gulf of Mexico_x0009_"/>
    <n v="14.1"/>
    <s v="Category 2"/>
    <x v="0"/>
    <x v="1"/>
    <x v="1"/>
  </r>
  <r>
    <n v="560"/>
    <s v="I"/>
    <n v="0.52"/>
    <n v="0.4"/>
    <n v="0.14499999999999999"/>
    <n v="0.66"/>
    <n v="0.26700000000000002"/>
    <n v="0.1055"/>
    <n v="0.22"/>
    <n v="13"/>
    <n v="9"/>
    <s v="Danica"/>
    <s v="Tyler"/>
    <s v="University of Florida_x0009_"/>
    <n v="10"/>
    <s v="Pacific"/>
    <n v="24.1"/>
    <s v="Category 2"/>
    <x v="0"/>
    <x v="1"/>
    <x v="1"/>
  </r>
  <r>
    <n v="4176"/>
    <s v="F"/>
    <n v="0.625"/>
    <n v="0.48499999999999999"/>
    <n v="0.15"/>
    <n v="1.0945"/>
    <n v="0.53100000000000003"/>
    <n v="0.26100000000000001"/>
    <n v="0.29599999999999999"/>
    <n v="10"/>
    <n v="9"/>
    <s v="Danica"/>
    <s v="Tyler"/>
    <s v="University of Florida_x0009_"/>
    <n v="9"/>
    <s v="North Pacific"/>
    <n v="1.9"/>
    <s v="Category 3"/>
    <x v="0"/>
    <x v="0"/>
    <x v="0"/>
  </r>
  <r>
    <n v="4171"/>
    <s v="M"/>
    <n v="0.55000000000000004"/>
    <n v="0.43"/>
    <n v="0.13"/>
    <n v="0.83950000000000002"/>
    <n v="0.3155"/>
    <n v="0.19550000000000001"/>
    <n v="0.24049999999999999"/>
    <n v="10"/>
    <n v="12"/>
    <s v="Rebecca"/>
    <s v="Bennett"/>
    <s v="University of Houston"/>
    <n v="4"/>
    <s v="Mid-Atlantic"/>
    <n v="6.1"/>
    <s v="Category 2"/>
    <x v="0"/>
    <x v="1"/>
    <x v="1"/>
  </r>
  <r>
    <n v="1525"/>
    <s v="F"/>
    <n v="0.7"/>
    <n v="0.55000000000000004"/>
    <n v="0.17"/>
    <n v="1.6839999999999999"/>
    <n v="0.75349999999999995"/>
    <n v="0.32650000000000001"/>
    <n v="0.32"/>
    <n v="11"/>
    <n v="12"/>
    <s v="Rebecca"/>
    <s v="Bennett"/>
    <s v="University of Houston"/>
    <n v="5"/>
    <s v="Southeast"/>
    <n v="12.8"/>
    <s v="Category 3"/>
    <x v="0"/>
    <x v="0"/>
    <x v="0"/>
  </r>
  <r>
    <n v="271"/>
    <s v="F"/>
    <n v="0.64"/>
    <n v="0.52500000000000002"/>
    <n v="0.215"/>
    <n v="1.7789999999999999"/>
    <n v="0.45350000000000001"/>
    <n v="0.28549999999999998"/>
    <n v="0.55000000000000004"/>
    <n v="22"/>
    <n v="4"/>
    <s v="Nate"/>
    <s v="Craig"/>
    <s v="NOAA Fisheries"/>
    <n v="4"/>
    <s v="Mid-Atlantic"/>
    <n v="6.1"/>
    <s v="Category 2"/>
    <x v="0"/>
    <x v="1"/>
    <x v="1"/>
  </r>
  <r>
    <n v="1925"/>
    <s v="F"/>
    <n v="0.61"/>
    <n v="0.46"/>
    <n v="0.155"/>
    <n v="0.95699999999999996"/>
    <n v="0.42549999999999999"/>
    <n v="0.19750000000000001"/>
    <n v="0.26500000000000001"/>
    <n v="8"/>
    <n v="2"/>
    <s v="Tiegan"/>
    <s v="Davie"/>
    <s v="University of California, Davis"/>
    <n v="1"/>
    <s v="Florida Atlantic Coast"/>
    <n v="22.1"/>
    <s v="Category 3"/>
    <x v="0"/>
    <x v="0"/>
    <x v="0"/>
  </r>
  <r>
    <n v="3071"/>
    <s v="F"/>
    <n v="0.65500000000000003"/>
    <n v="0.49"/>
    <n v="0.16"/>
    <n v="1.204"/>
    <n v="0.54549999999999998"/>
    <n v="0.26150000000000001"/>
    <n v="0.32250000000000001"/>
    <n v="9"/>
    <n v="14"/>
    <s v="Santiago"/>
    <s v="Vaughan"/>
    <s v="Ohio State University_x0009_"/>
    <n v="6"/>
    <s v="Gulf of Mexico_x0009_"/>
    <n v="14.1"/>
    <s v="Category 3"/>
    <x v="0"/>
    <x v="0"/>
    <x v="0"/>
  </r>
  <r>
    <n v="296"/>
    <s v="I"/>
    <n v="0.29499999999999998"/>
    <n v="0.215"/>
    <n v="8.5000000000000006E-2"/>
    <n v="0.128"/>
    <n v="4.9000000000000002E-2"/>
    <n v="3.4000000000000002E-2"/>
    <n v="0.04"/>
    <n v="6"/>
    <n v="13"/>
    <s v="Betty"/>
    <s v="Berg"/>
    <s v="University of Houston"/>
    <n v="9"/>
    <s v="North Pacific"/>
    <n v="1.9"/>
    <s v="Category 2"/>
    <x v="0"/>
    <x v="1"/>
    <x v="1"/>
  </r>
  <r>
    <n v="2091"/>
    <s v="M"/>
    <n v="0.77500000000000002"/>
    <n v="0.56999999999999995"/>
    <n v="0.22"/>
    <n v="2.032"/>
    <n v="0.73499999999999999"/>
    <n v="0.47549999999999998"/>
    <n v="0.65849999999999997"/>
    <n v="17"/>
    <n v="15"/>
    <s v="Conan"/>
    <s v="Dalton"/>
    <s v="University of Houston"/>
    <n v="3"/>
    <s v="Northeast"/>
    <n v="3.6"/>
    <s v="Category 1"/>
    <x v="1"/>
    <x v="0"/>
    <x v="1"/>
  </r>
  <r>
    <n v="4063"/>
    <s v="M"/>
    <n v="0.63"/>
    <n v="0.49"/>
    <n v="0.15"/>
    <n v="1.1955"/>
    <n v="0.58450000000000002"/>
    <n v="0.25700000000000001"/>
    <n v="0.3"/>
    <n v="9"/>
    <n v="15"/>
    <s v="Conan"/>
    <s v="Dalton"/>
    <s v="University of Houston"/>
    <n v="10"/>
    <s v="Pacific"/>
    <n v="24.1"/>
    <s v="Category 3"/>
    <x v="0"/>
    <x v="0"/>
    <x v="0"/>
  </r>
  <r>
    <n v="3895"/>
    <s v="M"/>
    <n v="0.495"/>
    <n v="0.38"/>
    <n v="0.13500000000000001"/>
    <n v="0.62949999999999995"/>
    <n v="0.26300000000000001"/>
    <n v="0.14249999999999999"/>
    <n v="0.215"/>
    <n v="12"/>
    <n v="7"/>
    <s v="Iona"/>
    <s v="Connolly"/>
    <s v="Florida Atlantic University"/>
    <n v="8"/>
    <s v="West Coast"/>
    <n v="12.3"/>
    <s v="Category 2"/>
    <x v="0"/>
    <x v="1"/>
    <x v="1"/>
  </r>
  <r>
    <n v="456"/>
    <s v="M"/>
    <n v="0.57499999999999996"/>
    <n v="0.47"/>
    <n v="0.14000000000000001"/>
    <n v="0.83750000000000002"/>
    <n v="0.34849999999999998"/>
    <n v="0.17349999999999999"/>
    <n v="0.24"/>
    <n v="11"/>
    <n v="1"/>
    <s v="Jan"/>
    <s v="Odom"/>
    <s v="University of Houston"/>
    <n v="3"/>
    <s v="Northeast"/>
    <n v="3.6"/>
    <s v="Category 2"/>
    <x v="0"/>
    <x v="1"/>
    <x v="1"/>
  </r>
  <r>
    <n v="1576"/>
    <s v="I"/>
    <n v="0.48499999999999999"/>
    <n v="0.375"/>
    <n v="0.13"/>
    <n v="0.60250000000000004"/>
    <n v="0.29349999999999998"/>
    <n v="0.1285"/>
    <n v="0.16"/>
    <n v="7"/>
    <n v="1"/>
    <s v="Jan"/>
    <s v="Odom"/>
    <s v="University of Houston"/>
    <n v="2"/>
    <s v="Florida Gulf Coast"/>
    <n v="18"/>
    <s v="Category 2"/>
    <x v="0"/>
    <x v="1"/>
    <x v="1"/>
  </r>
  <r>
    <n v="3371"/>
    <s v="M"/>
    <n v="0.45500000000000002"/>
    <n v="0.34499999999999997"/>
    <n v="0.125"/>
    <n v="0.44"/>
    <n v="0.16900000000000001"/>
    <n v="0.1065"/>
    <n v="0.13500000000000001"/>
    <n v="12"/>
    <n v="4"/>
    <s v="Nate"/>
    <s v="Craig"/>
    <s v="NOAA Fisheries"/>
    <n v="9"/>
    <s v="North Pacific"/>
    <n v="1.9"/>
    <s v="Category 2"/>
    <x v="0"/>
    <x v="1"/>
    <x v="1"/>
  </r>
  <r>
    <n v="89"/>
    <s v="F"/>
    <n v="0.46"/>
    <n v="0.35499999999999998"/>
    <n v="0.13"/>
    <n v="0.51700000000000002"/>
    <n v="0.2205"/>
    <n v="0.114"/>
    <n v="0.16500000000000001"/>
    <n v="9"/>
    <n v="12"/>
    <s v="Rebecca"/>
    <s v="Bennett"/>
    <s v="University of Houston"/>
    <n v="5"/>
    <s v="Southeast"/>
    <n v="12.8"/>
    <s v="Category 2"/>
    <x v="0"/>
    <x v="1"/>
    <x v="1"/>
  </r>
  <r>
    <n v="2253"/>
    <s v="F"/>
    <n v="0.56999999999999995"/>
    <n v="0.46"/>
    <n v="0.17"/>
    <n v="1.1000000000000001"/>
    <n v="0.41249999999999998"/>
    <n v="0.2205"/>
    <n v="0.38"/>
    <n v="14"/>
    <n v="4"/>
    <s v="Nate"/>
    <s v="Craig"/>
    <s v="NOAA Fisheries"/>
    <n v="6"/>
    <s v="Gulf of Mexico_x0009_"/>
    <n v="14.1"/>
    <s v="Category 3"/>
    <x v="0"/>
    <x v="0"/>
    <x v="0"/>
  </r>
  <r>
    <n v="1756"/>
    <s v="F"/>
    <n v="0.72"/>
    <n v="0.52500000000000002"/>
    <n v="0.18"/>
    <n v="1.4450000000000001"/>
    <n v="0.63100000000000001"/>
    <n v="0.32150000000000001"/>
    <n v="0.435"/>
    <n v="7"/>
    <n v="15"/>
    <s v="Conan"/>
    <s v="Dalton"/>
    <s v="University of Houston"/>
    <n v="9"/>
    <s v="North Pacific"/>
    <n v="1.9"/>
    <s v="Category 3"/>
    <x v="0"/>
    <x v="0"/>
    <x v="0"/>
  </r>
  <r>
    <n v="2974"/>
    <s v="M"/>
    <n v="0.73499999999999999"/>
    <n v="0.59"/>
    <n v="0.20499999999999999"/>
    <n v="2.0870000000000002"/>
    <n v="0.90900000000000003"/>
    <n v="0.47399999999999998"/>
    <n v="0.625"/>
    <n v="12"/>
    <n v="9"/>
    <s v="Danica"/>
    <s v="Tyler"/>
    <s v="University of Florida_x0009_"/>
    <n v="4"/>
    <s v="Mid-Atlantic"/>
    <n v="6.1"/>
    <s v="Category 3"/>
    <x v="0"/>
    <x v="0"/>
    <x v="0"/>
  </r>
  <r>
    <n v="107"/>
    <s v="F"/>
    <n v="0.54500000000000004"/>
    <n v="0.43"/>
    <n v="0.16500000000000001"/>
    <n v="0.80200000000000005"/>
    <n v="0.29349999999999998"/>
    <n v="0.183"/>
    <n v="0.28000000000000003"/>
    <n v="11"/>
    <n v="1"/>
    <s v="Jan"/>
    <s v="Odom"/>
    <s v="University of Houston"/>
    <n v="7"/>
    <s v="Great Lakes"/>
    <n v="2.5"/>
    <s v="Category 2"/>
    <x v="0"/>
    <x v="1"/>
    <x v="1"/>
  </r>
  <r>
    <n v="3517"/>
    <s v="F"/>
    <n v="0.7"/>
    <n v="0.57499999999999996"/>
    <n v="0.2"/>
    <n v="1.7364999999999999"/>
    <n v="0.77549999999999997"/>
    <n v="0.39650000000000002"/>
    <n v="0.46100000000000002"/>
    <n v="11"/>
    <n v="4"/>
    <s v="Nate"/>
    <s v="Craig"/>
    <s v="NOAA Fisheries"/>
    <n v="4"/>
    <s v="Mid-Atlantic"/>
    <n v="6.1"/>
    <s v="Category 3"/>
    <x v="0"/>
    <x v="0"/>
    <x v="0"/>
  </r>
  <r>
    <n v="453"/>
    <s v="F"/>
    <n v="0.66500000000000004"/>
    <n v="0.55500000000000005"/>
    <n v="0.19500000000000001"/>
    <n v="1.4384999999999999"/>
    <n v="0.58099999999999996"/>
    <n v="0.35399999999999998"/>
    <n v="0.36"/>
    <n v="17"/>
    <n v="4"/>
    <s v="Nate"/>
    <s v="Craig"/>
    <s v="NOAA Fisheries"/>
    <n v="4"/>
    <s v="Mid-Atlantic"/>
    <n v="6.1"/>
    <s v="Category 3"/>
    <x v="0"/>
    <x v="0"/>
    <x v="0"/>
  </r>
  <r>
    <n v="2420"/>
    <s v="F"/>
    <n v="0.46500000000000002"/>
    <n v="0.36"/>
    <n v="0.12"/>
    <n v="0.47649999999999998"/>
    <n v="0.192"/>
    <n v="0.1125"/>
    <n v="0.16"/>
    <n v="10"/>
    <n v="14"/>
    <s v="Santiago"/>
    <s v="Vaughan"/>
    <s v="Ohio State University_x0009_"/>
    <n v="5"/>
    <s v="Southeast"/>
    <n v="12.8"/>
    <s v="Category 2"/>
    <x v="0"/>
    <x v="1"/>
    <x v="1"/>
  </r>
  <r>
    <n v="710"/>
    <s v="I"/>
    <n v="0.29499999999999998"/>
    <n v="0.22500000000000001"/>
    <n v="0.09"/>
    <n v="0.1105"/>
    <n v="4.0500000000000001E-2"/>
    <n v="2.4500000000000001E-2"/>
    <n v="3.2000000000000001E-2"/>
    <n v="7"/>
    <n v="13"/>
    <s v="Betty"/>
    <s v="Berg"/>
    <s v="University of Houston"/>
    <n v="7"/>
    <s v="Great Lakes"/>
    <n v="2.5"/>
    <s v="Category 2"/>
    <x v="0"/>
    <x v="1"/>
    <x v="1"/>
  </r>
  <r>
    <n v="954"/>
    <s v="F"/>
    <n v="0.48499999999999999"/>
    <n v="0.37"/>
    <n v="0.115"/>
    <n v="0.47849999999999998"/>
    <n v="0.19950000000000001"/>
    <n v="9.5500000000000002E-2"/>
    <n v="0.129"/>
    <n v="7"/>
    <n v="9"/>
    <s v="Danica"/>
    <s v="Tyler"/>
    <s v="University of Florida_x0009_"/>
    <n v="4"/>
    <s v="Mid-Atlantic"/>
    <n v="6.1"/>
    <s v="Category 2"/>
    <x v="0"/>
    <x v="1"/>
    <x v="1"/>
  </r>
  <r>
    <n v="44"/>
    <s v="I"/>
    <n v="0.20499999999999999"/>
    <n v="0.15"/>
    <n v="5.5E-2"/>
    <n v="4.2000000000000003E-2"/>
    <n v="2.5499999999999998E-2"/>
    <n v="1.4999999999999999E-2"/>
    <n v="1.2E-2"/>
    <n v="5"/>
    <n v="7"/>
    <s v="Iona"/>
    <s v="Connolly"/>
    <s v="Florida Atlantic University"/>
    <n v="4"/>
    <s v="Mid-Atlantic"/>
    <n v="6.1"/>
    <s v="Category 2"/>
    <x v="0"/>
    <x v="1"/>
    <x v="1"/>
  </r>
  <r>
    <n v="3568"/>
    <s v="I"/>
    <n v="0.57999999999999996"/>
    <n v="0.46"/>
    <n v="0.14000000000000001"/>
    <n v="0.92649999999999999"/>
    <n v="0.41349999999999998"/>
    <n v="0.1845"/>
    <n v="0.27"/>
    <n v="10"/>
    <n v="13"/>
    <s v="Betty"/>
    <s v="Berg"/>
    <s v="University of Houston"/>
    <n v="4"/>
    <s v="Mid-Atlantic"/>
    <n v="6.1"/>
    <s v="Category 3"/>
    <x v="0"/>
    <x v="0"/>
    <x v="0"/>
  </r>
  <r>
    <n v="3813"/>
    <s v="F"/>
    <n v="0.61"/>
    <n v="0.49"/>
    <n v="0.17"/>
    <n v="1.137"/>
    <n v="0.46050000000000002"/>
    <n v="0.28249999999999997"/>
    <n v="0.34399999999999997"/>
    <n v="12"/>
    <n v="7"/>
    <s v="Iona"/>
    <s v="Connolly"/>
    <s v="Florida Atlantic University"/>
    <n v="8"/>
    <s v="West Coast"/>
    <n v="12.3"/>
    <s v="Category 3"/>
    <x v="0"/>
    <x v="0"/>
    <x v="0"/>
  </r>
  <r>
    <n v="914"/>
    <s v="I"/>
    <n v="0.37"/>
    <n v="0.28999999999999998"/>
    <n v="9.5000000000000001E-2"/>
    <n v="0.249"/>
    <n v="0.1045"/>
    <n v="5.8000000000000003E-2"/>
    <n v="6.7000000000000004E-2"/>
    <n v="6"/>
    <n v="1"/>
    <s v="Jan"/>
    <s v="Odom"/>
    <s v="University of Houston"/>
    <n v="2"/>
    <s v="Florida Gulf Coast"/>
    <n v="18"/>
    <s v="Category 2"/>
    <x v="0"/>
    <x v="1"/>
    <x v="1"/>
  </r>
  <r>
    <n v="2175"/>
    <s v="F"/>
    <n v="0.64500000000000002"/>
    <n v="0.5"/>
    <n v="0.17"/>
    <n v="1.1845000000000001"/>
    <n v="0.48049999999999998"/>
    <n v="0.27400000000000002"/>
    <n v="0.35499999999999998"/>
    <n v="13"/>
    <n v="3"/>
    <s v="Inaya"/>
    <s v="Bernard"/>
    <s v="Stanford University"/>
    <n v="9"/>
    <s v="North Pacific"/>
    <n v="1.9"/>
    <s v="Category 3"/>
    <x v="0"/>
    <x v="0"/>
    <x v="0"/>
  </r>
  <r>
    <n v="136"/>
    <s v="F"/>
    <n v="0.42499999999999999"/>
    <n v="0.33"/>
    <n v="0.115"/>
    <n v="0.40600000000000003"/>
    <n v="0.16350000000000001"/>
    <n v="8.1000000000000003E-2"/>
    <n v="0.13550000000000001"/>
    <n v="8"/>
    <n v="11"/>
    <s v="Naima"/>
    <s v="Reyes"/>
    <s v="University of Houston"/>
    <n v="5"/>
    <s v="Southeast"/>
    <n v="12.8"/>
    <s v="Category 2"/>
    <x v="0"/>
    <x v="1"/>
    <x v="1"/>
  </r>
  <r>
    <n v="1893"/>
    <s v="M"/>
    <n v="0.56499999999999995"/>
    <n v="0.45"/>
    <n v="0.16"/>
    <n v="0.89500000000000002"/>
    <n v="0.41499999999999998"/>
    <n v="0.19500000000000001"/>
    <n v="0.246"/>
    <n v="9"/>
    <n v="10"/>
    <s v="Hazel"/>
    <s v="Villa"/>
    <s v="University of Minnesota"/>
    <n v="5"/>
    <s v="Southeast"/>
    <n v="12.8"/>
    <s v="Category 3"/>
    <x v="0"/>
    <x v="0"/>
    <x v="0"/>
  </r>
  <r>
    <n v="1558"/>
    <s v="I"/>
    <n v="0.42499999999999999"/>
    <n v="0.32500000000000001"/>
    <n v="0.11"/>
    <n v="0.317"/>
    <n v="0.13500000000000001"/>
    <n v="4.8000000000000001E-2"/>
    <n v="0.09"/>
    <n v="8"/>
    <n v="14"/>
    <s v="Santiago"/>
    <s v="Vaughan"/>
    <s v="Ohio State University_x0009_"/>
    <n v="1"/>
    <s v="Florida Atlantic Coast"/>
    <n v="22.1"/>
    <s v="Category 2"/>
    <x v="0"/>
    <x v="1"/>
    <x v="1"/>
  </r>
  <r>
    <n v="1135"/>
    <s v="F"/>
    <n v="0.56999999999999995"/>
    <n v="0.44500000000000001"/>
    <n v="0.14499999999999999"/>
    <n v="0.87749999999999995"/>
    <n v="0.41199999999999998"/>
    <n v="0.217"/>
    <n v="0.22"/>
    <n v="8"/>
    <n v="5"/>
    <s v="Haniya"/>
    <s v="Talley"/>
    <s v="Prince William Sound Science Center"/>
    <n v="8"/>
    <s v="West Coast"/>
    <n v="12.3"/>
    <s v="Category 3"/>
    <x v="0"/>
    <x v="0"/>
    <x v="0"/>
  </r>
  <r>
    <n v="1974"/>
    <s v="M"/>
    <n v="0.68"/>
    <n v="0.54"/>
    <n v="0.155"/>
    <n v="1.534"/>
    <n v="0.67100000000000004"/>
    <n v="0.379"/>
    <n v="0.38400000000000001"/>
    <n v="10"/>
    <n v="5"/>
    <s v="Haniya"/>
    <s v="Talley"/>
    <s v="Prince William Sound Science Center"/>
    <n v="10"/>
    <s v="Pacific"/>
    <n v="24.1"/>
    <s v="Category 3"/>
    <x v="0"/>
    <x v="0"/>
    <x v="0"/>
  </r>
  <r>
    <n v="2453"/>
    <s v="M"/>
    <n v="0.39500000000000002"/>
    <n v="0.30499999999999999"/>
    <n v="0.105"/>
    <n v="0.28199999999999997"/>
    <n v="9.7500000000000003E-2"/>
    <n v="6.5000000000000002E-2"/>
    <n v="9.6000000000000002E-2"/>
    <n v="9"/>
    <n v="2"/>
    <s v="Tiegan"/>
    <s v="Davie"/>
    <s v="University of California, Davis"/>
    <n v="1"/>
    <s v="Florida Atlantic Coast"/>
    <n v="22.1"/>
    <s v="Category 2"/>
    <x v="0"/>
    <x v="1"/>
    <x v="1"/>
  </r>
  <r>
    <n v="3461"/>
    <s v="M"/>
    <n v="0.62"/>
    <n v="0.48499999999999999"/>
    <n v="0.16500000000000001"/>
    <n v="1.1325000000000001"/>
    <n v="0.52349999999999997"/>
    <n v="0.2505"/>
    <n v="0.28249999999999997"/>
    <n v="9"/>
    <n v="14"/>
    <s v="Santiago"/>
    <s v="Vaughan"/>
    <s v="Ohio State University_x0009_"/>
    <n v="3"/>
    <s v="Northeast"/>
    <n v="3.6"/>
    <s v="Category 3"/>
    <x v="0"/>
    <x v="0"/>
    <x v="0"/>
  </r>
  <r>
    <n v="1965"/>
    <s v="F"/>
    <n v="0.66"/>
    <n v="0.53500000000000003"/>
    <n v="0.20499999999999999"/>
    <n v="1.4415"/>
    <n v="0.59250000000000003"/>
    <n v="0.27750000000000002"/>
    <n v="0.49"/>
    <n v="10"/>
    <n v="5"/>
    <s v="Haniya"/>
    <s v="Talley"/>
    <s v="Prince William Sound Science Center"/>
    <n v="10"/>
    <s v="Pacific"/>
    <n v="24.1"/>
    <s v="Category 3"/>
    <x v="0"/>
    <x v="0"/>
    <x v="0"/>
  </r>
  <r>
    <n v="3717"/>
    <s v="I"/>
    <n v="0.23499999999999999"/>
    <n v="0.13"/>
    <n v="7.4999999999999997E-2"/>
    <n v="0.1585"/>
    <n v="6.8500000000000005E-2"/>
    <n v="3.6999999999999998E-2"/>
    <n v="4.65E-2"/>
    <n v="5"/>
    <n v="10"/>
    <s v="Hazel"/>
    <s v="Villa"/>
    <s v="University of Minnesota"/>
    <n v="5"/>
    <s v="Southeast"/>
    <n v="12.8"/>
    <s v="Category 2"/>
    <x v="0"/>
    <x v="1"/>
    <x v="1"/>
  </r>
  <r>
    <n v="153"/>
    <s v="F"/>
    <n v="0.63500000000000001"/>
    <n v="0.51500000000000001"/>
    <n v="0.19"/>
    <n v="1.3714999999999999"/>
    <n v="0.50649999999999995"/>
    <n v="0.30499999999999999"/>
    <n v="0.45"/>
    <n v="10"/>
    <n v="11"/>
    <s v="Naima"/>
    <s v="Reyes"/>
    <s v="University of Houston"/>
    <n v="1"/>
    <s v="Florida Atlantic Coast"/>
    <n v="22.1"/>
    <s v="Category 3"/>
    <x v="0"/>
    <x v="0"/>
    <x v="0"/>
  </r>
  <r>
    <n v="4001"/>
    <s v="I"/>
    <n v="0.45500000000000002"/>
    <n v="0.35"/>
    <n v="0.13500000000000001"/>
    <n v="0.53649999999999998"/>
    <n v="0.28549999999999998"/>
    <n v="8.5500000000000007E-2"/>
    <n v="0.13250000000000001"/>
    <n v="7"/>
    <n v="13"/>
    <s v="Betty"/>
    <s v="Berg"/>
    <s v="University of Houston"/>
    <n v="6"/>
    <s v="Gulf of Mexico_x0009_"/>
    <n v="14.1"/>
    <s v="Category 2"/>
    <x v="0"/>
    <x v="1"/>
    <x v="1"/>
  </r>
  <r>
    <n v="3870"/>
    <s v="F"/>
    <n v="0.49"/>
    <n v="0.38500000000000001"/>
    <n v="0.16"/>
    <n v="0.65600000000000003"/>
    <n v="0.2455"/>
    <n v="0.17100000000000001"/>
    <n v="0.20499999999999999"/>
    <n v="9"/>
    <n v="6"/>
    <s v="Martin"/>
    <s v="Gaines"/>
    <s v="San Diego State University"/>
    <n v="1"/>
    <s v="Florida Atlantic Coast"/>
    <n v="22.1"/>
    <s v="Category 2"/>
    <x v="0"/>
    <x v="1"/>
    <x v="1"/>
  </r>
  <r>
    <n v="1759"/>
    <s v="M"/>
    <n v="0.73499999999999999"/>
    <n v="0.59"/>
    <n v="0.215"/>
    <n v="1.7470000000000001"/>
    <n v="0.72750000000000004"/>
    <n v="0.40300000000000002"/>
    <n v="0.55700000000000005"/>
    <n v="11"/>
    <n v="3"/>
    <s v="Inaya"/>
    <s v="Bernard"/>
    <s v="Stanford University"/>
    <n v="6"/>
    <s v="Gulf of Mexico_x0009_"/>
    <n v="14.1"/>
    <s v="Category 3"/>
    <x v="0"/>
    <x v="0"/>
    <x v="0"/>
  </r>
  <r>
    <n v="2868"/>
    <s v="I"/>
    <n v="0.32500000000000001"/>
    <n v="0.25"/>
    <n v="7.4999999999999997E-2"/>
    <n v="0.1585"/>
    <n v="7.4999999999999997E-2"/>
    <n v="3.0499999999999999E-2"/>
    <n v="4.5499999999999999E-2"/>
    <n v="6"/>
    <n v="2"/>
    <s v="Tiegan"/>
    <s v="Davie"/>
    <s v="University of California, Davis"/>
    <n v="3"/>
    <s v="Northeast"/>
    <n v="3.6"/>
    <s v="Category 2"/>
    <x v="0"/>
    <x v="1"/>
    <x v="1"/>
  </r>
  <r>
    <n v="2880"/>
    <s v="I"/>
    <n v="0.47"/>
    <n v="0.38500000000000001"/>
    <n v="0.13"/>
    <n v="0.58699999999999997"/>
    <n v="0.26400000000000001"/>
    <n v="0.11700000000000001"/>
    <n v="0.17399999999999999"/>
    <n v="8"/>
    <n v="2"/>
    <s v="Tiegan"/>
    <s v="Davie"/>
    <s v="University of California, Davis"/>
    <n v="10"/>
    <s v="Pacific"/>
    <n v="24.1"/>
    <s v="Category 2"/>
    <x v="0"/>
    <x v="1"/>
    <x v="1"/>
  </r>
  <r>
    <n v="2157"/>
    <s v="M"/>
    <n v="0.61"/>
    <n v="0.5"/>
    <n v="0.16500000000000001"/>
    <n v="1.2715000000000001"/>
    <n v="0.49149999999999999"/>
    <n v="0.185"/>
    <n v="0.49"/>
    <n v="12"/>
    <n v="13"/>
    <s v="Betty"/>
    <s v="Berg"/>
    <s v="University of Houston"/>
    <n v="3"/>
    <s v="Northeast"/>
    <n v="3.6"/>
    <s v="Category 3"/>
    <x v="0"/>
    <x v="0"/>
    <x v="0"/>
  </r>
  <r>
    <n v="4056"/>
    <s v="F"/>
    <n v="0.64500000000000002"/>
    <n v="0.5"/>
    <n v="0.15"/>
    <n v="1.159"/>
    <n v="0.46750000000000003"/>
    <n v="0.33550000000000002"/>
    <n v="0.31"/>
    <n v="9"/>
    <n v="15"/>
    <s v="Conan"/>
    <s v="Dalton"/>
    <s v="University of Houston"/>
    <n v="9"/>
    <s v="North Pacific"/>
    <n v="1.9"/>
    <s v="Category 3"/>
    <x v="0"/>
    <x v="0"/>
    <x v="0"/>
  </r>
  <r>
    <n v="287"/>
    <s v="M"/>
    <n v="0.53"/>
    <n v="0.435"/>
    <n v="0.155"/>
    <n v="0.69899999999999995"/>
    <n v="0.28799999999999998"/>
    <n v="0.1595"/>
    <n v="0.20499999999999999"/>
    <n v="10"/>
    <n v="12"/>
    <s v="Rebecca"/>
    <s v="Bennett"/>
    <s v="University of Houston"/>
    <n v="9"/>
    <s v="North Pacific"/>
    <n v="1.9"/>
    <s v="Category 2"/>
    <x v="0"/>
    <x v="1"/>
    <x v="1"/>
  </r>
  <r>
    <n v="1751"/>
    <s v="F"/>
    <n v="0.71"/>
    <n v="0.56999999999999995"/>
    <n v="0.19500000000000001"/>
    <n v="1.9804999999999999"/>
    <n v="0.99250000000000005"/>
    <n v="0.49249999999999999"/>
    <n v="0.48"/>
    <n v="12"/>
    <n v="5"/>
    <s v="Haniya"/>
    <s v="Talley"/>
    <s v="Prince William Sound Science Center"/>
    <n v="9"/>
    <s v="North Pacific"/>
    <n v="1.9"/>
    <s v="Category 3"/>
    <x v="0"/>
    <x v="0"/>
    <x v="0"/>
  </r>
  <r>
    <n v="674"/>
    <s v="M"/>
    <n v="0.49"/>
    <n v="0.39"/>
    <n v="0.15"/>
    <n v="0.57299999999999995"/>
    <n v="0.22500000000000001"/>
    <n v="0.124"/>
    <n v="0.17"/>
    <n v="21"/>
    <n v="10"/>
    <s v="Hazel"/>
    <s v="Villa"/>
    <s v="University of Minnesota"/>
    <n v="7"/>
    <s v="Great Lakes"/>
    <n v="2.5"/>
    <s v="Category 2"/>
    <x v="0"/>
    <x v="1"/>
    <x v="1"/>
  </r>
  <r>
    <n v="826"/>
    <s v="I"/>
    <n v="0.39500000000000002"/>
    <n v="0.28999999999999998"/>
    <n v="9.5000000000000001E-2"/>
    <n v="0.31900000000000001"/>
    <n v="0.13800000000000001"/>
    <n v="0.08"/>
    <n v="8.2000000000000003E-2"/>
    <n v="7"/>
    <n v="13"/>
    <s v="Betty"/>
    <s v="Berg"/>
    <s v="University of Houston"/>
    <n v="3"/>
    <s v="Northeast"/>
    <n v="3.6"/>
    <s v="Category 2"/>
    <x v="0"/>
    <x v="1"/>
    <x v="1"/>
  </r>
  <r>
    <n v="228"/>
    <s v="I"/>
    <n v="0.36499999999999999"/>
    <n v="0.27"/>
    <n v="8.5000000000000006E-2"/>
    <n v="0.20499999999999999"/>
    <n v="7.8E-2"/>
    <n v="4.8500000000000001E-2"/>
    <n v="7.0000000000000007E-2"/>
    <n v="7"/>
    <n v="2"/>
    <s v="Tiegan"/>
    <s v="Davie"/>
    <s v="University of California, Davis"/>
    <n v="4"/>
    <s v="Mid-Atlantic"/>
    <n v="6.1"/>
    <s v="Category 2"/>
    <x v="0"/>
    <x v="1"/>
    <x v="1"/>
  </r>
  <r>
    <n v="1633"/>
    <s v="M"/>
    <n v="0.57499999999999996"/>
    <n v="0.45500000000000002"/>
    <n v="0.16500000000000001"/>
    <n v="0.86699999999999999"/>
    <n v="0.3765"/>
    <n v="0.18049999999999999"/>
    <n v="0.26800000000000002"/>
    <n v="8"/>
    <n v="3"/>
    <s v="Inaya"/>
    <s v="Bernard"/>
    <s v="Stanford University"/>
    <n v="8"/>
    <s v="West Coast"/>
    <n v="12.3"/>
    <s v="Category 2"/>
    <x v="0"/>
    <x v="1"/>
    <x v="1"/>
  </r>
  <r>
    <n v="3767"/>
    <s v="F"/>
    <n v="0.55500000000000005"/>
    <n v="0.44"/>
    <n v="0.14000000000000001"/>
    <n v="0.84599999999999997"/>
    <n v="0.34599999999999997"/>
    <n v="0.17150000000000001"/>
    <n v="0.27350000000000002"/>
    <n v="10"/>
    <n v="3"/>
    <s v="Inaya"/>
    <s v="Bernard"/>
    <s v="Stanford University"/>
    <n v="2"/>
    <s v="Florida Gulf Coast"/>
    <n v="18"/>
    <s v="Category 2"/>
    <x v="0"/>
    <x v="1"/>
    <x v="1"/>
  </r>
  <r>
    <n v="1207"/>
    <s v="F"/>
    <n v="0.75"/>
    <n v="0.56999999999999995"/>
    <n v="0.21"/>
    <n v="2.2360000000000002"/>
    <n v="1.109"/>
    <n v="0.51949999999999996"/>
    <n v="0.54500000000000004"/>
    <n v="11"/>
    <n v="10"/>
    <s v="Hazel"/>
    <s v="Villa"/>
    <s v="University of Minnesota"/>
    <n v="10"/>
    <s v="Pacific"/>
    <n v="24.1"/>
    <s v="Category 3"/>
    <x v="0"/>
    <x v="0"/>
    <x v="0"/>
  </r>
  <r>
    <n v="1338"/>
    <s v="M"/>
    <n v="0.57999999999999996"/>
    <n v="0.46"/>
    <n v="0.155"/>
    <n v="1.4395"/>
    <n v="0.67149999999999999"/>
    <n v="0.27300000000000002"/>
    <n v="0.29549999999999998"/>
    <n v="10"/>
    <n v="11"/>
    <s v="Naima"/>
    <s v="Reyes"/>
    <s v="University of Houston"/>
    <n v="10"/>
    <s v="Pacific"/>
    <n v="24.1"/>
    <s v="Category 3"/>
    <x v="0"/>
    <x v="0"/>
    <x v="0"/>
  </r>
  <r>
    <n v="3572"/>
    <s v="F"/>
    <n v="0.58499999999999996"/>
    <n v="0.46500000000000002"/>
    <n v="0.16500000000000001"/>
    <n v="0.9355"/>
    <n v="0.40350000000000003"/>
    <n v="0.22750000000000001"/>
    <n v="0.25900000000000001"/>
    <n v="9"/>
    <n v="8"/>
    <s v="Kali"/>
    <s v="Metcalfe"/>
    <s v="Mote Marine Laboratory"/>
    <n v="6"/>
    <s v="Gulf of Mexico_x0009_"/>
    <n v="14.1"/>
    <s v="Category 3"/>
    <x v="0"/>
    <x v="0"/>
    <x v="0"/>
  </r>
  <r>
    <n v="796"/>
    <s v="M"/>
    <n v="0.51500000000000001"/>
    <n v="0.40500000000000003"/>
    <n v="0.14499999999999999"/>
    <n v="0.69499999999999995"/>
    <n v="0.215"/>
    <n v="0.16350000000000001"/>
    <n v="0.23400000000000001"/>
    <n v="15"/>
    <n v="14"/>
    <s v="Santiago"/>
    <s v="Vaughan"/>
    <s v="Ohio State University_x0009_"/>
    <n v="10"/>
    <s v="Pacific"/>
    <n v="24.1"/>
    <s v="Category 2"/>
    <x v="0"/>
    <x v="1"/>
    <x v="1"/>
  </r>
  <r>
    <n v="1858"/>
    <s v="I"/>
    <n v="0.505"/>
    <n v="0.4"/>
    <n v="0.14499999999999999"/>
    <n v="0.70450000000000002"/>
    <n v="0.33400000000000002"/>
    <n v="0.14249999999999999"/>
    <n v="0.20699999999999999"/>
    <n v="8"/>
    <n v="10"/>
    <s v="Hazel"/>
    <s v="Villa"/>
    <s v="University of Minnesota"/>
    <n v="9"/>
    <s v="North Pacific"/>
    <n v="1.9"/>
    <s v="Category 2"/>
    <x v="0"/>
    <x v="1"/>
    <x v="1"/>
  </r>
  <r>
    <n v="2574"/>
    <s v="I"/>
    <n v="0.47499999999999998"/>
    <n v="0.35499999999999998"/>
    <n v="0.105"/>
    <n v="0.46800000000000003"/>
    <n v="0.20100000000000001"/>
    <n v="0.1115"/>
    <n v="0.12"/>
    <n v="8"/>
    <n v="2"/>
    <s v="Tiegan"/>
    <s v="Davie"/>
    <s v="University of California, Davis"/>
    <n v="10"/>
    <s v="Pacific"/>
    <n v="24.1"/>
    <s v="Category 2"/>
    <x v="0"/>
    <x v="1"/>
    <x v="1"/>
  </r>
  <r>
    <n v="3404"/>
    <s v="I"/>
    <n v="0.35"/>
    <n v="0.26500000000000001"/>
    <n v="0.11"/>
    <n v="0.20899999999999999"/>
    <n v="6.6000000000000003E-2"/>
    <n v="5.8999999999999997E-2"/>
    <n v="7.4999999999999997E-2"/>
    <n v="9"/>
    <n v="11"/>
    <s v="Naima"/>
    <s v="Reyes"/>
    <s v="University of Houston"/>
    <n v="7"/>
    <s v="Great Lakes"/>
    <n v="2.5"/>
    <s v="Category 2"/>
    <x v="0"/>
    <x v="1"/>
    <x v="1"/>
  </r>
  <r>
    <n v="270"/>
    <s v="F"/>
    <n v="0.45"/>
    <n v="0.36"/>
    <n v="0.125"/>
    <n v="0.4995"/>
    <n v="0.20349999999999999"/>
    <n v="0.1"/>
    <n v="0.17"/>
    <n v="13"/>
    <n v="6"/>
    <s v="Martin"/>
    <s v="Gaines"/>
    <s v="San Diego State University"/>
    <n v="9"/>
    <s v="North Pacific"/>
    <n v="1.9"/>
    <s v="Category 2"/>
    <x v="0"/>
    <x v="1"/>
    <x v="1"/>
  </r>
  <r>
    <n v="852"/>
    <s v="M"/>
    <n v="0.55500000000000005"/>
    <n v="0.435"/>
    <n v="0.14499999999999999"/>
    <n v="0.96850000000000003"/>
    <n v="0.4985"/>
    <n v="0.16800000000000001"/>
    <n v="0.23849999999999999"/>
    <n v="9"/>
    <n v="6"/>
    <s v="Martin"/>
    <s v="Gaines"/>
    <s v="San Diego State University"/>
    <n v="8"/>
    <s v="West Coast"/>
    <n v="12.3"/>
    <s v="Category 3"/>
    <x v="0"/>
    <x v="0"/>
    <x v="0"/>
  </r>
  <r>
    <n v="440"/>
    <s v="M"/>
    <n v="0.5"/>
    <n v="0.41499999999999998"/>
    <n v="0.16500000000000001"/>
    <n v="0.6885"/>
    <n v="0.249"/>
    <n v="0.13800000000000001"/>
    <n v="0.25"/>
    <n v="13"/>
    <n v="15"/>
    <s v="Conan"/>
    <s v="Dalton"/>
    <s v="University of Houston"/>
    <n v="10"/>
    <s v="Pacific"/>
    <n v="24.1"/>
    <s v="Category 2"/>
    <x v="0"/>
    <x v="1"/>
    <x v="1"/>
  </r>
  <r>
    <n v="1604"/>
    <s v="I"/>
    <n v="0.54"/>
    <n v="0.43"/>
    <n v="0.14000000000000001"/>
    <n v="0.81950000000000001"/>
    <n v="0.39350000000000002"/>
    <n v="0.17249999999999999"/>
    <n v="0.22950000000000001"/>
    <n v="9"/>
    <n v="1"/>
    <s v="Jan"/>
    <s v="Odom"/>
    <s v="University of Houston"/>
    <n v="3"/>
    <s v="Northeast"/>
    <n v="3.6"/>
    <s v="Category 2"/>
    <x v="0"/>
    <x v="1"/>
    <x v="1"/>
  </r>
  <r>
    <n v="1895"/>
    <s v="M"/>
    <n v="0.56999999999999995"/>
    <n v="0.46"/>
    <n v="0.155"/>
    <n v="1.0004999999999999"/>
    <n v="0.45400000000000001"/>
    <n v="0.20499999999999999"/>
    <n v="0.26500000000000001"/>
    <n v="11"/>
    <n v="11"/>
    <s v="Naima"/>
    <s v="Reyes"/>
    <s v="University of Houston"/>
    <n v="5"/>
    <s v="Southeast"/>
    <n v="12.8"/>
    <s v="Category 3"/>
    <x v="0"/>
    <x v="0"/>
    <x v="0"/>
  </r>
  <r>
    <n v="227"/>
    <s v="F"/>
    <n v="0.39"/>
    <n v="0.28999999999999998"/>
    <n v="0.125"/>
    <n v="0.30549999999999999"/>
    <n v="0.121"/>
    <n v="8.2000000000000003E-2"/>
    <n v="0.09"/>
    <n v="7"/>
    <n v="6"/>
    <s v="Martin"/>
    <s v="Gaines"/>
    <s v="San Diego State University"/>
    <n v="1"/>
    <s v="Florida Atlantic Coast"/>
    <n v="22.1"/>
    <s v="Category 2"/>
    <x v="0"/>
    <x v="1"/>
    <x v="1"/>
  </r>
  <r>
    <n v="113"/>
    <s v="I"/>
    <n v="0.435"/>
    <n v="0.32"/>
    <n v="0.08"/>
    <n v="0.33250000000000002"/>
    <n v="0.14849999999999999"/>
    <n v="6.3500000000000001E-2"/>
    <n v="0.105"/>
    <n v="9"/>
    <n v="7"/>
    <s v="Iona"/>
    <s v="Connolly"/>
    <s v="Florida Atlantic University"/>
    <n v="9"/>
    <s v="North Pacific"/>
    <n v="1.9"/>
    <s v="Category 2"/>
    <x v="0"/>
    <x v="1"/>
    <x v="1"/>
  </r>
  <r>
    <n v="645"/>
    <s v="M"/>
    <n v="0.45"/>
    <n v="0.34"/>
    <n v="0.13"/>
    <n v="0.3715"/>
    <n v="0.1605"/>
    <n v="7.9500000000000001E-2"/>
    <n v="0.105"/>
    <n v="9"/>
    <n v="6"/>
    <s v="Martin"/>
    <s v="Gaines"/>
    <s v="San Diego State University"/>
    <n v="7"/>
    <s v="Great Lakes"/>
    <n v="2.5"/>
    <s v="Category 2"/>
    <x v="0"/>
    <x v="1"/>
    <x v="1"/>
  </r>
  <r>
    <n v="1618"/>
    <s v="I"/>
    <n v="0.55500000000000005"/>
    <n v="0.435"/>
    <n v="0.14000000000000001"/>
    <n v="0.76500000000000001"/>
    <n v="0.39450000000000002"/>
    <n v="0.15"/>
    <n v="0.20599999999999999"/>
    <n v="8"/>
    <n v="5"/>
    <s v="Haniya"/>
    <s v="Talley"/>
    <s v="Prince William Sound Science Center"/>
    <n v="3"/>
    <s v="Northeast"/>
    <n v="3.6"/>
    <s v="Category 2"/>
    <x v="0"/>
    <x v="1"/>
    <x v="1"/>
  </r>
  <r>
    <n v="4173"/>
    <s v="F"/>
    <n v="0.56499999999999995"/>
    <n v="0.45"/>
    <n v="0.16500000000000001"/>
    <n v="0.88700000000000001"/>
    <n v="0.37"/>
    <n v="0.23899999999999999"/>
    <n v="0.249"/>
    <n v="11"/>
    <n v="15"/>
    <s v="Conan"/>
    <s v="Dalton"/>
    <s v="University of Houston"/>
    <n v="6"/>
    <s v="Gulf of Mexico_x0009_"/>
    <n v="14.1"/>
    <s v="Category 2"/>
    <x v="0"/>
    <x v="1"/>
    <x v="1"/>
  </r>
  <r>
    <n v="275"/>
    <s v="M"/>
    <n v="0.63"/>
    <n v="0.51500000000000001"/>
    <n v="0.155"/>
    <n v="1.2589999999999999"/>
    <n v="0.41049999999999998"/>
    <n v="0.19700000000000001"/>
    <n v="0.41"/>
    <n v="13"/>
    <n v="1"/>
    <s v="Jan"/>
    <s v="Odom"/>
    <s v="University of Houston"/>
    <n v="8"/>
    <s v="West Coast"/>
    <n v="12.3"/>
    <s v="Category 3"/>
    <x v="0"/>
    <x v="0"/>
    <x v="0"/>
  </r>
  <r>
    <n v="178"/>
    <s v="I"/>
    <n v="0.315"/>
    <n v="0.245"/>
    <n v="8.5000000000000006E-2"/>
    <n v="0.14349999999999999"/>
    <n v="5.2999999999999999E-2"/>
    <n v="4.7500000000000001E-2"/>
    <n v="0.05"/>
    <n v="8"/>
    <n v="5"/>
    <s v="Haniya"/>
    <s v="Talley"/>
    <s v="Prince William Sound Science Center"/>
    <n v="10"/>
    <s v="Pacific"/>
    <n v="24.1"/>
    <s v="Category 2"/>
    <x v="0"/>
    <x v="1"/>
    <x v="1"/>
  </r>
  <r>
    <n v="3998"/>
    <s v="I"/>
    <n v="0.36"/>
    <n v="0.27"/>
    <n v="0.09"/>
    <n v="0.20749999999999999"/>
    <n v="9.8000000000000004E-2"/>
    <n v="3.9E-2"/>
    <n v="6.2E-2"/>
    <n v="6"/>
    <n v="12"/>
    <s v="Rebecca"/>
    <s v="Bennett"/>
    <s v="University of Houston"/>
    <n v="6"/>
    <s v="Gulf of Mexico_x0009_"/>
    <n v="14.1"/>
    <s v="Category 2"/>
    <x v="0"/>
    <x v="1"/>
    <x v="1"/>
  </r>
  <r>
    <n v="2952"/>
    <s v="M"/>
    <n v="0.64"/>
    <n v="0.57499999999999996"/>
    <n v="0.17499999999999999"/>
    <n v="1.4584999999999999"/>
    <n v="0.625"/>
    <n v="0.26600000000000001"/>
    <n v="0.4395"/>
    <n v="11"/>
    <n v="12"/>
    <s v="Rebecca"/>
    <s v="Bennett"/>
    <s v="University of Houston"/>
    <n v="9"/>
    <s v="North Pacific"/>
    <n v="1.9"/>
    <s v="Category 3"/>
    <x v="0"/>
    <x v="0"/>
    <x v="0"/>
  </r>
  <r>
    <n v="1569"/>
    <s v="I"/>
    <n v="0.47"/>
    <n v="0.35499999999999998"/>
    <n v="0.125"/>
    <n v="0.499"/>
    <n v="0.21"/>
    <n v="9.8500000000000004E-2"/>
    <n v="0.155"/>
    <n v="8"/>
    <n v="13"/>
    <s v="Betty"/>
    <s v="Berg"/>
    <s v="University of Houston"/>
    <n v="6"/>
    <s v="Gulf of Mexico_x0009_"/>
    <n v="14.1"/>
    <s v="Category 2"/>
    <x v="0"/>
    <x v="1"/>
    <x v="1"/>
  </r>
  <r>
    <n v="1617"/>
    <s v="I"/>
    <n v="0.55500000000000005"/>
    <n v="0.39500000000000002"/>
    <n v="0.13"/>
    <n v="0.5585"/>
    <n v="0.222"/>
    <n v="0.1245"/>
    <n v="0.17"/>
    <n v="9"/>
    <n v="10"/>
    <s v="Hazel"/>
    <s v="Villa"/>
    <s v="University of Minnesota"/>
    <n v="9"/>
    <s v="North Pacific"/>
    <n v="1.9"/>
    <s v="Category 2"/>
    <x v="0"/>
    <x v="1"/>
    <x v="1"/>
  </r>
  <r>
    <n v="421"/>
    <s v="F"/>
    <n v="0.67"/>
    <n v="0.54"/>
    <n v="0.16500000000000001"/>
    <n v="1.5015000000000001"/>
    <n v="0.51800000000000002"/>
    <n v="0.35799999999999998"/>
    <n v="0.505"/>
    <n v="14"/>
    <n v="9"/>
    <s v="Danica"/>
    <s v="Tyler"/>
    <s v="University of Florida_x0009_"/>
    <n v="4"/>
    <s v="Mid-Atlantic"/>
    <n v="6.1"/>
    <s v="Category 3"/>
    <x v="0"/>
    <x v="0"/>
    <x v="0"/>
  </r>
  <r>
    <n v="2920"/>
    <s v="F"/>
    <n v="0.6"/>
    <n v="0.48"/>
    <n v="0.17"/>
    <n v="1.056"/>
    <n v="0.45750000000000002"/>
    <n v="0.24349999999999999"/>
    <n v="0.3135"/>
    <n v="10"/>
    <n v="12"/>
    <s v="Rebecca"/>
    <s v="Bennett"/>
    <s v="University of Houston"/>
    <n v="10"/>
    <s v="Pacific"/>
    <n v="24.1"/>
    <s v="Category 3"/>
    <x v="0"/>
    <x v="0"/>
    <x v="0"/>
  </r>
  <r>
    <n v="2335"/>
    <s v="F"/>
    <n v="0.8"/>
    <n v="0.63"/>
    <n v="0.19500000000000001"/>
    <n v="2.5259999999999998"/>
    <n v="0.93300000000000005"/>
    <n v="0.59"/>
    <n v="0.62"/>
    <n v="23"/>
    <n v="14"/>
    <s v="Santiago"/>
    <s v="Vaughan"/>
    <s v="Ohio State University_x0009_"/>
    <n v="7"/>
    <s v="Great Lakes"/>
    <n v="2.5"/>
    <s v="Category 2"/>
    <x v="0"/>
    <x v="1"/>
    <x v="1"/>
  </r>
  <r>
    <n v="3873"/>
    <s v="F"/>
    <n v="0.51500000000000001"/>
    <n v="0.4"/>
    <n v="0.115"/>
    <n v="0.57799999999999996"/>
    <n v="0.191"/>
    <n v="0.14449999999999999"/>
    <n v="0.17"/>
    <n v="9"/>
    <n v="13"/>
    <s v="Betty"/>
    <s v="Berg"/>
    <s v="University of Houston"/>
    <n v="2"/>
    <s v="Florida Gulf Coast"/>
    <n v="18"/>
    <s v="Category 2"/>
    <x v="0"/>
    <x v="1"/>
    <x v="1"/>
  </r>
  <r>
    <n v="1071"/>
    <s v="I"/>
    <n v="0.375"/>
    <n v="0.27500000000000002"/>
    <n v="0.1"/>
    <n v="0.23250000000000001"/>
    <n v="0.11650000000000001"/>
    <n v="4.2000000000000003E-2"/>
    <n v="6.5000000000000002E-2"/>
    <n v="6"/>
    <n v="6"/>
    <s v="Martin"/>
    <s v="Gaines"/>
    <s v="San Diego State University"/>
    <n v="5"/>
    <s v="Southeast"/>
    <n v="12.8"/>
    <s v="Category 2"/>
    <x v="0"/>
    <x v="1"/>
    <x v="1"/>
  </r>
  <r>
    <n v="3039"/>
    <s v="I"/>
    <n v="0.56499999999999995"/>
    <n v="0.44"/>
    <n v="0.13500000000000001"/>
    <n v="0.76800000000000002"/>
    <n v="0.33050000000000002"/>
    <n v="0.13850000000000001"/>
    <n v="0.2475"/>
    <n v="9"/>
    <n v="15"/>
    <s v="Conan"/>
    <s v="Dalton"/>
    <s v="University of Houston"/>
    <n v="3"/>
    <s v="Northeast"/>
    <n v="3.6"/>
    <s v="Category 2"/>
    <x v="0"/>
    <x v="1"/>
    <x v="1"/>
  </r>
  <r>
    <n v="3319"/>
    <s v="M"/>
    <n v="0.16500000000000001"/>
    <n v="0.125"/>
    <n v="0.04"/>
    <n v="2.4500000000000001E-2"/>
    <n v="9.4999999999999998E-3"/>
    <n v="4.4999999999999997E-3"/>
    <n v="8.0000000000000002E-3"/>
    <n v="4"/>
    <n v="1"/>
    <s v="Jan"/>
    <s v="Odom"/>
    <s v="University of Houston"/>
    <n v="6"/>
    <s v="Gulf of Mexico_x0009_"/>
    <n v="14.1"/>
    <s v="Category 2"/>
    <x v="0"/>
    <x v="1"/>
    <x v="1"/>
  </r>
  <r>
    <n v="4006"/>
    <s v="F"/>
    <n v="0.55500000000000005"/>
    <n v="0.43"/>
    <n v="0.14000000000000001"/>
    <n v="0.75449999999999995"/>
    <n v="0.35249999999999998"/>
    <n v="0.1835"/>
    <n v="0.20150000000000001"/>
    <n v="9"/>
    <n v="11"/>
    <s v="Naima"/>
    <s v="Reyes"/>
    <s v="University of Houston"/>
    <n v="5"/>
    <s v="Southeast"/>
    <n v="12.8"/>
    <s v="Category 2"/>
    <x v="0"/>
    <x v="1"/>
    <x v="1"/>
  </r>
  <r>
    <n v="777"/>
    <s v="M"/>
    <n v="0.505"/>
    <n v="0.38500000000000001"/>
    <n v="0.14499999999999999"/>
    <n v="0.67749999999999999"/>
    <n v="0.23599999999999999"/>
    <n v="0.17899999999999999"/>
    <n v="0.2"/>
    <n v="15"/>
    <n v="11"/>
    <s v="Naima"/>
    <s v="Reyes"/>
    <s v="University of Houston"/>
    <n v="7"/>
    <s v="Great Lakes"/>
    <n v="2.5"/>
    <s v="Category 2"/>
    <x v="0"/>
    <x v="1"/>
    <x v="1"/>
  </r>
  <r>
    <n v="1042"/>
    <s v="F"/>
    <n v="0.67500000000000004"/>
    <n v="0.56999999999999995"/>
    <n v="0.22500000000000001"/>
    <n v="1.587"/>
    <n v="0.73899999999999999"/>
    <n v="0.29949999999999999"/>
    <n v="0.435"/>
    <n v="10"/>
    <n v="10"/>
    <s v="Hazel"/>
    <s v="Villa"/>
    <s v="University of Minnesota"/>
    <n v="8"/>
    <s v="West Coast"/>
    <n v="12.3"/>
    <s v="Category 3"/>
    <x v="0"/>
    <x v="0"/>
    <x v="0"/>
  </r>
  <r>
    <n v="713"/>
    <s v="I"/>
    <n v="0.28000000000000003"/>
    <n v="0.20499999999999999"/>
    <n v="5.5E-2"/>
    <n v="0.1135"/>
    <n v="4.4999999999999998E-2"/>
    <n v="2.75E-2"/>
    <n v="3.3500000000000002E-2"/>
    <n v="7"/>
    <n v="11"/>
    <s v="Naima"/>
    <s v="Reyes"/>
    <s v="University of Houston"/>
    <n v="5"/>
    <s v="Southeast"/>
    <n v="12.8"/>
    <s v="Category 2"/>
    <x v="0"/>
    <x v="1"/>
    <x v="1"/>
  </r>
  <r>
    <n v="624"/>
    <s v="F"/>
    <n v="0.5"/>
    <n v="0.38500000000000001"/>
    <n v="0.105"/>
    <n v="0.498"/>
    <n v="0.17949999999999999"/>
    <n v="0.1095"/>
    <n v="0.17"/>
    <n v="17"/>
    <n v="1"/>
    <s v="Jan"/>
    <s v="Odom"/>
    <s v="University of Houston"/>
    <n v="2"/>
    <s v="Florida Gulf Coast"/>
    <n v="18"/>
    <s v="Category 2"/>
    <x v="0"/>
    <x v="1"/>
    <x v="1"/>
  </r>
  <r>
    <n v="1238"/>
    <s v="I"/>
    <n v="0.375"/>
    <n v="0.27500000000000002"/>
    <n v="9.5000000000000001E-2"/>
    <n v="0.2465"/>
    <n v="0.11"/>
    <n v="4.1500000000000002E-2"/>
    <n v="7.7499999999999999E-2"/>
    <n v="6"/>
    <n v="2"/>
    <s v="Tiegan"/>
    <s v="Davie"/>
    <s v="University of California, Davis"/>
    <n v="3"/>
    <s v="Northeast"/>
    <n v="3.6"/>
    <s v="Category 2"/>
    <x v="0"/>
    <x v="1"/>
    <x v="1"/>
  </r>
  <r>
    <n v="503"/>
    <s v="F"/>
    <n v="0.62"/>
    <n v="0.47"/>
    <n v="0.22500000000000001"/>
    <n v="1.115"/>
    <n v="0.378"/>
    <n v="0.2145"/>
    <n v="0.36"/>
    <n v="15"/>
    <n v="8"/>
    <s v="Kali"/>
    <s v="Metcalfe"/>
    <s v="Mote Marine Laboratory"/>
    <n v="3"/>
    <s v="Northeast"/>
    <n v="3.6"/>
    <s v="Category 2"/>
    <x v="0"/>
    <x v="1"/>
    <x v="1"/>
  </r>
  <r>
    <n v="2039"/>
    <s v="I"/>
    <n v="0.28000000000000003"/>
    <n v="0.215"/>
    <n v="0.08"/>
    <n v="0.13200000000000001"/>
    <n v="7.1999999999999995E-2"/>
    <n v="2.1999999999999999E-2"/>
    <n v="3.3000000000000002E-2"/>
    <n v="5"/>
    <n v="9"/>
    <s v="Danica"/>
    <s v="Tyler"/>
    <s v="University of Florida_x0009_"/>
    <n v="9"/>
    <s v="North Pacific"/>
    <n v="1.9"/>
    <s v="Category 2"/>
    <x v="0"/>
    <x v="1"/>
    <x v="1"/>
  </r>
  <r>
    <n v="2727"/>
    <s v="I"/>
    <n v="0.4"/>
    <n v="0.30499999999999999"/>
    <n v="0.1"/>
    <n v="0.34150000000000003"/>
    <n v="0.17599999999999999"/>
    <n v="6.25E-2"/>
    <n v="8.6499999999999994E-2"/>
    <n v="7"/>
    <n v="2"/>
    <s v="Tiegan"/>
    <s v="Davie"/>
    <s v="University of California, Davis"/>
    <n v="10"/>
    <s v="Pacific"/>
    <n v="24.1"/>
    <s v="Category 2"/>
    <x v="0"/>
    <x v="1"/>
    <x v="1"/>
  </r>
  <r>
    <n v="65"/>
    <s v="M"/>
    <n v="0.52"/>
    <n v="0.4"/>
    <n v="0.12"/>
    <n v="0.57999999999999996"/>
    <n v="0.23400000000000001"/>
    <n v="0.13150000000000001"/>
    <n v="0.185"/>
    <n v="8"/>
    <n v="4"/>
    <s v="Nate"/>
    <s v="Craig"/>
    <s v="NOAA Fisheries"/>
    <n v="7"/>
    <s v="Great Lakes"/>
    <n v="2.5"/>
    <s v="Category 2"/>
    <x v="0"/>
    <x v="1"/>
    <x v="1"/>
  </r>
  <r>
    <n v="1687"/>
    <s v="M"/>
    <n v="0.62"/>
    <n v="0.48"/>
    <n v="0.15"/>
    <n v="1.266"/>
    <n v="0.62849999999999995"/>
    <n v="0.25750000000000001"/>
    <n v="0.309"/>
    <n v="12"/>
    <n v="4"/>
    <s v="Nate"/>
    <s v="Craig"/>
    <s v="NOAA Fisheries"/>
    <n v="9"/>
    <s v="North Pacific"/>
    <n v="1.9"/>
    <s v="Category 3"/>
    <x v="0"/>
    <x v="0"/>
    <x v="0"/>
  </r>
  <r>
    <n v="3284"/>
    <s v="F"/>
    <n v="0.59"/>
    <n v="0.47499999999999998"/>
    <n v="0.155"/>
    <n v="0.97150000000000003"/>
    <n v="0.371"/>
    <n v="0.23499999999999999"/>
    <n v="0.28000000000000003"/>
    <n v="11"/>
    <n v="1"/>
    <s v="Jan"/>
    <s v="Odom"/>
    <s v="University of Houston"/>
    <n v="5"/>
    <s v="Southeast"/>
    <n v="12.8"/>
    <s v="Category 2"/>
    <x v="0"/>
    <x v="1"/>
    <x v="1"/>
  </r>
  <r>
    <n v="3688"/>
    <s v="I"/>
    <n v="0.625"/>
    <n v="0.48499999999999999"/>
    <n v="0.16"/>
    <n v="1.1499999999999999"/>
    <n v="0.52549999999999997"/>
    <n v="0.25700000000000001"/>
    <n v="0.33150000000000002"/>
    <n v="11"/>
    <n v="12"/>
    <s v="Rebecca"/>
    <s v="Bennett"/>
    <s v="University of Houston"/>
    <n v="8"/>
    <s v="West Coast"/>
    <n v="12.3"/>
    <s v="Category 3"/>
    <x v="0"/>
    <x v="0"/>
    <x v="0"/>
  </r>
  <r>
    <n v="297"/>
    <s v="I"/>
    <n v="0.27500000000000002"/>
    <n v="0.20499999999999999"/>
    <n v="7.4999999999999997E-2"/>
    <n v="0.1105"/>
    <n v="4.4999999999999998E-2"/>
    <n v="2.8500000000000001E-2"/>
    <n v="3.5000000000000003E-2"/>
    <n v="6"/>
    <n v="3"/>
    <s v="Inaya"/>
    <s v="Bernard"/>
    <s v="Stanford University"/>
    <n v="7"/>
    <s v="Great Lakes"/>
    <n v="2.5"/>
    <s v="Category 2"/>
    <x v="0"/>
    <x v="1"/>
    <x v="1"/>
  </r>
  <r>
    <n v="1153"/>
    <s v="M"/>
    <n v="0.59"/>
    <n v="0.47"/>
    <n v="0.15"/>
    <n v="0.99550000000000005"/>
    <n v="0.48099999999999998"/>
    <n v="0.23200000000000001"/>
    <n v="0.24"/>
    <n v="8"/>
    <n v="14"/>
    <s v="Santiago"/>
    <s v="Vaughan"/>
    <s v="Ohio State University_x0009_"/>
    <n v="10"/>
    <s v="Pacific"/>
    <n v="24.1"/>
    <s v="Category 3"/>
    <x v="0"/>
    <x v="0"/>
    <x v="0"/>
  </r>
  <r>
    <n v="3718"/>
    <s v="I"/>
    <n v="0.35"/>
    <n v="0.25"/>
    <n v="0.1"/>
    <n v="0.40150000000000002"/>
    <n v="0.17249999999999999"/>
    <n v="6.3E-2"/>
    <n v="0.1255"/>
    <n v="7"/>
    <n v="9"/>
    <s v="Danica"/>
    <s v="Tyler"/>
    <s v="University of Florida_x0009_"/>
    <n v="2"/>
    <s v="Florida Gulf Coast"/>
    <n v="18"/>
    <s v="Category 2"/>
    <x v="0"/>
    <x v="1"/>
    <x v="1"/>
  </r>
  <r>
    <n v="3642"/>
    <s v="I"/>
    <n v="0.46500000000000002"/>
    <n v="0.37"/>
    <n v="0.115"/>
    <n v="0.40749999999999997"/>
    <n v="0.1515"/>
    <n v="9.35E-2"/>
    <n v="0.14549999999999999"/>
    <n v="9"/>
    <n v="9"/>
    <s v="Danica"/>
    <s v="Tyler"/>
    <s v="University of Florida_x0009_"/>
    <n v="9"/>
    <s v="North Pacific"/>
    <n v="1.9"/>
    <s v="Category 2"/>
    <x v="0"/>
    <x v="1"/>
    <x v="1"/>
  </r>
  <r>
    <n v="678"/>
    <s v="F"/>
    <n v="0.5"/>
    <n v="0.375"/>
    <n v="0.115"/>
    <n v="0.59450000000000003"/>
    <n v="0.185"/>
    <n v="0.14799999999999999"/>
    <n v="0.19"/>
    <n v="11"/>
    <n v="3"/>
    <s v="Inaya"/>
    <s v="Bernard"/>
    <s v="Stanford University"/>
    <n v="7"/>
    <s v="Great Lakes"/>
    <n v="2.5"/>
    <s v="Category 2"/>
    <x v="0"/>
    <x v="1"/>
    <x v="1"/>
  </r>
  <r>
    <n v="1252"/>
    <s v="I"/>
    <n v="0.40500000000000003"/>
    <n v="0.28499999999999998"/>
    <n v="0.09"/>
    <n v="0.26450000000000001"/>
    <n v="0.1265"/>
    <n v="5.0500000000000003E-2"/>
    <n v="7.4999999999999997E-2"/>
    <n v="6"/>
    <n v="13"/>
    <s v="Betty"/>
    <s v="Berg"/>
    <s v="University of Houston"/>
    <n v="1"/>
    <s v="Florida Atlantic Coast"/>
    <n v="22.1"/>
    <s v="Category 2"/>
    <x v="0"/>
    <x v="1"/>
    <x v="1"/>
  </r>
  <r>
    <n v="2135"/>
    <s v="F"/>
    <n v="0.44"/>
    <n v="0.33"/>
    <n v="0.115"/>
    <n v="0.40050000000000002"/>
    <n v="0.14299999999999999"/>
    <n v="0.113"/>
    <n v="0.12"/>
    <n v="8"/>
    <n v="2"/>
    <s v="Tiegan"/>
    <s v="Davie"/>
    <s v="University of California, Davis"/>
    <n v="1"/>
    <s v="Florida Atlantic Coast"/>
    <n v="22.1"/>
    <s v="Category 2"/>
    <x v="0"/>
    <x v="1"/>
    <x v="1"/>
  </r>
  <r>
    <n v="2140"/>
    <s v="M"/>
    <n v="0.68"/>
    <n v="0.53"/>
    <n v="0.20499999999999999"/>
    <n v="1.496"/>
    <n v="0.58250000000000002"/>
    <n v="0.33700000000000002"/>
    <n v="0.46500000000000002"/>
    <n v="14"/>
    <n v="2"/>
    <s v="Tiegan"/>
    <s v="Davie"/>
    <s v="University of California, Davis"/>
    <n v="3"/>
    <s v="Northeast"/>
    <n v="3.6"/>
    <s v="Category 3"/>
    <x v="0"/>
    <x v="0"/>
    <x v="0"/>
  </r>
  <r>
    <n v="247"/>
    <s v="I"/>
    <n v="0.32"/>
    <n v="0.245"/>
    <n v="0.08"/>
    <n v="0.1585"/>
    <n v="6.3500000000000001E-2"/>
    <n v="3.2500000000000001E-2"/>
    <n v="0.05"/>
    <n v="13"/>
    <n v="15"/>
    <s v="Conan"/>
    <s v="Dalton"/>
    <s v="University of Houston"/>
    <n v="10"/>
    <s v="Pacific"/>
    <n v="24.1"/>
    <s v="Category 2"/>
    <x v="0"/>
    <x v="1"/>
    <x v="1"/>
  </r>
  <r>
    <n v="3215"/>
    <s v="F"/>
    <n v="0.56999999999999995"/>
    <n v="0.495"/>
    <n v="0.16"/>
    <n v="1.0914999999999999"/>
    <n v="0.45200000000000001"/>
    <n v="0.27500000000000002"/>
    <n v="0.315"/>
    <n v="14"/>
    <n v="8"/>
    <s v="Kali"/>
    <s v="Metcalfe"/>
    <s v="Mote Marine Laboratory"/>
    <n v="4"/>
    <s v="Mid-Atlantic"/>
    <n v="6.1"/>
    <s v="Category 3"/>
    <x v="0"/>
    <x v="0"/>
    <x v="0"/>
  </r>
  <r>
    <n v="1414"/>
    <s v="M"/>
    <n v="0.67500000000000004"/>
    <n v="0.54500000000000004"/>
    <n v="0.185"/>
    <n v="1.7375"/>
    <n v="0.876"/>
    <n v="0.3135"/>
    <n v="0.46899999999999997"/>
    <n v="13"/>
    <n v="10"/>
    <s v="Hazel"/>
    <s v="Villa"/>
    <s v="University of Minnesota"/>
    <n v="8"/>
    <s v="West Coast"/>
    <n v="12.3"/>
    <s v="Category 3"/>
    <x v="0"/>
    <x v="0"/>
    <x v="0"/>
  </r>
  <r>
    <n v="904"/>
    <s v="I"/>
    <n v="0.315"/>
    <n v="0.23499999999999999"/>
    <n v="7.4999999999999997E-2"/>
    <n v="0.14849999999999999"/>
    <n v="5.8500000000000003E-2"/>
    <n v="3.7499999999999999E-2"/>
    <n v="4.2500000000000003E-2"/>
    <n v="6"/>
    <n v="15"/>
    <s v="Conan"/>
    <s v="Dalton"/>
    <s v="University of Houston"/>
    <n v="6"/>
    <s v="Gulf of Mexico_x0009_"/>
    <n v="14.1"/>
    <s v="Category 2"/>
    <x v="0"/>
    <x v="1"/>
    <x v="1"/>
  </r>
  <r>
    <n v="3814"/>
    <s v="I"/>
    <n v="0.35"/>
    <n v="0.26"/>
    <n v="9.5000000000000001E-2"/>
    <n v="0.221"/>
    <n v="9.8500000000000004E-2"/>
    <n v="4.2999999999999997E-2"/>
    <n v="7.0000000000000007E-2"/>
    <n v="8"/>
    <n v="10"/>
    <s v="Hazel"/>
    <s v="Villa"/>
    <s v="University of Minnesota"/>
    <n v="9"/>
    <s v="North Pacific"/>
    <n v="1.9"/>
    <s v="Category 2"/>
    <x v="0"/>
    <x v="1"/>
    <x v="1"/>
  </r>
  <r>
    <n v="4044"/>
    <s v="F"/>
    <n v="0.57999999999999996"/>
    <n v="0.46"/>
    <n v="0.13500000000000001"/>
    <n v="0.92600000000000005"/>
    <n v="0.40250000000000002"/>
    <n v="0.20799999999999999"/>
    <n v="0.27500000000000002"/>
    <n v="8"/>
    <n v="9"/>
    <s v="Danica"/>
    <s v="Tyler"/>
    <s v="University of Florida_x0009_"/>
    <n v="3"/>
    <s v="Northeast"/>
    <n v="3.6"/>
    <s v="Category 3"/>
    <x v="0"/>
    <x v="0"/>
    <x v="0"/>
  </r>
  <r>
    <n v="3365"/>
    <s v="M"/>
    <n v="0.33"/>
    <n v="0.245"/>
    <n v="8.5000000000000006E-2"/>
    <n v="0.17100000000000001"/>
    <n v="6.5500000000000003E-2"/>
    <n v="3.6499999999999998E-2"/>
    <n v="5.5E-2"/>
    <n v="11"/>
    <n v="8"/>
    <s v="Kali"/>
    <s v="Metcalfe"/>
    <s v="Mote Marine Laboratory"/>
    <n v="4"/>
    <s v="Mid-Atlantic"/>
    <n v="6.1"/>
    <s v="Category 2"/>
    <x v="0"/>
    <x v="1"/>
    <x v="1"/>
  </r>
  <r>
    <n v="3905"/>
    <s v="M"/>
    <n v="0.57499999999999996"/>
    <n v="0.47"/>
    <n v="0.16500000000000001"/>
    <n v="0.85299999999999998"/>
    <n v="0.29199999999999998"/>
    <n v="0.17899999999999999"/>
    <n v="0.35"/>
    <n v="16"/>
    <n v="3"/>
    <s v="Inaya"/>
    <s v="Bernard"/>
    <s v="Stanford University"/>
    <n v="7"/>
    <s v="Great Lakes"/>
    <n v="2.5"/>
    <s v="Category 2"/>
    <x v="0"/>
    <x v="1"/>
    <x v="1"/>
  </r>
  <r>
    <n v="696"/>
    <s v="I"/>
    <n v="0.315"/>
    <n v="0.23"/>
    <n v="0.09"/>
    <n v="0.1285"/>
    <n v="4.2999999999999997E-2"/>
    <n v="0.04"/>
    <n v="0.04"/>
    <n v="7"/>
    <n v="14"/>
    <s v="Santiago"/>
    <s v="Vaughan"/>
    <s v="Ohio State University_x0009_"/>
    <n v="5"/>
    <s v="Southeast"/>
    <n v="12.8"/>
    <s v="Category 2"/>
    <x v="0"/>
    <x v="1"/>
    <x v="1"/>
  </r>
  <r>
    <n v="994"/>
    <s v="M"/>
    <n v="0.57999999999999996"/>
    <n v="0.45500000000000002"/>
    <n v="0.15"/>
    <n v="1.012"/>
    <n v="0.4985"/>
    <n v="0.21149999999999999"/>
    <n v="0.28349999999999997"/>
    <n v="10"/>
    <n v="11"/>
    <s v="Naima"/>
    <s v="Reyes"/>
    <s v="University of Houston"/>
    <n v="6"/>
    <s v="Gulf of Mexico_x0009_"/>
    <n v="14.1"/>
    <s v="Category 3"/>
    <x v="0"/>
    <x v="0"/>
    <x v="0"/>
  </r>
  <r>
    <n v="260"/>
    <s v="F"/>
    <n v="0.59"/>
    <n v="0.47499999999999998"/>
    <n v="0.16"/>
    <n v="1.1014999999999999"/>
    <n v="0.47749999999999998"/>
    <n v="0.2555"/>
    <n v="0.29499999999999998"/>
    <n v="13"/>
    <n v="8"/>
    <s v="Kali"/>
    <s v="Metcalfe"/>
    <s v="Mote Marine Laboratory"/>
    <n v="8"/>
    <s v="West Coast"/>
    <n v="12.3"/>
    <s v="Category 3"/>
    <x v="0"/>
    <x v="0"/>
    <x v="0"/>
  </r>
  <r>
    <n v="1204"/>
    <s v="F"/>
    <n v="0.73"/>
    <n v="0.57499999999999996"/>
    <n v="0.185"/>
    <n v="1.8794999999999999"/>
    <n v="0.93100000000000005"/>
    <n v="0.38"/>
    <n v="0.48249999999999998"/>
    <n v="12"/>
    <n v="1"/>
    <s v="Jan"/>
    <s v="Odom"/>
    <s v="University of Houston"/>
    <n v="9"/>
    <s v="North Pacific"/>
    <n v="1.9"/>
    <s v="Category 3"/>
    <x v="0"/>
    <x v="0"/>
    <x v="0"/>
  </r>
  <r>
    <n v="321"/>
    <s v="I"/>
    <n v="0.26500000000000001"/>
    <n v="0.21"/>
    <n v="0.06"/>
    <n v="9.6500000000000002E-2"/>
    <n v="4.2500000000000003E-2"/>
    <n v="2.1999999999999999E-2"/>
    <n v="0.03"/>
    <n v="5"/>
    <n v="5"/>
    <s v="Haniya"/>
    <s v="Talley"/>
    <s v="Prince William Sound Science Center"/>
    <n v="10"/>
    <s v="Pacific"/>
    <n v="24.1"/>
    <s v="Category 2"/>
    <x v="0"/>
    <x v="1"/>
    <x v="1"/>
  </r>
  <r>
    <n v="554"/>
    <s v="I"/>
    <n v="0.48"/>
    <n v="0.37"/>
    <n v="0.12"/>
    <n v="0.51400000000000001"/>
    <n v="0.20749999999999999"/>
    <n v="0.13100000000000001"/>
    <n v="0.155"/>
    <n v="13"/>
    <n v="3"/>
    <s v="Inaya"/>
    <s v="Bernard"/>
    <s v="Stanford University"/>
    <n v="1"/>
    <s v="Florida Atlantic Coast"/>
    <n v="22.1"/>
    <s v="Category 2"/>
    <x v="0"/>
    <x v="1"/>
    <x v="1"/>
  </r>
  <r>
    <n v="3644"/>
    <s v="I"/>
    <n v="0.47"/>
    <n v="0.34499999999999997"/>
    <n v="0.12"/>
    <n v="0.36849999999999999"/>
    <n v="0.1525"/>
    <n v="6.1499999999999999E-2"/>
    <n v="0.125"/>
    <n v="8"/>
    <n v="6"/>
    <s v="Martin"/>
    <s v="Gaines"/>
    <s v="San Diego State University"/>
    <n v="1"/>
    <s v="Florida Atlantic Coast"/>
    <n v="22.1"/>
    <s v="Category 2"/>
    <x v="0"/>
    <x v="1"/>
    <x v="1"/>
  </r>
  <r>
    <n v="3914"/>
    <s v="I"/>
    <n v="0.54"/>
    <n v="0.4"/>
    <n v="0.14499999999999999"/>
    <n v="0.75700000000000001"/>
    <n v="0.315"/>
    <n v="0.18099999999999999"/>
    <n v="0.215"/>
    <n v="11"/>
    <n v="8"/>
    <s v="Kali"/>
    <s v="Metcalfe"/>
    <s v="Mote Marine Laboratory"/>
    <n v="8"/>
    <s v="West Coast"/>
    <n v="12.3"/>
    <s v="Category 2"/>
    <x v="0"/>
    <x v="1"/>
    <x v="1"/>
  </r>
  <r>
    <n v="1867"/>
    <s v="I"/>
    <n v="0.52"/>
    <n v="0.38500000000000001"/>
    <n v="0.115"/>
    <n v="0.58099999999999996"/>
    <n v="0.2555"/>
    <n v="0.156"/>
    <n v="0.14299999999999999"/>
    <n v="10"/>
    <n v="9"/>
    <s v="Danica"/>
    <s v="Tyler"/>
    <s v="University of Florida_x0009_"/>
    <n v="9"/>
    <s v="North Pacific"/>
    <n v="1.9"/>
    <s v="Category 2"/>
    <x v="0"/>
    <x v="1"/>
    <x v="1"/>
  </r>
  <r>
    <n v="1287"/>
    <s v="I"/>
    <n v="0.5"/>
    <n v="0.39500000000000002"/>
    <n v="0.14000000000000001"/>
    <n v="0.62150000000000005"/>
    <n v="0.29249999999999998"/>
    <n v="0.1205"/>
    <n v="0.19500000000000001"/>
    <n v="9"/>
    <n v="8"/>
    <s v="Kali"/>
    <s v="Metcalfe"/>
    <s v="Mote Marine Laboratory"/>
    <n v="3"/>
    <s v="Northeast"/>
    <n v="3.6"/>
    <s v="Category 2"/>
    <x v="0"/>
    <x v="1"/>
    <x v="1"/>
  </r>
  <r>
    <n v="3281"/>
    <s v="M"/>
    <n v="0.69"/>
    <n v="0.54"/>
    <n v="0.185"/>
    <n v="1.6194999999999999"/>
    <n v="0.53300000000000003"/>
    <n v="0.35299999999999998"/>
    <n v="0.55500000000000005"/>
    <n v="24"/>
    <n v="5"/>
    <s v="Haniya"/>
    <s v="Talley"/>
    <s v="Prince William Sound Science Center"/>
    <n v="5"/>
    <s v="Southeast"/>
    <n v="12.8"/>
    <s v="Category 2"/>
    <x v="0"/>
    <x v="1"/>
    <x v="1"/>
  </r>
  <r>
    <n v="1856"/>
    <s v="I"/>
    <n v="0.5"/>
    <n v="0.38"/>
    <n v="0.11"/>
    <n v="0.5605"/>
    <n v="0.28000000000000003"/>
    <n v="0.106"/>
    <n v="0.15"/>
    <n v="9"/>
    <n v="7"/>
    <s v="Iona"/>
    <s v="Connolly"/>
    <s v="Florida Atlantic University"/>
    <n v="10"/>
    <s v="Pacific"/>
    <n v="24.1"/>
    <s v="Category 2"/>
    <x v="0"/>
    <x v="1"/>
    <x v="1"/>
  </r>
  <r>
    <n v="198"/>
    <s v="M"/>
    <n v="0.64"/>
    <n v="0.5"/>
    <n v="0.185"/>
    <n v="1.3035000000000001"/>
    <n v="0.44450000000000001"/>
    <n v="0.26350000000000001"/>
    <n v="0.46500000000000002"/>
    <n v="16"/>
    <n v="6"/>
    <s v="Martin"/>
    <s v="Gaines"/>
    <s v="San Diego State University"/>
    <n v="6"/>
    <s v="Gulf of Mexico_x0009_"/>
    <n v="14.1"/>
    <s v="Category 2"/>
    <x v="0"/>
    <x v="1"/>
    <x v="1"/>
  </r>
  <r>
    <n v="1943"/>
    <s v="M"/>
    <n v="0.63"/>
    <n v="0.49"/>
    <n v="0.155"/>
    <n v="1.2524999999999999"/>
    <n v="0.63"/>
    <n v="0.246"/>
    <n v="0.28899999999999998"/>
    <n v="9"/>
    <n v="1"/>
    <s v="Jan"/>
    <s v="Odom"/>
    <s v="University of Houston"/>
    <n v="4"/>
    <s v="Mid-Atlantic"/>
    <n v="6.1"/>
    <s v="Category 3"/>
    <x v="0"/>
    <x v="0"/>
    <x v="0"/>
  </r>
  <r>
    <n v="2688"/>
    <s v="M"/>
    <n v="0.63"/>
    <n v="0.51"/>
    <n v="0.17499999999999999"/>
    <n v="1.3414999999999999"/>
    <n v="0.65749999999999997"/>
    <n v="0.26200000000000001"/>
    <n v="0.375"/>
    <n v="10"/>
    <n v="10"/>
    <s v="Hazel"/>
    <s v="Villa"/>
    <s v="University of Minnesota"/>
    <n v="8"/>
    <s v="West Coast"/>
    <n v="12.3"/>
    <s v="Category 3"/>
    <x v="0"/>
    <x v="0"/>
    <x v="0"/>
  </r>
  <r>
    <n v="3482"/>
    <s v="I"/>
    <n v="0.46500000000000002"/>
    <n v="0.34499999999999997"/>
    <n v="0.105"/>
    <n v="0.40150000000000002"/>
    <n v="0.24199999999999999"/>
    <n v="3.4500000000000003E-2"/>
    <n v="0.109"/>
    <n v="6"/>
    <n v="2"/>
    <s v="Tiegan"/>
    <s v="Davie"/>
    <s v="University of California, Davis"/>
    <n v="2"/>
    <s v="Florida Gulf Coast"/>
    <n v="18"/>
    <s v="Category 2"/>
    <x v="0"/>
    <x v="1"/>
    <x v="1"/>
  </r>
  <r>
    <n v="4110"/>
    <s v="M"/>
    <n v="0.48"/>
    <n v="0.36499999999999999"/>
    <n v="0.13"/>
    <n v="0.53049999999999997"/>
    <n v="0.24049999999999999"/>
    <n v="0.127"/>
    <n v="0.13900000000000001"/>
    <n v="8"/>
    <n v="2"/>
    <s v="Tiegan"/>
    <s v="Davie"/>
    <s v="University of California, Davis"/>
    <n v="4"/>
    <s v="Mid-Atlantic"/>
    <n v="6.1"/>
    <s v="Category 2"/>
    <x v="0"/>
    <x v="1"/>
    <x v="1"/>
  </r>
  <r>
    <n v="2773"/>
    <s v="M"/>
    <n v="0.57999999999999996"/>
    <n v="0.44"/>
    <n v="0.17499999999999999"/>
    <n v="1.2255"/>
    <n v="0.54049999999999998"/>
    <n v="0.27050000000000002"/>
    <n v="0.32650000000000001"/>
    <n v="10"/>
    <n v="14"/>
    <s v="Santiago"/>
    <s v="Vaughan"/>
    <s v="Ohio State University_x0009_"/>
    <n v="9"/>
    <s v="North Pacific"/>
    <n v="1.9"/>
    <s v="Category 3"/>
    <x v="0"/>
    <x v="0"/>
    <x v="0"/>
  </r>
  <r>
    <n v="3525"/>
    <s v="I"/>
    <n v="0.32"/>
    <n v="0.24"/>
    <n v="8.5000000000000006E-2"/>
    <n v="0.13100000000000001"/>
    <n v="6.1499999999999999E-2"/>
    <n v="2.6499999999999999E-2"/>
    <n v="3.7999999999999999E-2"/>
    <n v="6"/>
    <n v="10"/>
    <s v="Hazel"/>
    <s v="Villa"/>
    <s v="University of Minnesota"/>
    <n v="8"/>
    <s v="West Coast"/>
    <n v="12.3"/>
    <s v="Category 2"/>
    <x v="0"/>
    <x v="1"/>
    <x v="1"/>
  </r>
  <r>
    <n v="927"/>
    <s v="I"/>
    <n v="0.43"/>
    <n v="0.32500000000000001"/>
    <n v="0.09"/>
    <n v="0.42499999999999999"/>
    <n v="0.217"/>
    <n v="8.6999999999999994E-2"/>
    <n v="9.5000000000000001E-2"/>
    <n v="7"/>
    <n v="2"/>
    <s v="Tiegan"/>
    <s v="Davie"/>
    <s v="University of California, Davis"/>
    <n v="9"/>
    <s v="North Pacific"/>
    <n v="1.9"/>
    <s v="Category 2"/>
    <x v="0"/>
    <x v="1"/>
    <x v="1"/>
  </r>
  <r>
    <n v="1293"/>
    <s v="I"/>
    <n v="0.51500000000000001"/>
    <n v="0.4"/>
    <n v="0.13500000000000001"/>
    <n v="0.69650000000000001"/>
    <n v="0.32"/>
    <n v="0.1255"/>
    <n v="0.17499999999999999"/>
    <n v="9"/>
    <n v="6"/>
    <s v="Martin"/>
    <s v="Gaines"/>
    <s v="San Diego State University"/>
    <n v="10"/>
    <s v="Pacific"/>
    <n v="24.1"/>
    <s v="Category 2"/>
    <x v="0"/>
    <x v="1"/>
    <x v="1"/>
  </r>
  <r>
    <n v="4143"/>
    <s v="M"/>
    <n v="0.65500000000000003"/>
    <n v="0.52500000000000002"/>
    <n v="0.18"/>
    <n v="1.4019999999999999"/>
    <n v="0.624"/>
    <n v="0.29349999999999998"/>
    <n v="0.36499999999999999"/>
    <n v="13"/>
    <n v="7"/>
    <s v="Iona"/>
    <s v="Connolly"/>
    <s v="Florida Atlantic University"/>
    <n v="3"/>
    <s v="Northeast"/>
    <n v="3.6"/>
    <s v="Category 3"/>
    <x v="0"/>
    <x v="0"/>
    <x v="0"/>
  </r>
  <r>
    <n v="3529"/>
    <s v="I"/>
    <n v="0.35"/>
    <n v="0.26500000000000001"/>
    <n v="8.5000000000000006E-2"/>
    <n v="0.17349999999999999"/>
    <n v="7.7499999999999999E-2"/>
    <n v="3.4000000000000002E-2"/>
    <n v="5.6000000000000001E-2"/>
    <n v="6"/>
    <n v="9"/>
    <s v="Danica"/>
    <s v="Tyler"/>
    <s v="University of Florida_x0009_"/>
    <n v="10"/>
    <s v="Pacific"/>
    <n v="24.1"/>
    <s v="Category 2"/>
    <x v="0"/>
    <x v="1"/>
    <x v="1"/>
  </r>
  <r>
    <n v="3992"/>
    <s v="M"/>
    <n v="0.68500000000000005"/>
    <n v="0.51"/>
    <n v="0.18"/>
    <n v="1.4544999999999999"/>
    <n v="0.63149999999999995"/>
    <n v="0.3105"/>
    <n v="0.3725"/>
    <n v="9"/>
    <n v="2"/>
    <s v="Tiegan"/>
    <s v="Davie"/>
    <s v="University of California, Davis"/>
    <n v="2"/>
    <s v="Florida Gulf Coast"/>
    <n v="18"/>
    <s v="Category 3"/>
    <x v="0"/>
    <x v="0"/>
    <x v="0"/>
  </r>
  <r>
    <n v="967"/>
    <s v="I"/>
    <n v="0.51"/>
    <n v="0.375"/>
    <n v="0.1"/>
    <n v="0.57850000000000001"/>
    <n v="0.23799999999999999"/>
    <n v="0.1225"/>
    <n v="0.17499999999999999"/>
    <n v="7"/>
    <n v="11"/>
    <s v="Naima"/>
    <s v="Reyes"/>
    <s v="University of Houston"/>
    <n v="7"/>
    <s v="Great Lakes"/>
    <n v="2.5"/>
    <s v="Category 2"/>
    <x v="0"/>
    <x v="1"/>
    <x v="1"/>
  </r>
  <r>
    <n v="592"/>
    <s v="F"/>
    <n v="0.37"/>
    <n v="0.28999999999999998"/>
    <n v="0.115"/>
    <n v="0.25"/>
    <n v="0.111"/>
    <n v="5.7000000000000002E-2"/>
    <n v="7.4999999999999997E-2"/>
    <n v="9"/>
    <n v="2"/>
    <s v="Tiegan"/>
    <s v="Davie"/>
    <s v="University of California, Davis"/>
    <n v="7"/>
    <s v="Great Lakes"/>
    <n v="2.5"/>
    <s v="Category 2"/>
    <x v="0"/>
    <x v="1"/>
    <x v="1"/>
  </r>
  <r>
    <n v="4168"/>
    <s v="M"/>
    <n v="0.5"/>
    <n v="0.38"/>
    <n v="0.125"/>
    <n v="0.57699999999999996"/>
    <n v="0.26900000000000002"/>
    <n v="0.1265"/>
    <n v="0.1535"/>
    <n v="9"/>
    <n v="7"/>
    <s v="Iona"/>
    <s v="Connolly"/>
    <s v="Florida Atlantic University"/>
    <n v="3"/>
    <s v="Northeast"/>
    <n v="3.6"/>
    <s v="Category 2"/>
    <x v="0"/>
    <x v="1"/>
    <x v="1"/>
  </r>
  <r>
    <n v="2692"/>
    <s v="F"/>
    <n v="0.64500000000000002"/>
    <n v="0.52"/>
    <n v="0.18"/>
    <n v="1.2849999999999999"/>
    <n v="0.57750000000000001"/>
    <n v="0.35199999999999998"/>
    <n v="0.317"/>
    <n v="9"/>
    <n v="10"/>
    <s v="Hazel"/>
    <s v="Villa"/>
    <s v="University of Minnesota"/>
    <n v="5"/>
    <s v="Southeast"/>
    <n v="12.8"/>
    <s v="Category 3"/>
    <x v="0"/>
    <x v="0"/>
    <x v="0"/>
  </r>
  <r>
    <n v="467"/>
    <s v="F"/>
    <n v="0.67"/>
    <n v="0.55000000000000004"/>
    <n v="0.19"/>
    <n v="1.3905000000000001"/>
    <n v="0.54249999999999998"/>
    <n v="0.30349999999999999"/>
    <n v="0.4"/>
    <n v="12"/>
    <n v="14"/>
    <s v="Santiago"/>
    <s v="Vaughan"/>
    <s v="Ohio State University_x0009_"/>
    <n v="4"/>
    <s v="Mid-Atlantic"/>
    <n v="6.1"/>
    <s v="Category 3"/>
    <x v="0"/>
    <x v="0"/>
    <x v="0"/>
  </r>
  <r>
    <n v="3047"/>
    <s v="M"/>
    <n v="0.58499999999999996"/>
    <n v="0.45"/>
    <n v="0.17499999999999999"/>
    <n v="1.1274999999999999"/>
    <n v="0.49249999999999999"/>
    <n v="0.26200000000000001"/>
    <n v="0.33500000000000002"/>
    <n v="11"/>
    <n v="13"/>
    <s v="Betty"/>
    <s v="Berg"/>
    <s v="University of Houston"/>
    <n v="10"/>
    <s v="Pacific"/>
    <n v="24.1"/>
    <s v="Category 3"/>
    <x v="0"/>
    <x v="0"/>
    <x v="0"/>
  </r>
  <r>
    <n v="3110"/>
    <s v="I"/>
    <n v="0.38"/>
    <n v="0.28999999999999998"/>
    <n v="8.5000000000000006E-2"/>
    <n v="0.22850000000000001"/>
    <n v="8.7999999999999995E-2"/>
    <n v="4.65E-2"/>
    <n v="7.4999999999999997E-2"/>
    <n v="7"/>
    <n v="14"/>
    <s v="Santiago"/>
    <s v="Vaughan"/>
    <s v="Ohio State University_x0009_"/>
    <n v="8"/>
    <s v="West Coast"/>
    <n v="12.3"/>
    <s v="Category 2"/>
    <x v="0"/>
    <x v="1"/>
    <x v="1"/>
  </r>
  <r>
    <n v="1643"/>
    <s v="M"/>
    <n v="0.57499999999999996"/>
    <n v="0.44"/>
    <n v="0.16"/>
    <n v="0.96150000000000002"/>
    <n v="0.48299999999999998"/>
    <n v="0.16600000000000001"/>
    <n v="0.27500000000000002"/>
    <n v="13"/>
    <n v="2"/>
    <s v="Tiegan"/>
    <s v="Davie"/>
    <s v="University of California, Davis"/>
    <n v="4"/>
    <s v="Mid-Atlantic"/>
    <n v="6.1"/>
    <s v="Category 3"/>
    <x v="0"/>
    <x v="0"/>
    <x v="0"/>
  </r>
  <r>
    <n v="288"/>
    <s v="F"/>
    <n v="0.495"/>
    <n v="0.4"/>
    <n v="0.155"/>
    <n v="0.64449999999999996"/>
    <n v="0.24199999999999999"/>
    <n v="0.13250000000000001"/>
    <n v="0.20499999999999999"/>
    <n v="17"/>
    <n v="8"/>
    <s v="Kali"/>
    <s v="Metcalfe"/>
    <s v="Mote Marine Laboratory"/>
    <n v="4"/>
    <s v="Mid-Atlantic"/>
    <n v="6.1"/>
    <s v="Category 2"/>
    <x v="0"/>
    <x v="1"/>
    <x v="1"/>
  </r>
  <r>
    <n v="188"/>
    <s v="F"/>
    <n v="0.63"/>
    <n v="0.5"/>
    <n v="0.185"/>
    <n v="1.383"/>
    <n v="0.54"/>
    <n v="0.33150000000000002"/>
    <n v="0.38"/>
    <n v="10"/>
    <n v="14"/>
    <s v="Santiago"/>
    <s v="Vaughan"/>
    <s v="Ohio State University_x0009_"/>
    <n v="5"/>
    <s v="Southeast"/>
    <n v="12.8"/>
    <s v="Category 3"/>
    <x v="0"/>
    <x v="0"/>
    <x v="0"/>
  </r>
  <r>
    <n v="2462"/>
    <s v="F"/>
    <n v="0.5"/>
    <n v="0.38500000000000001"/>
    <n v="0.13"/>
    <n v="0.76800000000000002"/>
    <n v="0.26250000000000001"/>
    <n v="9.5000000000000001E-2"/>
    <n v="0.27"/>
    <n v="13"/>
    <n v="6"/>
    <s v="Martin"/>
    <s v="Gaines"/>
    <s v="San Diego State University"/>
    <n v="6"/>
    <s v="Gulf of Mexico_x0009_"/>
    <n v="14.1"/>
    <s v="Category 2"/>
    <x v="0"/>
    <x v="1"/>
    <x v="1"/>
  </r>
  <r>
    <n v="1591"/>
    <s v="I"/>
    <n v="0.52"/>
    <n v="0.39"/>
    <n v="0.13"/>
    <n v="0.55449999999999999"/>
    <n v="0.23549999999999999"/>
    <n v="0.1095"/>
    <n v="0.1895"/>
    <n v="7"/>
    <n v="12"/>
    <s v="Rebecca"/>
    <s v="Bennett"/>
    <s v="University of Houston"/>
    <n v="6"/>
    <s v="Gulf of Mexico_x0009_"/>
    <n v="14.1"/>
    <s v="Category 2"/>
    <x v="0"/>
    <x v="1"/>
    <x v="1"/>
  </r>
  <r>
    <n v="938"/>
    <s v="I"/>
    <n v="0.45500000000000002"/>
    <n v="0.35499999999999998"/>
    <n v="0.125"/>
    <n v="0.53249999999999997"/>
    <n v="0.22500000000000001"/>
    <n v="0.126"/>
    <n v="0.14649999999999999"/>
    <n v="7"/>
    <n v="14"/>
    <s v="Santiago"/>
    <s v="Vaughan"/>
    <s v="Ohio State University_x0009_"/>
    <n v="6"/>
    <s v="Gulf of Mexico_x0009_"/>
    <n v="14.1"/>
    <s v="Category 2"/>
    <x v="0"/>
    <x v="1"/>
    <x v="1"/>
  </r>
  <r>
    <n v="2063"/>
    <s v="M"/>
    <n v="0.505"/>
    <n v="0.38500000000000001"/>
    <n v="0.13"/>
    <n v="0.64349999999999996"/>
    <n v="0.3135"/>
    <n v="0.14899999999999999"/>
    <n v="0.1515"/>
    <n v="7"/>
    <n v="6"/>
    <s v="Martin"/>
    <s v="Gaines"/>
    <s v="San Diego State University"/>
    <n v="7"/>
    <s v="Great Lakes"/>
    <n v="2.5"/>
    <s v="Category 2"/>
    <x v="0"/>
    <x v="1"/>
    <x v="1"/>
  </r>
  <r>
    <n v="381"/>
    <s v="M"/>
    <n v="0.60499999999999998"/>
    <n v="0.47"/>
    <n v="0.18"/>
    <n v="1.1405000000000001"/>
    <n v="0.3755"/>
    <n v="0.28050000000000003"/>
    <n v="0.38500000000000001"/>
    <n v="15"/>
    <n v="6"/>
    <s v="Martin"/>
    <s v="Gaines"/>
    <s v="San Diego State University"/>
    <n v="9"/>
    <s v="North Pacific"/>
    <n v="1.9"/>
    <s v="Category 2"/>
    <x v="0"/>
    <x v="1"/>
    <x v="1"/>
  </r>
  <r>
    <n v="3204"/>
    <s v="F"/>
    <n v="0.63500000000000001"/>
    <n v="0.505"/>
    <n v="0.185"/>
    <n v="1.3035000000000001"/>
    <n v="0.501"/>
    <n v="0.29499999999999998"/>
    <n v="0.41"/>
    <n v="17"/>
    <n v="5"/>
    <s v="Haniya"/>
    <s v="Talley"/>
    <s v="Prince William Sound Science Center"/>
    <n v="4"/>
    <s v="Mid-Atlantic"/>
    <n v="6.1"/>
    <s v="Category 3"/>
    <x v="0"/>
    <x v="0"/>
    <x v="0"/>
  </r>
  <r>
    <n v="394"/>
    <s v="I"/>
    <n v="0.36499999999999999"/>
    <n v="0.29499999999999998"/>
    <n v="9.5000000000000001E-2"/>
    <n v="0.25"/>
    <n v="0.1075"/>
    <n v="5.45E-2"/>
    <n v="0.08"/>
    <n v="9"/>
    <n v="2"/>
    <s v="Tiegan"/>
    <s v="Davie"/>
    <s v="University of California, Davis"/>
    <n v="8"/>
    <s v="West Coast"/>
    <n v="12.3"/>
    <s v="Category 2"/>
    <x v="0"/>
    <x v="1"/>
    <x v="1"/>
  </r>
  <r>
    <n v="4166"/>
    <s v="I"/>
    <n v="0.40500000000000003"/>
    <n v="0.3"/>
    <n v="8.5000000000000006E-2"/>
    <n v="0.30349999999999999"/>
    <n v="0.15"/>
    <n v="5.0500000000000003E-2"/>
    <n v="8.7999999999999995E-2"/>
    <n v="7"/>
    <n v="15"/>
    <s v="Conan"/>
    <s v="Dalton"/>
    <s v="University of Houston"/>
    <n v="3"/>
    <s v="Northeast"/>
    <n v="3.6"/>
    <s v="Category 2"/>
    <x v="0"/>
    <x v="1"/>
    <x v="1"/>
  </r>
  <r>
    <n v="2663"/>
    <s v="F"/>
    <n v="0.56999999999999995"/>
    <n v="0.45"/>
    <n v="0.18"/>
    <n v="0.90800000000000003"/>
    <n v="0.40150000000000002"/>
    <n v="0.217"/>
    <n v="0.255"/>
    <n v="9"/>
    <n v="1"/>
    <s v="Jan"/>
    <s v="Odom"/>
    <s v="University of Houston"/>
    <n v="3"/>
    <s v="Northeast"/>
    <n v="3.6"/>
    <s v="Category 3"/>
    <x v="0"/>
    <x v="0"/>
    <x v="0"/>
  </r>
  <r>
    <n v="2303"/>
    <s v="M"/>
    <n v="0.46"/>
    <n v="0.375"/>
    <n v="0.13"/>
    <n v="0.57350000000000001"/>
    <n v="0.2505"/>
    <n v="0.11899999999999999"/>
    <n v="0.19500000000000001"/>
    <n v="9"/>
    <n v="6"/>
    <s v="Martin"/>
    <s v="Gaines"/>
    <s v="San Diego State University"/>
    <n v="2"/>
    <s v="Florida Gulf Coast"/>
    <n v="18"/>
    <s v="Category 2"/>
    <x v="0"/>
    <x v="1"/>
    <x v="1"/>
  </r>
  <r>
    <n v="1023"/>
    <s v="F"/>
    <n v="0.64"/>
    <n v="0.5"/>
    <n v="0.17"/>
    <n v="1.5175000000000001"/>
    <n v="0.69299999999999995"/>
    <n v="0.32600000000000001"/>
    <n v="0.40899999999999997"/>
    <n v="11"/>
    <n v="15"/>
    <s v="Conan"/>
    <s v="Dalton"/>
    <s v="University of Houston"/>
    <n v="1"/>
    <s v="Florida Atlantic Coast"/>
    <n v="22.1"/>
    <s v="Category 3"/>
    <x v="0"/>
    <x v="0"/>
    <x v="0"/>
  </r>
  <r>
    <n v="3825"/>
    <s v="M"/>
    <n v="0.62"/>
    <n v="0.46"/>
    <n v="0.17"/>
    <n v="1.127"/>
    <n v="0.53500000000000003"/>
    <n v="0.26350000000000001"/>
    <n v="0.29599999999999999"/>
    <n v="7"/>
    <n v="12"/>
    <s v="Rebecca"/>
    <s v="Bennett"/>
    <s v="University of Houston"/>
    <n v="7"/>
    <s v="Great Lakes"/>
    <n v="2.5"/>
    <s v="Category 3"/>
    <x v="0"/>
    <x v="0"/>
    <x v="0"/>
  </r>
  <r>
    <n v="925"/>
    <s v="I"/>
    <n v="0.42499999999999999"/>
    <n v="0.315"/>
    <n v="0.1"/>
    <n v="0.377"/>
    <n v="0.16450000000000001"/>
    <n v="7.1999999999999995E-2"/>
    <n v="0.105"/>
    <n v="6"/>
    <n v="8"/>
    <s v="Kali"/>
    <s v="Metcalfe"/>
    <s v="Mote Marine Laboratory"/>
    <n v="10"/>
    <s v="Pacific"/>
    <n v="24.1"/>
    <s v="Category 2"/>
    <x v="0"/>
    <x v="1"/>
    <x v="1"/>
  </r>
  <r>
    <n v="2365"/>
    <s v="F"/>
    <n v="0.6"/>
    <n v="0.47"/>
    <n v="0.2"/>
    <n v="1.0309999999999999"/>
    <n v="0.39200000000000002"/>
    <n v="0.20349999999999999"/>
    <n v="0.28999999999999998"/>
    <n v="15"/>
    <n v="14"/>
    <s v="Santiago"/>
    <s v="Vaughan"/>
    <s v="Ohio State University_x0009_"/>
    <n v="10"/>
    <s v="Pacific"/>
    <n v="24.1"/>
    <s v="Category 2"/>
    <x v="0"/>
    <x v="1"/>
    <x v="1"/>
  </r>
  <r>
    <n v="2094"/>
    <s v="F"/>
    <n v="0.505"/>
    <n v="0.38500000000000001"/>
    <n v="0.115"/>
    <n v="0.61599999999999999"/>
    <n v="0.24299999999999999"/>
    <n v="0.1075"/>
    <n v="0.21"/>
    <n v="11"/>
    <n v="12"/>
    <s v="Rebecca"/>
    <s v="Bennett"/>
    <s v="University of Houston"/>
    <n v="4"/>
    <s v="Mid-Atlantic"/>
    <n v="6.1"/>
    <s v="Category 2"/>
    <x v="0"/>
    <x v="1"/>
    <x v="1"/>
  </r>
  <r>
    <n v="2150"/>
    <s v="M"/>
    <n v="0.27"/>
    <n v="0.19500000000000001"/>
    <n v="7.0000000000000007E-2"/>
    <n v="0.106"/>
    <n v="4.65E-2"/>
    <n v="1.7999999999999999E-2"/>
    <n v="3.5999999999999997E-2"/>
    <n v="7"/>
    <n v="3"/>
    <s v="Inaya"/>
    <s v="Bernard"/>
    <s v="Stanford University"/>
    <n v="5"/>
    <s v="Southeast"/>
    <n v="12.8"/>
    <s v="Category 2"/>
    <x v="0"/>
    <x v="1"/>
    <x v="1"/>
  </r>
  <r>
    <n v="3667"/>
    <s v="I"/>
    <n v="0.57499999999999996"/>
    <n v="0.44"/>
    <n v="0.15"/>
    <n v="0.98299999999999998"/>
    <n v="0.48599999999999999"/>
    <n v="0.215"/>
    <n v="0.23899999999999999"/>
    <n v="8"/>
    <n v="1"/>
    <s v="Jan"/>
    <s v="Odom"/>
    <s v="University of Houston"/>
    <n v="9"/>
    <s v="North Pacific"/>
    <n v="1.9"/>
    <s v="Category 3"/>
    <x v="0"/>
    <x v="0"/>
    <x v="0"/>
  </r>
  <r>
    <n v="3430"/>
    <s v="I"/>
    <n v="0.28000000000000003"/>
    <n v="0.21"/>
    <n v="6.5000000000000002E-2"/>
    <n v="0.111"/>
    <n v="4.2500000000000003E-2"/>
    <n v="2.8500000000000001E-2"/>
    <n v="0.03"/>
    <n v="6"/>
    <n v="14"/>
    <s v="Santiago"/>
    <s v="Vaughan"/>
    <s v="Ohio State University_x0009_"/>
    <n v="1"/>
    <s v="Florida Atlantic Coast"/>
    <n v="22.1"/>
    <s v="Category 2"/>
    <x v="0"/>
    <x v="1"/>
    <x v="1"/>
  </r>
  <r>
    <n v="3715"/>
    <s v="F"/>
    <n v="0.72499999999999998"/>
    <n v="0.56000000000000005"/>
    <n v="0.185"/>
    <n v="1.792"/>
    <n v="0.873"/>
    <n v="0.36699999999999999"/>
    <n v="0.435"/>
    <n v="11"/>
    <n v="5"/>
    <s v="Haniya"/>
    <s v="Talley"/>
    <s v="Prince William Sound Science Center"/>
    <n v="3"/>
    <s v="Northeast"/>
    <n v="3.6"/>
    <s v="Category 3"/>
    <x v="0"/>
    <x v="0"/>
    <x v="0"/>
  </r>
  <r>
    <n v="2179"/>
    <s v="F"/>
    <n v="0.59499999999999997"/>
    <n v="0.48"/>
    <n v="0.2"/>
    <n v="0.97499999999999998"/>
    <n v="0.35799999999999998"/>
    <n v="0.20349999999999999"/>
    <n v="0.34"/>
    <n v="15"/>
    <n v="13"/>
    <s v="Betty"/>
    <s v="Berg"/>
    <s v="University of Houston"/>
    <n v="5"/>
    <s v="Southeast"/>
    <n v="12.8"/>
    <s v="Category 2"/>
    <x v="0"/>
    <x v="1"/>
    <x v="1"/>
  </r>
  <r>
    <n v="3609"/>
    <s v="M"/>
    <n v="0.54500000000000004"/>
    <n v="0.43"/>
    <n v="0.155"/>
    <n v="0.80349999999999999"/>
    <n v="0.40899999999999997"/>
    <n v="0.14399999999999999"/>
    <n v="0.22800000000000001"/>
    <n v="7"/>
    <n v="2"/>
    <s v="Tiegan"/>
    <s v="Davie"/>
    <s v="University of California, Davis"/>
    <n v="3"/>
    <s v="Northeast"/>
    <n v="3.6"/>
    <s v="Category 3"/>
    <x v="0"/>
    <x v="0"/>
    <x v="0"/>
  </r>
  <r>
    <n v="769"/>
    <s v="F"/>
    <n v="0.55000000000000004"/>
    <n v="0.43"/>
    <n v="0.155"/>
    <n v="0.78500000000000003"/>
    <n v="0.28899999999999998"/>
    <n v="0.22700000000000001"/>
    <n v="0.23300000000000001"/>
    <n v="11"/>
    <n v="3"/>
    <s v="Inaya"/>
    <s v="Bernard"/>
    <s v="Stanford University"/>
    <n v="3"/>
    <s v="Northeast"/>
    <n v="3.6"/>
    <s v="Category 2"/>
    <x v="0"/>
    <x v="1"/>
    <x v="1"/>
  </r>
  <r>
    <n v="4092"/>
    <s v="M"/>
    <n v="0.625"/>
    <n v="0.5"/>
    <n v="0.18"/>
    <n v="1.3705000000000001"/>
    <n v="0.64500000000000002"/>
    <n v="0.30299999999999999"/>
    <n v="0.3705"/>
    <n v="12"/>
    <n v="2"/>
    <s v="Tiegan"/>
    <s v="Davie"/>
    <s v="University of California, Davis"/>
    <n v="8"/>
    <s v="West Coast"/>
    <n v="12.3"/>
    <s v="Category 3"/>
    <x v="0"/>
    <x v="0"/>
    <x v="0"/>
  </r>
  <r>
    <n v="1946"/>
    <s v="F"/>
    <n v="0.63500000000000001"/>
    <n v="0.505"/>
    <n v="0.155"/>
    <n v="1.2895000000000001"/>
    <n v="0.59399999999999997"/>
    <n v="0.314"/>
    <n v="0.34499999999999997"/>
    <n v="11"/>
    <n v="10"/>
    <s v="Hazel"/>
    <s v="Villa"/>
    <s v="University of Minnesota"/>
    <n v="5"/>
    <s v="Southeast"/>
    <n v="12.8"/>
    <s v="Category 3"/>
    <x v="0"/>
    <x v="0"/>
    <x v="0"/>
  </r>
  <r>
    <n v="4121"/>
    <s v="M"/>
    <n v="0.35"/>
    <n v="0.26500000000000001"/>
    <n v="0.09"/>
    <n v="0.19700000000000001"/>
    <n v="7.2999999999999995E-2"/>
    <n v="3.6499999999999998E-2"/>
    <n v="7.6999999999999999E-2"/>
    <n v="7"/>
    <n v="2"/>
    <s v="Tiegan"/>
    <s v="Davie"/>
    <s v="University of California, Davis"/>
    <n v="10"/>
    <s v="Pacific"/>
    <n v="24.1"/>
    <s v="Category 2"/>
    <x v="0"/>
    <x v="1"/>
    <x v="1"/>
  </r>
  <r>
    <n v="939"/>
    <s v="I"/>
    <n v="0.45500000000000002"/>
    <n v="0.375"/>
    <n v="0.12"/>
    <n v="0.497"/>
    <n v="0.23549999999999999"/>
    <n v="0.1055"/>
    <n v="0.1295"/>
    <n v="6"/>
    <n v="10"/>
    <s v="Hazel"/>
    <s v="Villa"/>
    <s v="University of Minnesota"/>
    <n v="4"/>
    <s v="Mid-Atlantic"/>
    <n v="6.1"/>
    <s v="Category 2"/>
    <x v="0"/>
    <x v="1"/>
    <x v="1"/>
  </r>
  <r>
    <n v="2933"/>
    <s v="M"/>
    <n v="0.61499999999999999"/>
    <n v="0.45500000000000002"/>
    <n v="0.15"/>
    <n v="0.9335"/>
    <n v="0.38200000000000001"/>
    <n v="0.247"/>
    <n v="0.26150000000000001"/>
    <n v="10"/>
    <n v="8"/>
    <s v="Kali"/>
    <s v="Metcalfe"/>
    <s v="Mote Marine Laboratory"/>
    <n v="10"/>
    <s v="Pacific"/>
    <n v="24.1"/>
    <s v="Category 2"/>
    <x v="0"/>
    <x v="1"/>
    <x v="1"/>
  </r>
  <r>
    <n v="2260"/>
    <s v="F"/>
    <n v="0.59"/>
    <n v="0.46500000000000002"/>
    <n v="0.16"/>
    <n v="1.1005"/>
    <n v="0.50600000000000001"/>
    <n v="0.2525"/>
    <n v="0.29499999999999998"/>
    <n v="13"/>
    <n v="15"/>
    <s v="Conan"/>
    <s v="Dalton"/>
    <s v="University of Houston"/>
    <n v="5"/>
    <s v="Southeast"/>
    <n v="12.8"/>
    <s v="Category 3"/>
    <x v="0"/>
    <x v="0"/>
    <x v="0"/>
  </r>
  <r>
    <n v="147"/>
    <s v="M"/>
    <n v="0.46"/>
    <n v="0.35"/>
    <n v="0.12"/>
    <n v="0.51500000000000001"/>
    <n v="0.224"/>
    <n v="0.108"/>
    <n v="0.1565"/>
    <n v="10"/>
    <n v="1"/>
    <s v="Jan"/>
    <s v="Odom"/>
    <s v="University of Houston"/>
    <n v="6"/>
    <s v="Gulf of Mexico_x0009_"/>
    <n v="14.1"/>
    <s v="Category 2"/>
    <x v="0"/>
    <x v="1"/>
    <x v="1"/>
  </r>
  <r>
    <n v="1110"/>
    <s v="M"/>
    <n v="0.52"/>
    <n v="0.4"/>
    <n v="0.14499999999999999"/>
    <n v="0.77649999999999997"/>
    <n v="0.35249999999999998"/>
    <n v="0.1845"/>
    <n v="0.185"/>
    <n v="9"/>
    <n v="4"/>
    <s v="Nate"/>
    <s v="Craig"/>
    <s v="NOAA Fisheries"/>
    <n v="5"/>
    <s v="Southeast"/>
    <n v="12.8"/>
    <s v="Category 2"/>
    <x v="0"/>
    <x v="1"/>
    <x v="1"/>
  </r>
  <r>
    <n v="1289"/>
    <s v="I"/>
    <n v="0.505"/>
    <n v="0.38"/>
    <n v="0.12"/>
    <n v="0.59399999999999997"/>
    <n v="0.25950000000000001"/>
    <n v="0.14349999999999999"/>
    <n v="0.18"/>
    <n v="7"/>
    <n v="2"/>
    <s v="Tiegan"/>
    <s v="Davie"/>
    <s v="University of California, Davis"/>
    <n v="7"/>
    <s v="Great Lakes"/>
    <n v="2.5"/>
    <s v="Category 2"/>
    <x v="0"/>
    <x v="1"/>
    <x v="1"/>
  </r>
  <r>
    <n v="447"/>
    <s v="M"/>
    <n v="0.56499999999999995"/>
    <n v="0.435"/>
    <n v="0.185"/>
    <n v="0.98150000000000004"/>
    <n v="0.32900000000000001"/>
    <n v="0.13600000000000001"/>
    <n v="0.39"/>
    <n v="13"/>
    <n v="4"/>
    <s v="Nate"/>
    <s v="Craig"/>
    <s v="NOAA Fisheries"/>
    <n v="5"/>
    <s v="Southeast"/>
    <n v="12.8"/>
    <s v="Category 2"/>
    <x v="0"/>
    <x v="1"/>
    <x v="1"/>
  </r>
  <r>
    <n v="1762"/>
    <s v="M"/>
    <n v="0.75"/>
    <n v="0.59499999999999997"/>
    <n v="0.20499999999999999"/>
    <n v="2.2204999999999999"/>
    <n v="1.083"/>
    <n v="0.42099999999999999"/>
    <n v="0.63"/>
    <n v="12"/>
    <n v="13"/>
    <s v="Betty"/>
    <s v="Berg"/>
    <s v="University of Houston"/>
    <n v="3"/>
    <s v="Northeast"/>
    <n v="3.6"/>
    <s v="Category 3"/>
    <x v="0"/>
    <x v="0"/>
    <x v="0"/>
  </r>
  <r>
    <n v="1261"/>
    <s v="I"/>
    <n v="0.44"/>
    <n v="0.34"/>
    <n v="0.12"/>
    <n v="0.438"/>
    <n v="0.21149999999999999"/>
    <n v="8.3000000000000004E-2"/>
    <n v="0.12"/>
    <n v="9"/>
    <n v="1"/>
    <s v="Jan"/>
    <s v="Odom"/>
    <s v="University of Houston"/>
    <n v="6"/>
    <s v="Gulf of Mexico_x0009_"/>
    <n v="14.1"/>
    <s v="Category 2"/>
    <x v="0"/>
    <x v="1"/>
    <x v="1"/>
  </r>
  <r>
    <n v="1907"/>
    <s v="I"/>
    <n v="0.57499999999999996"/>
    <n v="0.45"/>
    <n v="0.13500000000000001"/>
    <n v="0.82450000000000001"/>
    <n v="0.33750000000000002"/>
    <n v="0.21149999999999999"/>
    <n v="0.23899999999999999"/>
    <n v="11"/>
    <n v="1"/>
    <s v="Jan"/>
    <s v="Odom"/>
    <s v="University of Houston"/>
    <n v="8"/>
    <s v="West Coast"/>
    <n v="12.3"/>
    <s v="Category 2"/>
    <x v="0"/>
    <x v="1"/>
    <x v="1"/>
  </r>
  <r>
    <n v="3380"/>
    <s v="I"/>
    <n v="0.29499999999999998"/>
    <n v="0.21"/>
    <n v="0.08"/>
    <n v="0.1"/>
    <n v="3.7999999999999999E-2"/>
    <n v="2.5999999999999999E-2"/>
    <n v="3.1E-2"/>
    <n v="8"/>
    <n v="2"/>
    <s v="Tiegan"/>
    <s v="Davie"/>
    <s v="University of California, Davis"/>
    <n v="2"/>
    <s v="Florida Gulf Coast"/>
    <n v="18"/>
    <s v="Category 2"/>
    <x v="0"/>
    <x v="1"/>
    <x v="1"/>
  </r>
  <r>
    <n v="1864"/>
    <s v="I"/>
    <n v="0.52"/>
    <n v="0.41499999999999998"/>
    <n v="0.14000000000000001"/>
    <n v="0.63749999999999996"/>
    <n v="0.308"/>
    <n v="0.13350000000000001"/>
    <n v="0.16800000000000001"/>
    <n v="9"/>
    <n v="15"/>
    <s v="Conan"/>
    <s v="Dalton"/>
    <s v="University of Houston"/>
    <n v="7"/>
    <s v="Great Lakes"/>
    <n v="2.5"/>
    <s v="Category 2"/>
    <x v="0"/>
    <x v="1"/>
    <x v="1"/>
  </r>
  <r>
    <n v="1962"/>
    <s v="F"/>
    <n v="0.65500000000000003"/>
    <n v="0.51500000000000001"/>
    <n v="0.18"/>
    <n v="1.4119999999999999"/>
    <n v="0.61950000000000005"/>
    <n v="0.2485"/>
    <n v="0.497"/>
    <n v="11"/>
    <n v="14"/>
    <s v="Santiago"/>
    <s v="Vaughan"/>
    <s v="Ohio State University_x0009_"/>
    <n v="1"/>
    <s v="Florida Atlantic Coast"/>
    <n v="22.1"/>
    <s v="Category 3"/>
    <x v="0"/>
    <x v="0"/>
    <x v="0"/>
  </r>
  <r>
    <n v="3707"/>
    <s v="F"/>
    <n v="0.67500000000000004"/>
    <n v="0.53500000000000003"/>
    <n v="0.185"/>
    <n v="1.5575000000000001"/>
    <n v="0.70350000000000001"/>
    <n v="0.40200000000000002"/>
    <n v="0.4"/>
    <n v="11"/>
    <n v="7"/>
    <s v="Iona"/>
    <s v="Connolly"/>
    <s v="Florida Atlantic University"/>
    <n v="4"/>
    <s v="Mid-Atlantic"/>
    <n v="6.1"/>
    <s v="Category 3"/>
    <x v="0"/>
    <x v="0"/>
    <x v="0"/>
  </r>
  <r>
    <n v="276"/>
    <s v="M"/>
    <n v="0.65500000000000003"/>
    <n v="0.54"/>
    <n v="0.215"/>
    <n v="1.8440000000000001"/>
    <n v="0.74250000000000005"/>
    <n v="0.32700000000000001"/>
    <n v="0.58499999999999996"/>
    <n v="22"/>
    <n v="3"/>
    <s v="Inaya"/>
    <s v="Bernard"/>
    <s v="Stanford University"/>
    <n v="8"/>
    <s v="West Coast"/>
    <n v="12.3"/>
    <s v="Category 2"/>
    <x v="0"/>
    <x v="1"/>
    <x v="1"/>
  </r>
  <r>
    <n v="699"/>
    <s v="F"/>
    <n v="0.43"/>
    <n v="0.33500000000000002"/>
    <n v="0.12"/>
    <n v="0.44400000000000001"/>
    <n v="0.155"/>
    <n v="0.1145"/>
    <n v="0.14000000000000001"/>
    <n v="13"/>
    <n v="3"/>
    <s v="Inaya"/>
    <s v="Bernard"/>
    <s v="Stanford University"/>
    <n v="3"/>
    <s v="Northeast"/>
    <n v="3.6"/>
    <s v="Category 2"/>
    <x v="0"/>
    <x v="1"/>
    <x v="1"/>
  </r>
  <r>
    <n v="2669"/>
    <s v="F"/>
    <n v="0.58499999999999996"/>
    <n v="0.435"/>
    <n v="0.14000000000000001"/>
    <n v="0.69550000000000001"/>
    <n v="0.3085"/>
    <n v="0.129"/>
    <n v="0.22450000000000001"/>
    <n v="8"/>
    <n v="9"/>
    <s v="Danica"/>
    <s v="Tyler"/>
    <s v="University of Florida_x0009_"/>
    <n v="7"/>
    <s v="Great Lakes"/>
    <n v="2.5"/>
    <s v="Category 2"/>
    <x v="0"/>
    <x v="1"/>
    <x v="1"/>
  </r>
  <r>
    <n v="990"/>
    <s v="M"/>
    <n v="0.57499999999999996"/>
    <n v="0.47499999999999998"/>
    <n v="0.16"/>
    <n v="1.1140000000000001"/>
    <n v="0.4955"/>
    <n v="0.27450000000000002"/>
    <n v="0.28999999999999998"/>
    <n v="9"/>
    <n v="5"/>
    <s v="Haniya"/>
    <s v="Talley"/>
    <s v="Prince William Sound Science Center"/>
    <n v="7"/>
    <s v="Great Lakes"/>
    <n v="2.5"/>
    <s v="Category 3"/>
    <x v="0"/>
    <x v="0"/>
    <x v="0"/>
  </r>
  <r>
    <n v="1386"/>
    <s v="I"/>
    <n v="0.63"/>
    <n v="0.505"/>
    <n v="0.18"/>
    <n v="1.272"/>
    <n v="0.60250000000000004"/>
    <n v="0.29499999999999998"/>
    <n v="0.315"/>
    <n v="11"/>
    <n v="13"/>
    <s v="Betty"/>
    <s v="Berg"/>
    <s v="University of Houston"/>
    <n v="1"/>
    <s v="Florida Atlantic Coast"/>
    <n v="22.1"/>
    <s v="Category 3"/>
    <x v="0"/>
    <x v="0"/>
    <x v="0"/>
  </r>
  <r>
    <n v="1909"/>
    <s v="M"/>
    <n v="0.57499999999999996"/>
    <n v="0.47499999999999998"/>
    <n v="0.14499999999999999"/>
    <n v="0.85699999999999998"/>
    <n v="0.36649999999999999"/>
    <n v="0.17299999999999999"/>
    <n v="0.26900000000000002"/>
    <n v="9"/>
    <n v="1"/>
    <s v="Jan"/>
    <s v="Odom"/>
    <s v="University of Houston"/>
    <n v="7"/>
    <s v="Great Lakes"/>
    <n v="2.5"/>
    <s v="Category 2"/>
    <x v="0"/>
    <x v="1"/>
    <x v="1"/>
  </r>
  <r>
    <n v="3761"/>
    <s v="M"/>
    <n v="0.53"/>
    <n v="0.42499999999999999"/>
    <n v="0.13"/>
    <n v="0.70199999999999996"/>
    <n v="0.29749999999999999"/>
    <n v="0.13950000000000001"/>
    <n v="0.22"/>
    <n v="9"/>
    <n v="2"/>
    <s v="Tiegan"/>
    <s v="Davie"/>
    <s v="University of California, Davis"/>
    <n v="10"/>
    <s v="Pacific"/>
    <n v="24.1"/>
    <s v="Category 2"/>
    <x v="0"/>
    <x v="1"/>
    <x v="1"/>
  </r>
  <r>
    <n v="4153"/>
    <s v="I"/>
    <n v="0.37"/>
    <n v="0.28000000000000003"/>
    <n v="0.09"/>
    <n v="0.218"/>
    <n v="9.9500000000000005E-2"/>
    <n v="5.45E-2"/>
    <n v="6.1499999999999999E-2"/>
    <n v="7"/>
    <n v="8"/>
    <s v="Kali"/>
    <s v="Metcalfe"/>
    <s v="Mote Marine Laboratory"/>
    <n v="8"/>
    <s v="West Coast"/>
    <n v="12.3"/>
    <s v="Category 2"/>
    <x v="0"/>
    <x v="1"/>
    <x v="1"/>
  </r>
  <r>
    <n v="2934"/>
    <s v="F"/>
    <n v="0.61499999999999999"/>
    <n v="0.495"/>
    <n v="0.16500000000000001"/>
    <n v="1.198"/>
    <n v="0.54149999999999998"/>
    <n v="0.28649999999999998"/>
    <n v="0.31850000000000001"/>
    <n v="10"/>
    <n v="6"/>
    <s v="Martin"/>
    <s v="Gaines"/>
    <s v="San Diego State University"/>
    <n v="9"/>
    <s v="North Pacific"/>
    <n v="1.9"/>
    <s v="Category 3"/>
    <x v="0"/>
    <x v="0"/>
    <x v="0"/>
  </r>
  <r>
    <n v="92"/>
    <s v="M"/>
    <n v="0.55500000000000005"/>
    <n v="0.44"/>
    <n v="0.15"/>
    <n v="0.755"/>
    <n v="0.307"/>
    <n v="0.1525"/>
    <n v="0.26"/>
    <n v="12"/>
    <n v="5"/>
    <s v="Haniya"/>
    <s v="Talley"/>
    <s v="Prince William Sound Science Center"/>
    <n v="4"/>
    <s v="Mid-Atlantic"/>
    <n v="6.1"/>
    <s v="Category 2"/>
    <x v="0"/>
    <x v="1"/>
    <x v="1"/>
  </r>
  <r>
    <n v="1817"/>
    <s v="F"/>
    <n v="0.67500000000000004"/>
    <n v="0.53"/>
    <n v="0.17499999999999999"/>
    <n v="1.4464999999999999"/>
    <n v="0.67749999999999999"/>
    <n v="0.33"/>
    <n v="0.38900000000000001"/>
    <n v="10"/>
    <n v="1"/>
    <s v="Jan"/>
    <s v="Odom"/>
    <s v="University of Houston"/>
    <n v="6"/>
    <s v="Gulf of Mexico_x0009_"/>
    <n v="14.1"/>
    <s v="Category 3"/>
    <x v="0"/>
    <x v="0"/>
    <x v="0"/>
  </r>
  <r>
    <n v="1154"/>
    <s v="F"/>
    <n v="0.6"/>
    <n v="0.47499999999999998"/>
    <n v="0.16"/>
    <n v="1.0265"/>
    <n v="0.48499999999999999"/>
    <n v="0.2495"/>
    <n v="0.25650000000000001"/>
    <n v="9"/>
    <n v="14"/>
    <s v="Santiago"/>
    <s v="Vaughan"/>
    <s v="Ohio State University_x0009_"/>
    <n v="7"/>
    <s v="Great Lakes"/>
    <n v="2.5"/>
    <s v="Category 3"/>
    <x v="0"/>
    <x v="0"/>
    <x v="0"/>
  </r>
  <r>
    <n v="1415"/>
    <s v="M"/>
    <n v="0.68500000000000005"/>
    <n v="0.54500000000000004"/>
    <n v="0.20499999999999999"/>
    <n v="1.7925"/>
    <n v="0.8145"/>
    <n v="0.41599999999999998"/>
    <n v="0.46100000000000002"/>
    <n v="9"/>
    <n v="4"/>
    <s v="Nate"/>
    <s v="Craig"/>
    <s v="NOAA Fisheries"/>
    <n v="9"/>
    <s v="North Pacific"/>
    <n v="1.9"/>
    <s v="Category 3"/>
    <x v="0"/>
    <x v="0"/>
    <x v="0"/>
  </r>
  <r>
    <n v="2643"/>
    <s v="I"/>
    <n v="0.47499999999999998"/>
    <n v="0.375"/>
    <n v="0.115"/>
    <n v="0.52049999999999996"/>
    <n v="0.23300000000000001"/>
    <n v="0.11899999999999999"/>
    <n v="0.14549999999999999"/>
    <n v="7"/>
    <n v="11"/>
    <s v="Naima"/>
    <s v="Reyes"/>
    <s v="University of Houston"/>
    <n v="1"/>
    <s v="Florida Atlantic Coast"/>
    <n v="22.1"/>
    <s v="Category 2"/>
    <x v="0"/>
    <x v="1"/>
    <x v="1"/>
  </r>
  <r>
    <n v="2431"/>
    <s v="I"/>
    <n v="0.52"/>
    <n v="0.38"/>
    <n v="0.14000000000000001"/>
    <n v="0.52500000000000002"/>
    <n v="0.17749999999999999"/>
    <n v="0.115"/>
    <n v="0.185"/>
    <n v="11"/>
    <n v="10"/>
    <s v="Hazel"/>
    <s v="Villa"/>
    <s v="University of Minnesota"/>
    <n v="2"/>
    <s v="Florida Gulf Coast"/>
    <n v="18"/>
    <s v="Category 2"/>
    <x v="0"/>
    <x v="1"/>
    <x v="1"/>
  </r>
  <r>
    <n v="62"/>
    <s v="M"/>
    <n v="0.505"/>
    <n v="0.40500000000000003"/>
    <n v="0.11"/>
    <n v="0.625"/>
    <n v="0.30499999999999999"/>
    <n v="0.16"/>
    <n v="0.17499999999999999"/>
    <n v="9"/>
    <n v="15"/>
    <s v="Conan"/>
    <s v="Dalton"/>
    <s v="University of Houston"/>
    <n v="2"/>
    <s v="Florida Gulf Coast"/>
    <n v="18"/>
    <s v="Category 2"/>
    <x v="0"/>
    <x v="1"/>
    <x v="1"/>
  </r>
  <r>
    <n v="526"/>
    <s v="M"/>
    <n v="0.17499999999999999"/>
    <n v="0.125"/>
    <n v="0.04"/>
    <n v="2.4E-2"/>
    <n v="9.4999999999999998E-3"/>
    <n v="6.0000000000000001E-3"/>
    <n v="5.0000000000000001E-3"/>
    <n v="4"/>
    <n v="8"/>
    <s v="Kali"/>
    <s v="Metcalfe"/>
    <s v="Mote Marine Laboratory"/>
    <n v="1"/>
    <s v="Florida Atlantic Coast"/>
    <n v="22.1"/>
    <s v="Category 2"/>
    <x v="0"/>
    <x v="1"/>
    <x v="1"/>
  </r>
  <r>
    <n v="2698"/>
    <s v="M"/>
    <n v="0.66"/>
    <n v="0.51500000000000001"/>
    <n v="0.16500000000000001"/>
    <n v="1.4464999999999999"/>
    <n v="0.69399999999999995"/>
    <n v="0.29799999999999999"/>
    <n v="0.3755"/>
    <n v="10"/>
    <n v="15"/>
    <s v="Conan"/>
    <s v="Dalton"/>
    <s v="University of Houston"/>
    <n v="10"/>
    <s v="Pacific"/>
    <n v="24.1"/>
    <s v="Category 3"/>
    <x v="0"/>
    <x v="0"/>
    <x v="0"/>
  </r>
  <r>
    <n v="1620"/>
    <s v="I"/>
    <n v="0.56000000000000005"/>
    <n v="0.44500000000000001"/>
    <n v="0.15"/>
    <n v="0.82250000000000001"/>
    <n v="0.36849999999999999"/>
    <n v="0.187"/>
    <n v="0.23599999999999999"/>
    <n v="10"/>
    <n v="12"/>
    <s v="Rebecca"/>
    <s v="Bennett"/>
    <s v="University of Houston"/>
    <n v="3"/>
    <s v="Northeast"/>
    <n v="3.6"/>
    <s v="Category 2"/>
    <x v="0"/>
    <x v="1"/>
    <x v="1"/>
  </r>
  <r>
    <n v="794"/>
    <s v="M"/>
    <n v="0.57499999999999996"/>
    <n v="0.45"/>
    <n v="0.16500000000000001"/>
    <n v="0.92149999999999999"/>
    <n v="0.32750000000000001"/>
    <n v="0.22500000000000001"/>
    <n v="0.25600000000000001"/>
    <n v="12"/>
    <n v="14"/>
    <s v="Santiago"/>
    <s v="Vaughan"/>
    <s v="Ohio State University_x0009_"/>
    <n v="1"/>
    <s v="Florida Atlantic Coast"/>
    <n v="22.1"/>
    <s v="Category 2"/>
    <x v="0"/>
    <x v="1"/>
    <x v="1"/>
  </r>
  <r>
    <n v="1397"/>
    <s v="M"/>
    <n v="0.64500000000000002"/>
    <n v="0.51"/>
    <n v="0.16"/>
    <n v="1.1835"/>
    <n v="0.55600000000000005"/>
    <n v="0.23849999999999999"/>
    <n v="0.34499999999999997"/>
    <n v="11"/>
    <n v="13"/>
    <s v="Betty"/>
    <s v="Berg"/>
    <s v="University of Houston"/>
    <n v="7"/>
    <s v="Great Lakes"/>
    <n v="2.5"/>
    <s v="Category 3"/>
    <x v="0"/>
    <x v="0"/>
    <x v="0"/>
  </r>
  <r>
    <n v="1099"/>
    <s v="M"/>
    <n v="0.49"/>
    <n v="0.46500000000000002"/>
    <n v="0.125"/>
    <n v="0.52249999999999996"/>
    <n v="0.23499999999999999"/>
    <n v="0.13"/>
    <n v="0.14099999999999999"/>
    <n v="7"/>
    <n v="13"/>
    <s v="Betty"/>
    <s v="Berg"/>
    <s v="University of Houston"/>
    <n v="3"/>
    <s v="Northeast"/>
    <n v="3.6"/>
    <s v="Category 2"/>
    <x v="0"/>
    <x v="1"/>
    <x v="1"/>
  </r>
  <r>
    <n v="2350"/>
    <s v="F"/>
    <n v="0.45"/>
    <n v="0.36"/>
    <n v="0.105"/>
    <n v="0.47149999999999997"/>
    <n v="0.20349999999999999"/>
    <n v="9.35E-2"/>
    <n v="0.14899999999999999"/>
    <n v="9"/>
    <n v="13"/>
    <s v="Betty"/>
    <s v="Berg"/>
    <s v="University of Houston"/>
    <n v="3"/>
    <s v="Northeast"/>
    <n v="3.6"/>
    <s v="Category 2"/>
    <x v="0"/>
    <x v="1"/>
    <x v="1"/>
  </r>
  <r>
    <n v="3308"/>
    <s v="F"/>
    <n v="0.45"/>
    <n v="0.32500000000000001"/>
    <n v="0.13500000000000001"/>
    <n v="0.438"/>
    <n v="0.18049999999999999"/>
    <n v="0.11650000000000001"/>
    <n v="0.11"/>
    <n v="9"/>
    <n v="2"/>
    <s v="Tiegan"/>
    <s v="Davie"/>
    <s v="University of California, Davis"/>
    <n v="4"/>
    <s v="Mid-Atlantic"/>
    <n v="6.1"/>
    <s v="Category 2"/>
    <x v="0"/>
    <x v="1"/>
    <x v="1"/>
  </r>
  <r>
    <n v="380"/>
    <s v="F"/>
    <n v="0.61"/>
    <n v="0.495"/>
    <n v="0.185"/>
    <n v="1.1085"/>
    <n v="0.3705"/>
    <n v="0.3135"/>
    <n v="0.33"/>
    <n v="12"/>
    <n v="5"/>
    <s v="Haniya"/>
    <s v="Talley"/>
    <s v="Prince William Sound Science Center"/>
    <n v="2"/>
    <s v="Florida Gulf Coast"/>
    <n v="18"/>
    <s v="Category 2"/>
    <x v="0"/>
    <x v="1"/>
    <x v="1"/>
  </r>
  <r>
    <n v="3373"/>
    <s v="I"/>
    <n v="0.44"/>
    <n v="0.33"/>
    <n v="0.13500000000000001"/>
    <n v="0.52200000000000002"/>
    <n v="0.17"/>
    <n v="9.0499999999999997E-2"/>
    <n v="0.19500000000000001"/>
    <n v="16"/>
    <n v="9"/>
    <s v="Danica"/>
    <s v="Tyler"/>
    <s v="University of Florida_x0009_"/>
    <n v="8"/>
    <s v="West Coast"/>
    <n v="12.3"/>
    <s v="Category 1"/>
    <x v="1"/>
    <x v="0"/>
    <x v="1"/>
  </r>
  <r>
    <n v="292"/>
    <s v="F"/>
    <n v="0.56499999999999995"/>
    <n v="0.505"/>
    <n v="0.21"/>
    <n v="1.2765"/>
    <n v="0.501"/>
    <n v="0.27900000000000003"/>
    <n v="0.35499999999999998"/>
    <n v="12"/>
    <n v="13"/>
    <s v="Betty"/>
    <s v="Berg"/>
    <s v="University of Houston"/>
    <n v="7"/>
    <s v="Great Lakes"/>
    <n v="2.5"/>
    <s v="Category 3"/>
    <x v="0"/>
    <x v="0"/>
    <x v="0"/>
  </r>
  <r>
    <n v="3008"/>
    <s v="M"/>
    <n v="0.73"/>
    <n v="0.58499999999999996"/>
    <n v="0.22500000000000001"/>
    <n v="2.2305000000000001"/>
    <n v="1.2395"/>
    <n v="0.42199999999999999"/>
    <n v="0.56299999999999994"/>
    <n v="14"/>
    <n v="11"/>
    <s v="Naima"/>
    <s v="Reyes"/>
    <s v="University of Houston"/>
    <n v="5"/>
    <s v="Southeast"/>
    <n v="12.8"/>
    <s v="Category 1"/>
    <x v="1"/>
    <x v="0"/>
    <x v="1"/>
  </r>
  <r>
    <n v="1228"/>
    <s v="I"/>
    <n v="0.35"/>
    <n v="0.255"/>
    <n v="0.09"/>
    <n v="0.17849999999999999"/>
    <n v="8.5500000000000007E-2"/>
    <n v="3.0499999999999999E-2"/>
    <n v="5.2499999999999998E-2"/>
    <n v="8"/>
    <n v="1"/>
    <s v="Jan"/>
    <s v="Odom"/>
    <s v="University of Houston"/>
    <n v="8"/>
    <s v="West Coast"/>
    <n v="12.3"/>
    <s v="Category 2"/>
    <x v="0"/>
    <x v="1"/>
    <x v="1"/>
  </r>
  <r>
    <n v="1541"/>
    <s v="I"/>
    <n v="0.36"/>
    <n v="0.27"/>
    <n v="9.5000000000000001E-2"/>
    <n v="0.2"/>
    <n v="7.2999999999999995E-2"/>
    <n v="5.6000000000000001E-2"/>
    <n v="6.0999999999999999E-2"/>
    <n v="8"/>
    <n v="14"/>
    <s v="Santiago"/>
    <s v="Vaughan"/>
    <s v="Ohio State University_x0009_"/>
    <n v="3"/>
    <s v="Northeast"/>
    <n v="3.6"/>
    <s v="Category 2"/>
    <x v="0"/>
    <x v="1"/>
    <x v="1"/>
  </r>
  <r>
    <n v="2386"/>
    <s v="F"/>
    <n v="0.45"/>
    <n v="0.34499999999999997"/>
    <n v="0.115"/>
    <n v="0.496"/>
    <n v="0.1905"/>
    <n v="0.11700000000000001"/>
    <n v="0.14000000000000001"/>
    <n v="12"/>
    <n v="7"/>
    <s v="Iona"/>
    <s v="Connolly"/>
    <s v="Florida Atlantic University"/>
    <n v="7"/>
    <s v="Great Lakes"/>
    <n v="2.5"/>
    <s v="Category 2"/>
    <x v="0"/>
    <x v="1"/>
    <x v="1"/>
  </r>
  <r>
    <n v="3034"/>
    <s v="M"/>
    <n v="0.53500000000000003"/>
    <n v="0.41"/>
    <n v="0.12"/>
    <n v="0.6835"/>
    <n v="0.3125"/>
    <n v="0.16550000000000001"/>
    <n v="0.159"/>
    <n v="8"/>
    <n v="11"/>
    <s v="Naima"/>
    <s v="Reyes"/>
    <s v="University of Houston"/>
    <n v="4"/>
    <s v="Mid-Atlantic"/>
    <n v="6.1"/>
    <s v="Category 2"/>
    <x v="0"/>
    <x v="1"/>
    <x v="1"/>
  </r>
  <r>
    <n v="3786"/>
    <s v="M"/>
    <n v="0.625"/>
    <n v="0.495"/>
    <n v="0.155"/>
    <n v="1.177"/>
    <n v="0.50549999999999995"/>
    <n v="0.27800000000000002"/>
    <n v="0.34499999999999997"/>
    <n v="9"/>
    <n v="7"/>
    <s v="Iona"/>
    <s v="Connolly"/>
    <s v="Florida Atlantic University"/>
    <n v="10"/>
    <s v="Pacific"/>
    <n v="24.1"/>
    <s v="Category 3"/>
    <x v="0"/>
    <x v="0"/>
    <x v="0"/>
  </r>
  <r>
    <n v="2022"/>
    <s v="M"/>
    <n v="0.52500000000000002"/>
    <n v="0.41"/>
    <n v="0.13"/>
    <n v="0.6875"/>
    <n v="0.34350000000000003"/>
    <n v="0.14949999999999999"/>
    <n v="0.17649999999999999"/>
    <n v="9"/>
    <n v="14"/>
    <s v="Santiago"/>
    <s v="Vaughan"/>
    <s v="Ohio State University_x0009_"/>
    <n v="5"/>
    <s v="Southeast"/>
    <n v="12.8"/>
    <s v="Category 2"/>
    <x v="0"/>
    <x v="1"/>
    <x v="1"/>
  </r>
  <r>
    <n v="2160"/>
    <s v="F"/>
    <n v="0.64"/>
    <n v="0.51"/>
    <n v="0.2"/>
    <n v="1.3905000000000001"/>
    <n v="0.61"/>
    <n v="0.33150000000000002"/>
    <n v="0.41"/>
    <n v="12"/>
    <n v="4"/>
    <s v="Nate"/>
    <s v="Craig"/>
    <s v="NOAA Fisheries"/>
    <n v="9"/>
    <s v="North Pacific"/>
    <n v="1.9"/>
    <s v="Category 3"/>
    <x v="0"/>
    <x v="0"/>
    <x v="0"/>
  </r>
  <r>
    <n v="921"/>
    <s v="I"/>
    <n v="0.41499999999999998"/>
    <n v="0.33"/>
    <n v="0.09"/>
    <n v="0.35949999999999999"/>
    <n v="0.17"/>
    <n v="8.1000000000000003E-2"/>
    <n v="0.09"/>
    <n v="6"/>
    <n v="14"/>
    <s v="Santiago"/>
    <s v="Vaughan"/>
    <s v="Ohio State University_x0009_"/>
    <n v="8"/>
    <s v="West Coast"/>
    <n v="12.3"/>
    <s v="Category 2"/>
    <x v="0"/>
    <x v="1"/>
    <x v="1"/>
  </r>
  <r>
    <n v="3540"/>
    <s v="I"/>
    <n v="0.435"/>
    <n v="0.34"/>
    <n v="0.12"/>
    <n v="0.39600000000000002"/>
    <n v="0.17749999999999999"/>
    <n v="8.1000000000000003E-2"/>
    <n v="0.125"/>
    <n v="8"/>
    <n v="10"/>
    <s v="Hazel"/>
    <s v="Villa"/>
    <s v="University of Minnesota"/>
    <n v="3"/>
    <s v="Northeast"/>
    <n v="3.6"/>
    <s v="Category 2"/>
    <x v="0"/>
    <x v="1"/>
    <x v="1"/>
  </r>
  <r>
    <n v="2590"/>
    <s v="M"/>
    <n v="0.57499999999999996"/>
    <n v="0.45"/>
    <n v="0.155"/>
    <n v="0.94799999999999995"/>
    <n v="0.42899999999999999"/>
    <n v="0.20599999999999999"/>
    <n v="0.25900000000000001"/>
    <n v="7"/>
    <n v="7"/>
    <s v="Iona"/>
    <s v="Connolly"/>
    <s v="Florida Atlantic University"/>
    <n v="10"/>
    <s v="Pacific"/>
    <n v="24.1"/>
    <s v="Category 3"/>
    <x v="0"/>
    <x v="0"/>
    <x v="0"/>
  </r>
  <r>
    <n v="3936"/>
    <s v="M"/>
    <n v="0.52"/>
    <n v="0.41"/>
    <n v="0.115"/>
    <n v="0.77"/>
    <n v="0.26300000000000001"/>
    <n v="0.157"/>
    <n v="0.26"/>
    <n v="11"/>
    <n v="5"/>
    <s v="Haniya"/>
    <s v="Talley"/>
    <s v="Prince William Sound Science Center"/>
    <n v="6"/>
    <s v="Gulf of Mexico_x0009_"/>
    <n v="14.1"/>
    <s v="Category 2"/>
    <x v="0"/>
    <x v="1"/>
    <x v="1"/>
  </r>
  <r>
    <n v="3001"/>
    <s v="M"/>
    <n v="0.64"/>
    <n v="0.48499999999999999"/>
    <n v="0.16"/>
    <n v="1.006"/>
    <n v="0.45600000000000002"/>
    <n v="0.22450000000000001"/>
    <n v="0.28349999999999997"/>
    <n v="9"/>
    <n v="3"/>
    <s v="Inaya"/>
    <s v="Bernard"/>
    <s v="Stanford University"/>
    <n v="6"/>
    <s v="Gulf of Mexico_x0009_"/>
    <n v="14.1"/>
    <s v="Category 3"/>
    <x v="0"/>
    <x v="0"/>
    <x v="0"/>
  </r>
  <r>
    <n v="1740"/>
    <s v="M"/>
    <n v="0.67500000000000004"/>
    <n v="0.52500000000000002"/>
    <n v="0.16"/>
    <n v="1.2835000000000001"/>
    <n v="0.57199999999999995"/>
    <n v="0.27550000000000002"/>
    <n v="0.35449999999999998"/>
    <n v="13"/>
    <n v="6"/>
    <s v="Martin"/>
    <s v="Gaines"/>
    <s v="San Diego State University"/>
    <n v="7"/>
    <s v="Great Lakes"/>
    <n v="2.5"/>
    <s v="Category 3"/>
    <x v="0"/>
    <x v="0"/>
    <x v="0"/>
  </r>
  <r>
    <n v="682"/>
    <s v="M"/>
    <n v="0.48499999999999999"/>
    <n v="0.37"/>
    <n v="0.14000000000000001"/>
    <n v="0.57250000000000001"/>
    <n v="0.20399999999999999"/>
    <n v="0.14149999999999999"/>
    <n v="0.17499999999999999"/>
    <n v="10"/>
    <n v="12"/>
    <s v="Rebecca"/>
    <s v="Bennett"/>
    <s v="University of Houston"/>
    <n v="2"/>
    <s v="Florida Gulf Coast"/>
    <n v="18"/>
    <s v="Category 2"/>
    <x v="0"/>
    <x v="1"/>
    <x v="1"/>
  </r>
  <r>
    <n v="1846"/>
    <s v="I"/>
    <n v="0.44500000000000001"/>
    <n v="0.33"/>
    <n v="0.11"/>
    <n v="0.35799999999999998"/>
    <n v="0.1525"/>
    <n v="6.7000000000000004E-2"/>
    <n v="0.11849999999999999"/>
    <n v="8"/>
    <n v="8"/>
    <s v="Kali"/>
    <s v="Metcalfe"/>
    <s v="Mote Marine Laboratory"/>
    <n v="9"/>
    <s v="North Pacific"/>
    <n v="1.9"/>
    <s v="Category 2"/>
    <x v="0"/>
    <x v="1"/>
    <x v="1"/>
  </r>
  <r>
    <n v="3038"/>
    <s v="M"/>
    <n v="0.56000000000000005"/>
    <n v="0.45"/>
    <n v="0.14499999999999999"/>
    <n v="0.89400000000000002"/>
    <n v="0.38850000000000001"/>
    <n v="0.20949999999999999"/>
    <n v="0.26400000000000001"/>
    <n v="9"/>
    <n v="8"/>
    <s v="Kali"/>
    <s v="Metcalfe"/>
    <s v="Mote Marine Laboratory"/>
    <n v="4"/>
    <s v="Mid-Atlantic"/>
    <n v="6.1"/>
    <s v="Category 2"/>
    <x v="0"/>
    <x v="1"/>
    <x v="1"/>
  </r>
  <r>
    <n v="1443"/>
    <s v="I"/>
    <n v="0.41"/>
    <n v="0.32"/>
    <n v="9.5000000000000001E-2"/>
    <n v="0.29049999999999998"/>
    <n v="0.14099999999999999"/>
    <n v="6.3E-2"/>
    <n v="7.2999999999999995E-2"/>
    <n v="5"/>
    <n v="9"/>
    <s v="Danica"/>
    <s v="Tyler"/>
    <s v="University of Florida_x0009_"/>
    <n v="7"/>
    <s v="Great Lakes"/>
    <n v="2.5"/>
    <s v="Category 2"/>
    <x v="0"/>
    <x v="1"/>
    <x v="1"/>
  </r>
  <r>
    <n v="1778"/>
    <s v="I"/>
    <n v="0.48499999999999999"/>
    <n v="0.34499999999999997"/>
    <n v="0.16"/>
    <n v="0.86899999999999999"/>
    <n v="0.3085"/>
    <n v="0.185"/>
    <n v="0.31900000000000001"/>
    <n v="9"/>
    <n v="14"/>
    <s v="Santiago"/>
    <s v="Vaughan"/>
    <s v="Ohio State University_x0009_"/>
    <n v="5"/>
    <s v="Southeast"/>
    <n v="12.8"/>
    <s v="Category 2"/>
    <x v="0"/>
    <x v="1"/>
    <x v="1"/>
  </r>
  <r>
    <n v="3268"/>
    <s v="F"/>
    <n v="0.4"/>
    <n v="0.33500000000000002"/>
    <n v="0.115"/>
    <n v="0.4335"/>
    <n v="0.21049999999999999"/>
    <n v="0.1205"/>
    <n v="0.12"/>
    <n v="10"/>
    <n v="4"/>
    <s v="Nate"/>
    <s v="Craig"/>
    <s v="NOAA Fisheries"/>
    <n v="4"/>
    <s v="Mid-Atlantic"/>
    <n v="6.1"/>
    <s v="Category 2"/>
    <x v="0"/>
    <x v="1"/>
    <x v="1"/>
  </r>
  <r>
    <n v="879"/>
    <s v="F"/>
    <n v="0.63500000000000001"/>
    <n v="0.48499999999999999"/>
    <n v="0.16500000000000001"/>
    <n v="1.2945"/>
    <n v="0.66800000000000004"/>
    <n v="0.26050000000000001"/>
    <n v="0.27150000000000002"/>
    <n v="9"/>
    <n v="14"/>
    <s v="Santiago"/>
    <s v="Vaughan"/>
    <s v="Ohio State University_x0009_"/>
    <n v="9"/>
    <s v="North Pacific"/>
    <n v="1.9"/>
    <s v="Category 3"/>
    <x v="0"/>
    <x v="0"/>
    <x v="0"/>
  </r>
  <r>
    <n v="507"/>
    <s v="M"/>
    <n v="0.56000000000000005"/>
    <n v="0.46"/>
    <n v="0.23499999999999999"/>
    <n v="0.83950000000000002"/>
    <n v="0.33250000000000002"/>
    <n v="0.157"/>
    <n v="0.30499999999999999"/>
    <n v="12"/>
    <n v="1"/>
    <s v="Jan"/>
    <s v="Odom"/>
    <s v="University of Houston"/>
    <n v="9"/>
    <s v="North Pacific"/>
    <n v="1.9"/>
    <s v="Category 2"/>
    <x v="0"/>
    <x v="1"/>
    <x v="1"/>
  </r>
  <r>
    <n v="496"/>
    <s v="F"/>
    <n v="0.625"/>
    <n v="0.5"/>
    <n v="0.15"/>
    <n v="0.95299999999999996"/>
    <n v="0.34449999999999997"/>
    <n v="0.2235"/>
    <n v="0.30499999999999999"/>
    <n v="15"/>
    <n v="9"/>
    <s v="Danica"/>
    <s v="Tyler"/>
    <s v="University of Florida_x0009_"/>
    <n v="6"/>
    <s v="Gulf of Mexico_x0009_"/>
    <n v="14.1"/>
    <s v="Category 2"/>
    <x v="0"/>
    <x v="1"/>
    <x v="1"/>
  </r>
  <r>
    <n v="500"/>
    <s v="M"/>
    <n v="0.55500000000000005"/>
    <n v="0.45"/>
    <n v="0.17499999999999999"/>
    <n v="0.874"/>
    <n v="0.32750000000000001"/>
    <n v="0.20200000000000001"/>
    <n v="0.30499999999999999"/>
    <n v="10"/>
    <n v="7"/>
    <s v="Iona"/>
    <s v="Connolly"/>
    <s v="Florida Atlantic University"/>
    <n v="2"/>
    <s v="Florida Gulf Coast"/>
    <n v="18"/>
    <s v="Category 2"/>
    <x v="0"/>
    <x v="1"/>
    <x v="1"/>
  </r>
  <r>
    <n v="878"/>
    <s v="F"/>
    <n v="0.63500000000000001"/>
    <n v="0.5"/>
    <n v="0.15"/>
    <n v="1.3759999999999999"/>
    <n v="0.64949999999999997"/>
    <n v="0.36099999999999999"/>
    <n v="0.31"/>
    <n v="10"/>
    <n v="10"/>
    <s v="Hazel"/>
    <s v="Villa"/>
    <s v="University of Minnesota"/>
    <n v="2"/>
    <s v="Florida Gulf Coast"/>
    <n v="18"/>
    <s v="Category 3"/>
    <x v="0"/>
    <x v="0"/>
    <x v="0"/>
  </r>
  <r>
    <n v="3591"/>
    <s v="F"/>
    <n v="0.65"/>
    <n v="0.52"/>
    <n v="0.19500000000000001"/>
    <n v="1.6274999999999999"/>
    <n v="0.68899999999999995"/>
    <n v="0.39050000000000001"/>
    <n v="0.432"/>
    <n v="11"/>
    <n v="6"/>
    <s v="Martin"/>
    <s v="Gaines"/>
    <s v="San Diego State University"/>
    <n v="10"/>
    <s v="Pacific"/>
    <n v="24.1"/>
    <s v="Category 3"/>
    <x v="0"/>
    <x v="0"/>
    <x v="0"/>
  </r>
  <r>
    <n v="518"/>
    <s v="M"/>
    <n v="0.28000000000000003"/>
    <n v="0.2"/>
    <n v="0.08"/>
    <n v="9.1499999999999998E-2"/>
    <n v="3.3000000000000002E-2"/>
    <n v="2.1499999999999998E-2"/>
    <n v="0.03"/>
    <n v="5"/>
    <n v="12"/>
    <s v="Rebecca"/>
    <s v="Bennett"/>
    <s v="University of Houston"/>
    <n v="7"/>
    <s v="Great Lakes"/>
    <n v="2.5"/>
    <s v="Category 2"/>
    <x v="0"/>
    <x v="1"/>
    <x v="1"/>
  </r>
  <r>
    <n v="2940"/>
    <s v="F"/>
    <n v="0.625"/>
    <n v="0.49"/>
    <n v="0.14499999999999999"/>
    <n v="0.92"/>
    <n v="0.437"/>
    <n v="0.17349999999999999"/>
    <n v="0.28000000000000003"/>
    <n v="10"/>
    <n v="7"/>
    <s v="Iona"/>
    <s v="Connolly"/>
    <s v="Florida Atlantic University"/>
    <n v="1"/>
    <s v="Florida Atlantic Coast"/>
    <n v="22.1"/>
    <s v="Category 3"/>
    <x v="0"/>
    <x v="0"/>
    <x v="0"/>
  </r>
  <r>
    <n v="2151"/>
    <s v="M"/>
    <n v="0.44500000000000001"/>
    <n v="0.35499999999999998"/>
    <n v="0.11"/>
    <n v="0.4415"/>
    <n v="0.18049999999999999"/>
    <n v="0.10349999999999999"/>
    <n v="0.15049999999999999"/>
    <n v="10"/>
    <n v="4"/>
    <s v="Nate"/>
    <s v="Craig"/>
    <s v="NOAA Fisheries"/>
    <n v="3"/>
    <s v="Northeast"/>
    <n v="3.6"/>
    <s v="Category 2"/>
    <x v="0"/>
    <x v="1"/>
    <x v="1"/>
  </r>
  <r>
    <n v="1563"/>
    <s v="I"/>
    <n v="0.45"/>
    <n v="0.33500000000000002"/>
    <n v="0.11"/>
    <n v="0.41949999999999998"/>
    <n v="0.18099999999999999"/>
    <n v="8.5000000000000006E-2"/>
    <n v="0.13450000000000001"/>
    <n v="7"/>
    <n v="7"/>
    <s v="Iona"/>
    <s v="Connolly"/>
    <s v="Florida Atlantic University"/>
    <n v="2"/>
    <s v="Florida Gulf Coast"/>
    <n v="18"/>
    <s v="Category 2"/>
    <x v="0"/>
    <x v="1"/>
    <x v="1"/>
  </r>
  <r>
    <n v="366"/>
    <s v="M"/>
    <n v="0.63"/>
    <n v="0.51500000000000001"/>
    <n v="0.16"/>
    <n v="1.016"/>
    <n v="0.42149999999999999"/>
    <n v="0.24399999999999999"/>
    <n v="0.35499999999999998"/>
    <n v="19"/>
    <n v="7"/>
    <s v="Iona"/>
    <s v="Connolly"/>
    <s v="Florida Atlantic University"/>
    <n v="5"/>
    <s v="Southeast"/>
    <n v="12.8"/>
    <s v="Category 2"/>
    <x v="0"/>
    <x v="1"/>
    <x v="1"/>
  </r>
  <r>
    <n v="2463"/>
    <s v="M"/>
    <n v="0.44"/>
    <n v="0.32500000000000001"/>
    <n v="0.08"/>
    <n v="0.41299999999999998"/>
    <n v="0.14399999999999999"/>
    <n v="0.10150000000000001"/>
    <n v="0.13"/>
    <n v="8"/>
    <n v="13"/>
    <s v="Betty"/>
    <s v="Berg"/>
    <s v="University of Houston"/>
    <n v="6"/>
    <s v="Gulf of Mexico_x0009_"/>
    <n v="14.1"/>
    <s v="Category 2"/>
    <x v="0"/>
    <x v="1"/>
    <x v="1"/>
  </r>
  <r>
    <n v="414"/>
    <s v="M"/>
    <n v="0.54500000000000004"/>
    <n v="0.44"/>
    <n v="0.12"/>
    <n v="0.85650000000000004"/>
    <n v="0.34749999999999998"/>
    <n v="0.17150000000000001"/>
    <n v="0.24"/>
    <n v="12"/>
    <n v="14"/>
    <s v="Santiago"/>
    <s v="Vaughan"/>
    <s v="Ohio State University_x0009_"/>
    <n v="6"/>
    <s v="Gulf of Mexico_x0009_"/>
    <n v="14.1"/>
    <s v="Category 2"/>
    <x v="0"/>
    <x v="1"/>
    <x v="1"/>
  </r>
  <r>
    <n v="2257"/>
    <s v="M"/>
    <n v="0.52"/>
    <n v="0.38"/>
    <n v="0.13500000000000001"/>
    <n v="0.58250000000000002"/>
    <n v="0.2505"/>
    <n v="0.1565"/>
    <n v="0.17499999999999999"/>
    <n v="8"/>
    <n v="2"/>
    <s v="Tiegan"/>
    <s v="Davie"/>
    <s v="University of California, Davis"/>
    <n v="1"/>
    <s v="Florida Atlantic Coast"/>
    <n v="22.1"/>
    <s v="Category 2"/>
    <x v="0"/>
    <x v="1"/>
    <x v="1"/>
  </r>
  <r>
    <n v="3212"/>
    <s v="F"/>
    <n v="0.6"/>
    <n v="0.48"/>
    <n v="0.16500000000000001"/>
    <n v="1.1345000000000001"/>
    <n v="0.45350000000000001"/>
    <n v="0.27"/>
    <n v="0.33500000000000002"/>
    <n v="10"/>
    <n v="14"/>
    <s v="Santiago"/>
    <s v="Vaughan"/>
    <s v="Ohio State University_x0009_"/>
    <n v="5"/>
    <s v="Southeast"/>
    <n v="12.8"/>
    <s v="Category 3"/>
    <x v="0"/>
    <x v="0"/>
    <x v="0"/>
  </r>
  <r>
    <n v="391"/>
    <s v="I"/>
    <n v="0.41499999999999998"/>
    <n v="0.32500000000000001"/>
    <n v="0.1"/>
    <n v="0.32150000000000001"/>
    <n v="0.1535"/>
    <n v="5.9499999999999997E-2"/>
    <n v="0.105"/>
    <n v="10"/>
    <n v="9"/>
    <s v="Danica"/>
    <s v="Tyler"/>
    <s v="University of Florida_x0009_"/>
    <n v="3"/>
    <s v="Northeast"/>
    <n v="3.6"/>
    <s v="Category 2"/>
    <x v="0"/>
    <x v="1"/>
    <x v="1"/>
  </r>
  <r>
    <n v="2573"/>
    <s v="I"/>
    <n v="0.47499999999999998"/>
    <n v="0.38500000000000001"/>
    <n v="0.11"/>
    <n v="0.57350000000000001"/>
    <n v="0.311"/>
    <n v="0.10249999999999999"/>
    <n v="0.13600000000000001"/>
    <n v="7"/>
    <n v="15"/>
    <s v="Conan"/>
    <s v="Dalton"/>
    <s v="University of Houston"/>
    <n v="7"/>
    <s v="Great Lakes"/>
    <n v="2.5"/>
    <s v="Category 2"/>
    <x v="0"/>
    <x v="1"/>
    <x v="1"/>
  </r>
  <r>
    <n v="3943"/>
    <s v="F"/>
    <n v="0.52500000000000002"/>
    <n v="0.4"/>
    <n v="0.115"/>
    <n v="0.62949999999999995"/>
    <n v="0.2555"/>
    <n v="0.14399999999999999"/>
    <n v="0.18"/>
    <n v="11"/>
    <n v="7"/>
    <s v="Iona"/>
    <s v="Connolly"/>
    <s v="Florida Atlantic University"/>
    <n v="7"/>
    <s v="Great Lakes"/>
    <n v="2.5"/>
    <s v="Category 2"/>
    <x v="0"/>
    <x v="1"/>
    <x v="1"/>
  </r>
  <r>
    <n v="3067"/>
    <s v="F"/>
    <n v="0.64"/>
    <n v="0.5"/>
    <n v="0.15"/>
    <n v="1.2015"/>
    <n v="0.55900000000000005"/>
    <n v="0.23100000000000001"/>
    <n v="0.33550000000000002"/>
    <n v="9"/>
    <n v="13"/>
    <s v="Betty"/>
    <s v="Berg"/>
    <s v="University of Houston"/>
    <n v="2"/>
    <s v="Florida Gulf Coast"/>
    <n v="18"/>
    <s v="Category 3"/>
    <x v="0"/>
    <x v="0"/>
    <x v="0"/>
  </r>
  <r>
    <n v="1044"/>
    <s v="M"/>
    <n v="0.68"/>
    <n v="0.53500000000000003"/>
    <n v="0.185"/>
    <n v="1.607"/>
    <n v="0.72450000000000003"/>
    <n v="0.32150000000000001"/>
    <n v="0.498"/>
    <n v="12"/>
    <n v="11"/>
    <s v="Naima"/>
    <s v="Reyes"/>
    <s v="University of Houston"/>
    <n v="6"/>
    <s v="Gulf of Mexico_x0009_"/>
    <n v="14.1"/>
    <s v="Category 3"/>
    <x v="0"/>
    <x v="0"/>
    <x v="0"/>
  </r>
  <r>
    <n v="3522"/>
    <s v="I"/>
    <n v="0.215"/>
    <n v="0.15"/>
    <n v="5.5E-2"/>
    <n v="4.1000000000000002E-2"/>
    <n v="1.4999999999999999E-2"/>
    <n v="8.9999999999999993E-3"/>
    <n v="1.2500000000000001E-2"/>
    <n v="3"/>
    <n v="8"/>
    <s v="Kali"/>
    <s v="Metcalfe"/>
    <s v="Mote Marine Laboratory"/>
    <n v="4"/>
    <s v="Mid-Atlantic"/>
    <n v="6.1"/>
    <s v="Category 2"/>
    <x v="0"/>
    <x v="1"/>
    <x v="1"/>
  </r>
  <r>
    <n v="2285"/>
    <s v="I"/>
    <n v="0.40500000000000003"/>
    <n v="0.315"/>
    <n v="0.105"/>
    <n v="0.34699999999999998"/>
    <n v="0.1605"/>
    <n v="7.85E-2"/>
    <n v="0.1"/>
    <n v="9"/>
    <n v="11"/>
    <s v="Naima"/>
    <s v="Reyes"/>
    <s v="University of Houston"/>
    <n v="6"/>
    <s v="Gulf of Mexico_x0009_"/>
    <n v="14.1"/>
    <s v="Category 2"/>
    <x v="0"/>
    <x v="1"/>
    <x v="1"/>
  </r>
  <r>
    <n v="1980"/>
    <s v="M"/>
    <n v="0.7"/>
    <n v="0.55000000000000004"/>
    <n v="0.19500000000000001"/>
    <n v="1.6245000000000001"/>
    <n v="0.67500000000000004"/>
    <n v="0.34699999999999998"/>
    <n v="0.53500000000000003"/>
    <n v="13"/>
    <n v="4"/>
    <s v="Nate"/>
    <s v="Craig"/>
    <s v="NOAA Fisheries"/>
    <n v="10"/>
    <s v="Pacific"/>
    <n v="24.1"/>
    <s v="Category 3"/>
    <x v="0"/>
    <x v="0"/>
    <x v="0"/>
  </r>
  <r>
    <n v="3089"/>
    <s v="I"/>
    <n v="0.42499999999999999"/>
    <n v="0.32"/>
    <n v="8.5000000000000006E-2"/>
    <n v="0.26200000000000001"/>
    <n v="0.1235"/>
    <n v="6.7000000000000004E-2"/>
    <n v="7.2499999999999995E-2"/>
    <n v="8"/>
    <n v="2"/>
    <s v="Tiegan"/>
    <s v="Davie"/>
    <s v="University of California, Davis"/>
    <n v="7"/>
    <s v="Great Lakes"/>
    <n v="2.5"/>
    <s v="Category 2"/>
    <x v="0"/>
    <x v="1"/>
    <x v="1"/>
  </r>
  <r>
    <n v="3046"/>
    <s v="F"/>
    <n v="0.57999999999999996"/>
    <n v="0.435"/>
    <n v="0.155"/>
    <n v="0.87849999999999995"/>
    <n v="0.42499999999999999"/>
    <n v="0.16850000000000001"/>
    <n v="0.24249999999999999"/>
    <n v="10"/>
    <n v="4"/>
    <s v="Nate"/>
    <s v="Craig"/>
    <s v="NOAA Fisheries"/>
    <n v="7"/>
    <s v="Great Lakes"/>
    <n v="2.5"/>
    <s v="Category 3"/>
    <x v="0"/>
    <x v="0"/>
    <x v="0"/>
  </r>
  <r>
    <n v="3483"/>
    <s v="I"/>
    <n v="0.47"/>
    <n v="0.35499999999999998"/>
    <n v="0.14499999999999999"/>
    <n v="0.44850000000000001"/>
    <n v="0.156"/>
    <n v="0.10199999999999999"/>
    <n v="0.123"/>
    <n v="7"/>
    <n v="9"/>
    <s v="Danica"/>
    <s v="Tyler"/>
    <s v="University of Florida_x0009_"/>
    <n v="10"/>
    <s v="Pacific"/>
    <n v="24.1"/>
    <s v="Category 2"/>
    <x v="0"/>
    <x v="1"/>
    <x v="1"/>
  </r>
  <r>
    <n v="2575"/>
    <s v="M"/>
    <n v="0.48"/>
    <n v="0.37"/>
    <n v="0.1"/>
    <n v="0.51349999999999996"/>
    <n v="0.24299999999999999"/>
    <n v="0.10150000000000001"/>
    <n v="0.13500000000000001"/>
    <n v="8"/>
    <n v="14"/>
    <s v="Santiago"/>
    <s v="Vaughan"/>
    <s v="Ohio State University_x0009_"/>
    <n v="9"/>
    <s v="North Pacific"/>
    <n v="1.9"/>
    <s v="Category 2"/>
    <x v="0"/>
    <x v="1"/>
    <x v="1"/>
  </r>
  <r>
    <n v="2562"/>
    <s v="I"/>
    <n v="0.44"/>
    <n v="0.34499999999999997"/>
    <n v="0.115"/>
    <n v="0.54500000000000004"/>
    <n v="0.26900000000000002"/>
    <n v="0.111"/>
    <n v="0.1305"/>
    <n v="6"/>
    <n v="15"/>
    <s v="Conan"/>
    <s v="Dalton"/>
    <s v="University of Houston"/>
    <n v="6"/>
    <s v="Gulf of Mexico_x0009_"/>
    <n v="14.1"/>
    <s v="Category 2"/>
    <x v="0"/>
    <x v="1"/>
    <x v="1"/>
  </r>
  <r>
    <n v="2730"/>
    <s v="I"/>
    <n v="0.40500000000000003"/>
    <n v="0.30499999999999999"/>
    <n v="0.1"/>
    <n v="0.26800000000000002"/>
    <n v="0.1145"/>
    <n v="5.2999999999999999E-2"/>
    <n v="8.5000000000000006E-2"/>
    <n v="7"/>
    <n v="6"/>
    <s v="Martin"/>
    <s v="Gaines"/>
    <s v="San Diego State University"/>
    <n v="10"/>
    <s v="Pacific"/>
    <n v="24.1"/>
    <s v="Category 2"/>
    <x v="0"/>
    <x v="1"/>
    <x v="1"/>
  </r>
  <r>
    <n v="3325"/>
    <s v="I"/>
    <n v="0.375"/>
    <n v="0.28000000000000003"/>
    <n v="0.1"/>
    <n v="0.25650000000000001"/>
    <n v="0.11650000000000001"/>
    <n v="5.8500000000000003E-2"/>
    <n v="7.2499999999999995E-2"/>
    <n v="12"/>
    <n v="14"/>
    <s v="Santiago"/>
    <s v="Vaughan"/>
    <s v="Ohio State University_x0009_"/>
    <n v="3"/>
    <s v="Northeast"/>
    <n v="3.6"/>
    <s v="Category 2"/>
    <x v="0"/>
    <x v="1"/>
    <x v="1"/>
  </r>
  <r>
    <n v="3292"/>
    <s v="M"/>
    <n v="0.53"/>
    <n v="0.40500000000000003"/>
    <n v="0.13"/>
    <n v="0.73799999999999999"/>
    <n v="0.28449999999999998"/>
    <n v="0.17"/>
    <n v="0.193"/>
    <n v="9"/>
    <n v="13"/>
    <s v="Betty"/>
    <s v="Berg"/>
    <s v="University of Houston"/>
    <n v="3"/>
    <s v="Northeast"/>
    <n v="3.6"/>
    <s v="Category 2"/>
    <x v="0"/>
    <x v="1"/>
    <x v="1"/>
  </r>
  <r>
    <n v="3594"/>
    <s v="F"/>
    <n v="0.65500000000000003"/>
    <n v="0.53"/>
    <n v="0.16500000000000001"/>
    <n v="1.2835000000000001"/>
    <n v="0.58299999999999996"/>
    <n v="0.1255"/>
    <n v="0.4"/>
    <n v="8"/>
    <n v="7"/>
    <s v="Iona"/>
    <s v="Connolly"/>
    <s v="Florida Atlantic University"/>
    <n v="1"/>
    <s v="Florida Atlantic Coast"/>
    <n v="22.1"/>
    <s v="Category 3"/>
    <x v="0"/>
    <x v="0"/>
    <x v="0"/>
  </r>
  <r>
    <n v="3278"/>
    <s v="F"/>
    <n v="0.46500000000000002"/>
    <n v="0.39"/>
    <n v="0.14000000000000001"/>
    <n v="0.55549999999999999"/>
    <n v="0.21299999999999999"/>
    <n v="0.1075"/>
    <n v="0.215"/>
    <n v="15"/>
    <n v="7"/>
    <s v="Iona"/>
    <s v="Connolly"/>
    <s v="Florida Atlantic University"/>
    <n v="6"/>
    <s v="Gulf of Mexico_x0009_"/>
    <n v="14.1"/>
    <s v="Category 2"/>
    <x v="0"/>
    <x v="1"/>
    <x v="1"/>
  </r>
  <r>
    <n v="3385"/>
    <s v="F"/>
    <n v="0.30499999999999999"/>
    <n v="0.22500000000000001"/>
    <n v="7.0000000000000007E-2"/>
    <n v="0.14849999999999999"/>
    <n v="5.8500000000000003E-2"/>
    <n v="3.3500000000000002E-2"/>
    <n v="4.4999999999999998E-2"/>
    <n v="7"/>
    <n v="10"/>
    <s v="Hazel"/>
    <s v="Villa"/>
    <s v="University of Minnesota"/>
    <n v="8"/>
    <s v="West Coast"/>
    <n v="12.3"/>
    <s v="Category 2"/>
    <x v="0"/>
    <x v="1"/>
    <x v="1"/>
  </r>
  <r>
    <n v="1859"/>
    <s v="F"/>
    <n v="0.51"/>
    <n v="0.4"/>
    <n v="0.12"/>
    <n v="0.70050000000000001"/>
    <n v="0.34699999999999998"/>
    <n v="0.1105"/>
    <n v="0.19500000000000001"/>
    <n v="10"/>
    <n v="2"/>
    <s v="Tiegan"/>
    <s v="Davie"/>
    <s v="University of California, Davis"/>
    <n v="8"/>
    <s v="West Coast"/>
    <n v="12.3"/>
    <s v="Category 2"/>
    <x v="0"/>
    <x v="1"/>
    <x v="1"/>
  </r>
  <r>
    <n v="3671"/>
    <s v="M"/>
    <n v="0.59"/>
    <n v="0.46500000000000002"/>
    <n v="0.13500000000000001"/>
    <n v="0.98950000000000005"/>
    <n v="0.42349999999999999"/>
    <n v="0.19900000000000001"/>
    <n v="0.28000000000000003"/>
    <n v="8"/>
    <n v="8"/>
    <s v="Kali"/>
    <s v="Metcalfe"/>
    <s v="Mote Marine Laboratory"/>
    <n v="4"/>
    <s v="Mid-Atlantic"/>
    <n v="6.1"/>
    <s v="Category 3"/>
    <x v="0"/>
    <x v="0"/>
    <x v="0"/>
  </r>
  <r>
    <n v="1162"/>
    <s v="M"/>
    <n v="0.61"/>
    <n v="0.48499999999999999"/>
    <n v="0.16"/>
    <n v="1.0145"/>
    <n v="0.53149999999999997"/>
    <n v="0.21199999999999999"/>
    <n v="0.24149999999999999"/>
    <n v="8"/>
    <n v="10"/>
    <s v="Hazel"/>
    <s v="Villa"/>
    <s v="University of Minnesota"/>
    <n v="9"/>
    <s v="North Pacific"/>
    <n v="1.9"/>
    <s v="Category 3"/>
    <x v="0"/>
    <x v="0"/>
    <x v="0"/>
  </r>
  <r>
    <n v="3328"/>
    <s v="I"/>
    <n v="0.63500000000000001"/>
    <n v="0.48"/>
    <n v="0.2"/>
    <n v="1.3654999999999999"/>
    <n v="0.62549999999999994"/>
    <n v="0.25950000000000001"/>
    <n v="0.42499999999999999"/>
    <n v="16"/>
    <n v="6"/>
    <s v="Martin"/>
    <s v="Gaines"/>
    <s v="San Diego State University"/>
    <n v="3"/>
    <s v="Northeast"/>
    <n v="3.6"/>
    <s v="Category 1"/>
    <x v="1"/>
    <x v="0"/>
    <x v="1"/>
  </r>
  <r>
    <n v="2577"/>
    <s v="I"/>
    <n v="0.5"/>
    <n v="0.38"/>
    <n v="0.11"/>
    <n v="0.49399999999999999"/>
    <n v="0.218"/>
    <n v="0.09"/>
    <n v="0.13250000000000001"/>
    <n v="7"/>
    <n v="15"/>
    <s v="Conan"/>
    <s v="Dalton"/>
    <s v="University of Houston"/>
    <n v="5"/>
    <s v="Southeast"/>
    <n v="12.8"/>
    <s v="Category 2"/>
    <x v="0"/>
    <x v="1"/>
    <x v="1"/>
  </r>
  <r>
    <n v="3668"/>
    <s v="F"/>
    <n v="0.58499999999999996"/>
    <n v="0.42"/>
    <n v="0.155"/>
    <n v="1.034"/>
    <n v="0.437"/>
    <n v="0.2225"/>
    <n v="0.32"/>
    <n v="11"/>
    <n v="15"/>
    <s v="Conan"/>
    <s v="Dalton"/>
    <s v="University of Houston"/>
    <n v="3"/>
    <s v="Northeast"/>
    <n v="3.6"/>
    <s v="Category 3"/>
    <x v="0"/>
    <x v="0"/>
    <x v="0"/>
  </r>
  <r>
    <n v="2566"/>
    <s v="I"/>
    <n v="0.45"/>
    <n v="0.35"/>
    <n v="0.12"/>
    <n v="0.46800000000000003"/>
    <n v="0.20050000000000001"/>
    <n v="0.1065"/>
    <n v="0.13250000000000001"/>
    <n v="8"/>
    <n v="5"/>
    <s v="Haniya"/>
    <s v="Talley"/>
    <s v="Prince William Sound Science Center"/>
    <n v="10"/>
    <s v="Pacific"/>
    <n v="24.1"/>
    <s v="Category 2"/>
    <x v="0"/>
    <x v="1"/>
    <x v="1"/>
  </r>
  <r>
    <n v="1282"/>
    <s v="I"/>
    <n v="0.5"/>
    <n v="0.38"/>
    <n v="0.13500000000000001"/>
    <n v="0.59399999999999997"/>
    <n v="0.29449999999999998"/>
    <n v="0.104"/>
    <n v="0.1565"/>
    <n v="9"/>
    <n v="8"/>
    <s v="Kali"/>
    <s v="Metcalfe"/>
    <s v="Mote Marine Laboratory"/>
    <n v="6"/>
    <s v="Gulf of Mexico_x0009_"/>
    <n v="14.1"/>
    <s v="Category 2"/>
    <x v="0"/>
    <x v="1"/>
    <x v="1"/>
  </r>
  <r>
    <n v="2552"/>
    <s v="I"/>
    <n v="0.29499999999999998"/>
    <n v="0.22"/>
    <n v="7.0000000000000007E-2"/>
    <n v="0.126"/>
    <n v="5.1499999999999997E-2"/>
    <n v="2.75E-2"/>
    <n v="3.5000000000000003E-2"/>
    <n v="6"/>
    <n v="11"/>
    <s v="Naima"/>
    <s v="Reyes"/>
    <s v="University of Houston"/>
    <n v="7"/>
    <s v="Great Lakes"/>
    <n v="2.5"/>
    <s v="Category 2"/>
    <x v="0"/>
    <x v="1"/>
    <x v="1"/>
  </r>
  <r>
    <n v="3013"/>
    <s v="I"/>
    <n v="0.39"/>
    <n v="0.3"/>
    <n v="0.1"/>
    <n v="0.26650000000000001"/>
    <n v="0.1105"/>
    <n v="5.8999999999999997E-2"/>
    <n v="8.4000000000000005E-2"/>
    <n v="7"/>
    <n v="1"/>
    <s v="Jan"/>
    <s v="Odom"/>
    <s v="University of Houston"/>
    <n v="9"/>
    <s v="North Pacific"/>
    <n v="1.9"/>
    <s v="Category 2"/>
    <x v="0"/>
    <x v="1"/>
    <x v="1"/>
  </r>
  <r>
    <n v="1646"/>
    <s v="M"/>
    <n v="0.57999999999999996"/>
    <n v="0.43"/>
    <n v="0.13"/>
    <n v="0.79800000000000004"/>
    <n v="0.36499999999999999"/>
    <n v="0.17299999999999999"/>
    <n v="0.22850000000000001"/>
    <n v="10"/>
    <n v="4"/>
    <s v="Nate"/>
    <s v="Craig"/>
    <s v="NOAA Fisheries"/>
    <n v="1"/>
    <s v="Florida Atlantic Coast"/>
    <n v="22.1"/>
    <s v="Category 2"/>
    <x v="0"/>
    <x v="1"/>
    <x v="1"/>
  </r>
  <r>
    <n v="685"/>
    <s v="M"/>
    <n v="0.51"/>
    <n v="0.4"/>
    <n v="0.14000000000000001"/>
    <n v="0.65149999999999997"/>
    <n v="0.2455"/>
    <n v="0.16650000000000001"/>
    <n v="0.185"/>
    <n v="10"/>
    <n v="14"/>
    <s v="Santiago"/>
    <s v="Vaughan"/>
    <s v="Ohio State University_x0009_"/>
    <n v="8"/>
    <s v="West Coast"/>
    <n v="12.3"/>
    <s v="Category 2"/>
    <x v="0"/>
    <x v="1"/>
    <x v="1"/>
  </r>
  <r>
    <n v="1461"/>
    <s v="M"/>
    <n v="0.48499999999999999"/>
    <n v="0.39"/>
    <n v="8.5000000000000006E-2"/>
    <n v="0.64349999999999996"/>
    <n v="0.29449999999999998"/>
    <n v="0.10299999999999999"/>
    <n v="0.19800000000000001"/>
    <n v="8"/>
    <n v="13"/>
    <s v="Betty"/>
    <s v="Berg"/>
    <s v="University of Houston"/>
    <n v="9"/>
    <s v="North Pacific"/>
    <n v="1.9"/>
    <s v="Category 2"/>
    <x v="0"/>
    <x v="1"/>
    <x v="1"/>
  </r>
  <r>
    <n v="3293"/>
    <s v="F"/>
    <n v="0.495"/>
    <n v="0.375"/>
    <n v="0.15"/>
    <n v="0.59699999999999998"/>
    <n v="0.26150000000000001"/>
    <n v="0.13500000000000001"/>
    <n v="0.17799999999999999"/>
    <n v="11"/>
    <n v="15"/>
    <s v="Conan"/>
    <s v="Dalton"/>
    <s v="University of Houston"/>
    <n v="4"/>
    <s v="Mid-Atlantic"/>
    <n v="6.1"/>
    <s v="Category 2"/>
    <x v="0"/>
    <x v="1"/>
    <x v="1"/>
  </r>
  <r>
    <n v="2986"/>
    <s v="I"/>
    <n v="0.53500000000000003"/>
    <n v="0.4"/>
    <n v="0.13500000000000001"/>
    <n v="0.77500000000000002"/>
    <n v="0.36799999999999999"/>
    <n v="0.20799999999999999"/>
    <n v="0.20549999999999999"/>
    <n v="8"/>
    <n v="12"/>
    <s v="Rebecca"/>
    <s v="Bennett"/>
    <s v="University of Houston"/>
    <n v="6"/>
    <s v="Gulf of Mexico_x0009_"/>
    <n v="14.1"/>
    <s v="Category 2"/>
    <x v="0"/>
    <x v="1"/>
    <x v="1"/>
  </r>
  <r>
    <n v="348"/>
    <s v="I"/>
    <n v="0.34"/>
    <n v="0.26"/>
    <n v="0.08"/>
    <n v="0.2"/>
    <n v="0.08"/>
    <n v="5.5500000000000001E-2"/>
    <n v="5.5E-2"/>
    <n v="6"/>
    <n v="13"/>
    <s v="Betty"/>
    <s v="Berg"/>
    <s v="University of Houston"/>
    <n v="5"/>
    <s v="Southeast"/>
    <n v="12.8"/>
    <s v="Category 2"/>
    <x v="0"/>
    <x v="1"/>
    <x v="1"/>
  </r>
  <r>
    <n v="3232"/>
    <s v="M"/>
    <n v="0.41"/>
    <n v="0.32500000000000001"/>
    <n v="0.12"/>
    <n v="0.3745"/>
    <n v="0.158"/>
    <n v="8.1000000000000003E-2"/>
    <n v="0.125"/>
    <n v="12"/>
    <n v="12"/>
    <s v="Rebecca"/>
    <s v="Bennett"/>
    <s v="University of Houston"/>
    <n v="8"/>
    <s v="West Coast"/>
    <n v="12.3"/>
    <s v="Category 2"/>
    <x v="0"/>
    <x v="1"/>
    <x v="1"/>
  </r>
  <r>
    <n v="697"/>
    <s v="I"/>
    <n v="0.155"/>
    <n v="0.105"/>
    <n v="0.05"/>
    <n v="1.7500000000000002E-2"/>
    <n v="5.0000000000000001E-3"/>
    <n v="3.5000000000000001E-3"/>
    <n v="5.0000000000000001E-3"/>
    <n v="4"/>
    <n v="3"/>
    <s v="Inaya"/>
    <s v="Bernard"/>
    <s v="Stanford University"/>
    <n v="6"/>
    <s v="Gulf of Mexico_x0009_"/>
    <n v="14.1"/>
    <s v="Category 2"/>
    <x v="0"/>
    <x v="1"/>
    <x v="1"/>
  </r>
  <r>
    <n v="1281"/>
    <s v="M"/>
    <n v="0.495"/>
    <n v="0.39500000000000002"/>
    <n v="0.12"/>
    <n v="0.55300000000000005"/>
    <n v="0.224"/>
    <n v="0.13750000000000001"/>
    <n v="0.16700000000000001"/>
    <n v="8"/>
    <n v="15"/>
    <s v="Conan"/>
    <s v="Dalton"/>
    <s v="University of Houston"/>
    <n v="6"/>
    <s v="Gulf of Mexico_x0009_"/>
    <n v="14.1"/>
    <s v="Category 2"/>
    <x v="0"/>
    <x v="1"/>
    <x v="1"/>
  </r>
  <r>
    <n v="2531"/>
    <s v="F"/>
    <n v="0.6"/>
    <n v="0.48499999999999999"/>
    <n v="0.16500000000000001"/>
    <n v="1.1405000000000001"/>
    <n v="0.58699999999999997"/>
    <n v="0.2175"/>
    <n v="0.28799999999999998"/>
    <n v="9"/>
    <n v="12"/>
    <s v="Rebecca"/>
    <s v="Bennett"/>
    <s v="University of Houston"/>
    <n v="8"/>
    <s v="West Coast"/>
    <n v="12.3"/>
    <s v="Category 3"/>
    <x v="0"/>
    <x v="0"/>
    <x v="0"/>
  </r>
  <r>
    <n v="2704"/>
    <s v="M"/>
    <n v="0.68"/>
    <n v="0.53"/>
    <n v="0.18"/>
    <n v="1.5289999999999999"/>
    <n v="0.76349999999999996"/>
    <n v="0.3115"/>
    <n v="0.40250000000000002"/>
    <n v="11"/>
    <n v="9"/>
    <s v="Danica"/>
    <s v="Tyler"/>
    <s v="University of Florida_x0009_"/>
    <n v="6"/>
    <s v="Gulf of Mexico_x0009_"/>
    <n v="14.1"/>
    <s v="Category 3"/>
    <x v="0"/>
    <x v="0"/>
    <x v="0"/>
  </r>
  <r>
    <n v="2104"/>
    <s v="M"/>
    <n v="0.375"/>
    <n v="0.28999999999999998"/>
    <n v="0.1"/>
    <n v="0.27600000000000002"/>
    <n v="0.11749999999999999"/>
    <n v="5.6500000000000002E-2"/>
    <n v="8.5000000000000006E-2"/>
    <n v="9"/>
    <n v="3"/>
    <s v="Inaya"/>
    <s v="Bernard"/>
    <s v="Stanford University"/>
    <n v="2"/>
    <s v="Florida Gulf Coast"/>
    <n v="18"/>
    <s v="Category 2"/>
    <x v="0"/>
    <x v="1"/>
    <x v="1"/>
  </r>
  <r>
    <n v="1171"/>
    <s v="F"/>
    <n v="0.625"/>
    <n v="0.48499999999999999"/>
    <n v="0.17499999999999999"/>
    <n v="1.3745000000000001"/>
    <n v="0.73350000000000004"/>
    <n v="0.27150000000000002"/>
    <n v="0.33200000000000002"/>
    <n v="9"/>
    <n v="14"/>
    <s v="Santiago"/>
    <s v="Vaughan"/>
    <s v="Ohio State University_x0009_"/>
    <n v="7"/>
    <s v="Great Lakes"/>
    <n v="2.5"/>
    <s v="Category 3"/>
    <x v="0"/>
    <x v="0"/>
    <x v="0"/>
  </r>
  <r>
    <n v="3248"/>
    <s v="F"/>
    <n v="0.61"/>
    <n v="0.495"/>
    <n v="0.19"/>
    <n v="1.2130000000000001"/>
    <n v="0.46400000000000002"/>
    <n v="0.30599999999999999"/>
    <n v="0.36499999999999999"/>
    <n v="15"/>
    <n v="11"/>
    <s v="Naima"/>
    <s v="Reyes"/>
    <s v="University of Houston"/>
    <n v="6"/>
    <s v="Gulf of Mexico_x0009_"/>
    <n v="14.1"/>
    <s v="Category 3"/>
    <x v="0"/>
    <x v="0"/>
    <x v="0"/>
  </r>
  <r>
    <n v="3470"/>
    <s v="F"/>
    <n v="0.71499999999999997"/>
    <n v="0.58499999999999996"/>
    <n v="0.23"/>
    <n v="2.0724999999999998"/>
    <n v="0.86550000000000005"/>
    <n v="0.40949999999999998"/>
    <n v="0.56499999999999995"/>
    <n v="10"/>
    <n v="6"/>
    <s v="Martin"/>
    <s v="Gaines"/>
    <s v="San Diego State University"/>
    <n v="6"/>
    <s v="Gulf of Mexico_x0009_"/>
    <n v="14.1"/>
    <s v="Category 3"/>
    <x v="0"/>
    <x v="0"/>
    <x v="0"/>
  </r>
  <r>
    <n v="4107"/>
    <s v="F"/>
    <n v="0.72"/>
    <n v="0.59"/>
    <n v="0.20499999999999999"/>
    <n v="1.7495000000000001"/>
    <n v="0.77549999999999997"/>
    <n v="0.42249999999999999"/>
    <n v="0.48"/>
    <n v="11"/>
    <n v="10"/>
    <s v="Hazel"/>
    <s v="Villa"/>
    <s v="University of Minnesota"/>
    <n v="2"/>
    <s v="Florida Gulf Coast"/>
    <n v="18"/>
    <s v="Category 3"/>
    <x v="0"/>
    <x v="0"/>
    <x v="0"/>
  </r>
  <r>
    <n v="1111"/>
    <s v="I"/>
    <n v="0.52"/>
    <n v="0.38"/>
    <n v="0.13500000000000001"/>
    <n v="0.53949999999999998"/>
    <n v="0.22950000000000001"/>
    <n v="0.13300000000000001"/>
    <n v="0.157"/>
    <n v="8"/>
    <n v="15"/>
    <s v="Conan"/>
    <s v="Dalton"/>
    <s v="University of Houston"/>
    <n v="5"/>
    <s v="Southeast"/>
    <n v="12.8"/>
    <s v="Category 2"/>
    <x v="0"/>
    <x v="1"/>
    <x v="1"/>
  </r>
  <r>
    <n v="1944"/>
    <s v="F"/>
    <n v="0.63500000000000001"/>
    <n v="0.48499999999999999"/>
    <n v="0.16500000000000001"/>
    <n v="1.2695000000000001"/>
    <n v="0.5635"/>
    <n v="0.30649999999999999"/>
    <n v="0.33950000000000002"/>
    <n v="11"/>
    <n v="9"/>
    <s v="Danica"/>
    <s v="Tyler"/>
    <s v="University of Florida_x0009_"/>
    <n v="9"/>
    <s v="North Pacific"/>
    <n v="1.9"/>
    <s v="Category 3"/>
    <x v="0"/>
    <x v="0"/>
    <x v="0"/>
  </r>
  <r>
    <n v="2240"/>
    <s v="F"/>
    <n v="0.46"/>
    <n v="0.36"/>
    <n v="0.115"/>
    <n v="0.47549999999999998"/>
    <n v="0.21049999999999999"/>
    <n v="0.105"/>
    <n v="0.16"/>
    <n v="8"/>
    <n v="2"/>
    <s v="Tiegan"/>
    <s v="Davie"/>
    <s v="University of California, Davis"/>
    <n v="10"/>
    <s v="Pacific"/>
    <n v="24.1"/>
    <s v="Category 2"/>
    <x v="0"/>
    <x v="1"/>
    <x v="1"/>
  </r>
  <r>
    <n v="221"/>
    <s v="F"/>
    <n v="0.44500000000000001"/>
    <n v="0.32500000000000001"/>
    <n v="0.125"/>
    <n v="0.45500000000000002"/>
    <n v="0.17849999999999999"/>
    <n v="0.1125"/>
    <n v="0.14000000000000001"/>
    <n v="9"/>
    <n v="12"/>
    <s v="Rebecca"/>
    <s v="Bennett"/>
    <s v="University of Houston"/>
    <n v="6"/>
    <s v="Gulf of Mexico_x0009_"/>
    <n v="14.1"/>
    <s v="Category 2"/>
    <x v="0"/>
    <x v="1"/>
    <x v="1"/>
  </r>
  <r>
    <n v="728"/>
    <s v="F"/>
    <n v="0.48"/>
    <n v="0.375"/>
    <n v="0.105"/>
    <n v="0.52500000000000002"/>
    <n v="0.2185"/>
    <n v="0.1195"/>
    <n v="0.155"/>
    <n v="12"/>
    <n v="10"/>
    <s v="Hazel"/>
    <s v="Villa"/>
    <s v="University of Minnesota"/>
    <n v="7"/>
    <s v="Great Lakes"/>
    <n v="2.5"/>
    <s v="Category 2"/>
    <x v="0"/>
    <x v="1"/>
    <x v="1"/>
  </r>
  <r>
    <n v="3741"/>
    <s v="F"/>
    <n v="0.65"/>
    <n v="0.5"/>
    <n v="0.17"/>
    <n v="1.4045000000000001"/>
    <n v="0.69399999999999995"/>
    <n v="0.318"/>
    <n v="0.32350000000000001"/>
    <n v="11"/>
    <n v="7"/>
    <s v="Iona"/>
    <s v="Connolly"/>
    <s v="Florida Atlantic University"/>
    <n v="4"/>
    <s v="Mid-Atlantic"/>
    <n v="6.1"/>
    <s v="Category 3"/>
    <x v="0"/>
    <x v="0"/>
    <x v="0"/>
  </r>
  <r>
    <n v="1077"/>
    <s v="I"/>
    <n v="0.42"/>
    <n v="0.3"/>
    <n v="0.105"/>
    <n v="0.316"/>
    <n v="0.1255"/>
    <n v="7.0000000000000007E-2"/>
    <n v="0.10349999999999999"/>
    <n v="7"/>
    <n v="2"/>
    <s v="Tiegan"/>
    <s v="Davie"/>
    <s v="University of California, Davis"/>
    <n v="3"/>
    <s v="Northeast"/>
    <n v="3.6"/>
    <s v="Category 2"/>
    <x v="0"/>
    <x v="1"/>
    <x v="1"/>
  </r>
  <r>
    <n v="2829"/>
    <s v="M"/>
    <n v="0.52"/>
    <n v="0.4"/>
    <n v="0.105"/>
    <n v="0.872"/>
    <n v="0.45150000000000001"/>
    <n v="0.1615"/>
    <n v="0.19850000000000001"/>
    <n v="9"/>
    <n v="6"/>
    <s v="Martin"/>
    <s v="Gaines"/>
    <s v="San Diego State University"/>
    <n v="10"/>
    <s v="Pacific"/>
    <n v="24.1"/>
    <s v="Category 3"/>
    <x v="0"/>
    <x v="0"/>
    <x v="0"/>
  </r>
  <r>
    <n v="3231"/>
    <s v="M"/>
    <n v="0.56999999999999995"/>
    <n v="0.45500000000000002"/>
    <n v="0.15"/>
    <n v="0.96"/>
    <n v="0.38700000000000001"/>
    <n v="0.23849999999999999"/>
    <n v="0.27500000000000002"/>
    <n v="11"/>
    <n v="14"/>
    <s v="Santiago"/>
    <s v="Vaughan"/>
    <s v="Ohio State University_x0009_"/>
    <n v="6"/>
    <s v="Gulf of Mexico_x0009_"/>
    <n v="14.1"/>
    <s v="Category 2"/>
    <x v="0"/>
    <x v="1"/>
    <x v="1"/>
  </r>
  <r>
    <n v="3704"/>
    <s v="F"/>
    <n v="0.67"/>
    <n v="0.51"/>
    <n v="0.155"/>
    <n v="1.278"/>
    <n v="0.5605"/>
    <n v="0.30449999999999999"/>
    <n v="0.35799999999999998"/>
    <n v="11"/>
    <n v="12"/>
    <s v="Rebecca"/>
    <s v="Bennett"/>
    <s v="University of Houston"/>
    <n v="8"/>
    <s v="West Coast"/>
    <n v="12.3"/>
    <s v="Category 3"/>
    <x v="0"/>
    <x v="0"/>
    <x v="0"/>
  </r>
  <r>
    <n v="2163"/>
    <s v="F"/>
    <n v="0.71"/>
    <n v="0.56499999999999995"/>
    <n v="0.19500000000000001"/>
    <n v="1.8169999999999999"/>
    <n v="0.78500000000000003"/>
    <n v="0.49199999999999999"/>
    <n v="0.49"/>
    <n v="11"/>
    <n v="6"/>
    <s v="Martin"/>
    <s v="Gaines"/>
    <s v="San Diego State University"/>
    <n v="9"/>
    <s v="North Pacific"/>
    <n v="1.9"/>
    <s v="Category 3"/>
    <x v="0"/>
    <x v="0"/>
    <x v="0"/>
  </r>
  <r>
    <n v="3736"/>
    <s v="M"/>
    <n v="0.61499999999999999"/>
    <n v="0.47499999999999998"/>
    <n v="0.15"/>
    <n v="1.0375000000000001"/>
    <n v="0.47599999999999998"/>
    <n v="0.23250000000000001"/>
    <n v="0.28299999999999997"/>
    <n v="9"/>
    <n v="13"/>
    <s v="Betty"/>
    <s v="Berg"/>
    <s v="University of Houston"/>
    <n v="5"/>
    <s v="Southeast"/>
    <n v="12.8"/>
    <s v="Category 3"/>
    <x v="0"/>
    <x v="0"/>
    <x v="0"/>
  </r>
  <r>
    <n v="3035"/>
    <s v="M"/>
    <n v="0.54"/>
    <n v="0.42"/>
    <n v="0.19"/>
    <n v="0.6855"/>
    <n v="0.29299999999999998"/>
    <n v="0.16300000000000001"/>
    <n v="0.38"/>
    <n v="10"/>
    <n v="4"/>
    <s v="Nate"/>
    <s v="Craig"/>
    <s v="NOAA Fisheries"/>
    <n v="8"/>
    <s v="West Coast"/>
    <n v="12.3"/>
    <s v="Category 2"/>
    <x v="0"/>
    <x v="1"/>
    <x v="1"/>
  </r>
  <r>
    <n v="2288"/>
    <s v="F"/>
    <n v="0.38500000000000001"/>
    <n v="0.30499999999999999"/>
    <n v="0.105"/>
    <n v="0.33150000000000002"/>
    <n v="0.13650000000000001"/>
    <n v="7.4499999999999997E-2"/>
    <n v="0.1"/>
    <n v="7"/>
    <n v="14"/>
    <s v="Santiago"/>
    <s v="Vaughan"/>
    <s v="Ohio State University_x0009_"/>
    <n v="6"/>
    <s v="Gulf of Mexico_x0009_"/>
    <n v="14.1"/>
    <s v="Category 2"/>
    <x v="0"/>
    <x v="1"/>
    <x v="1"/>
  </r>
  <r>
    <n v="3220"/>
    <s v="M"/>
    <n v="0.67500000000000004"/>
    <n v="0.52500000000000002"/>
    <n v="0.17499999999999999"/>
    <n v="1.4019999999999999"/>
    <n v="0.48299999999999998"/>
    <n v="0.32050000000000001"/>
    <n v="0.46500000000000002"/>
    <n v="16"/>
    <n v="2"/>
    <s v="Tiegan"/>
    <s v="Davie"/>
    <s v="University of California, Davis"/>
    <n v="1"/>
    <s v="Florida Atlantic Coast"/>
    <n v="22.1"/>
    <s v="Category 2"/>
    <x v="0"/>
    <x v="1"/>
    <x v="1"/>
  </r>
  <r>
    <n v="1539"/>
    <s v="I"/>
    <n v="0.35499999999999998"/>
    <n v="0.27"/>
    <n v="7.4999999999999997E-2"/>
    <n v="0.17749999999999999"/>
    <n v="7.9000000000000001E-2"/>
    <n v="3.15E-2"/>
    <n v="5.3999999999999999E-2"/>
    <n v="6"/>
    <n v="3"/>
    <s v="Inaya"/>
    <s v="Bernard"/>
    <s v="Stanford University"/>
    <n v="3"/>
    <s v="Northeast"/>
    <n v="3.6"/>
    <s v="Category 2"/>
    <x v="0"/>
    <x v="1"/>
    <x v="1"/>
  </r>
  <r>
    <n v="2207"/>
    <s v="F"/>
    <n v="0.28999999999999998"/>
    <n v="0.22500000000000001"/>
    <n v="7.4999999999999997E-2"/>
    <n v="0.14000000000000001"/>
    <n v="5.1499999999999997E-2"/>
    <n v="2.35E-2"/>
    <n v="0.04"/>
    <n v="5"/>
    <n v="3"/>
    <s v="Inaya"/>
    <s v="Bernard"/>
    <s v="Stanford University"/>
    <n v="5"/>
    <s v="Southeast"/>
    <n v="12.8"/>
    <s v="Category 2"/>
    <x v="0"/>
    <x v="1"/>
    <x v="1"/>
  </r>
  <r>
    <n v="3578"/>
    <s v="M"/>
    <n v="0.6"/>
    <n v="0.47499999999999998"/>
    <n v="0.23"/>
    <n v="1.157"/>
    <n v="0.52200000000000002"/>
    <n v="0.2235"/>
    <n v="0.36"/>
    <n v="11"/>
    <n v="7"/>
    <s v="Iona"/>
    <s v="Connolly"/>
    <s v="Florida Atlantic University"/>
    <n v="9"/>
    <s v="North Pacific"/>
    <n v="1.9"/>
    <s v="Category 3"/>
    <x v="0"/>
    <x v="0"/>
    <x v="0"/>
  </r>
  <r>
    <n v="226"/>
    <s v="F"/>
    <n v="0.5"/>
    <n v="0.37"/>
    <n v="0.13500000000000001"/>
    <n v="0.45"/>
    <n v="0.17150000000000001"/>
    <n v="0.1055"/>
    <n v="0.155"/>
    <n v="9"/>
    <n v="7"/>
    <s v="Iona"/>
    <s v="Connolly"/>
    <s v="Florida Atlantic University"/>
    <n v="10"/>
    <s v="Pacific"/>
    <n v="24.1"/>
    <s v="Category 2"/>
    <x v="0"/>
    <x v="1"/>
    <x v="1"/>
  </r>
  <r>
    <n v="2684"/>
    <s v="M"/>
    <n v="0.625"/>
    <n v="0.495"/>
    <n v="0.185"/>
    <n v="1.3835"/>
    <n v="0.71050000000000002"/>
    <n v="0.30049999999999999"/>
    <n v="0.34499999999999997"/>
    <n v="11"/>
    <n v="12"/>
    <s v="Rebecca"/>
    <s v="Bennett"/>
    <s v="University of Houston"/>
    <n v="3"/>
    <s v="Northeast"/>
    <n v="3.6"/>
    <s v="Category 3"/>
    <x v="0"/>
    <x v="0"/>
    <x v="0"/>
  </r>
  <r>
    <n v="1776"/>
    <s v="I"/>
    <n v="0.48499999999999999"/>
    <n v="0.36499999999999999"/>
    <n v="0.105"/>
    <n v="0.52049999999999996"/>
    <n v="0.19500000000000001"/>
    <n v="0.123"/>
    <n v="0.182"/>
    <n v="8"/>
    <n v="15"/>
    <s v="Conan"/>
    <s v="Dalton"/>
    <s v="University of Houston"/>
    <n v="9"/>
    <s v="North Pacific"/>
    <n v="1.9"/>
    <s v="Category 2"/>
    <x v="0"/>
    <x v="1"/>
    <x v="1"/>
  </r>
  <r>
    <n v="827"/>
    <s v="I"/>
    <n v="0.39500000000000002"/>
    <n v="0.28999999999999998"/>
    <n v="9.5000000000000001E-2"/>
    <n v="0.30399999999999999"/>
    <n v="0.127"/>
    <n v="8.4000000000000005E-2"/>
    <n v="7.6999999999999999E-2"/>
    <n v="6"/>
    <n v="3"/>
    <s v="Inaya"/>
    <s v="Bernard"/>
    <s v="Stanford University"/>
    <n v="4"/>
    <s v="Mid-Atlantic"/>
    <n v="6.1"/>
    <s v="Category 2"/>
    <x v="0"/>
    <x v="1"/>
    <x v="1"/>
  </r>
  <r>
    <n v="1594"/>
    <s v="I"/>
    <n v="0.52500000000000002"/>
    <n v="0.38"/>
    <n v="0.13500000000000001"/>
    <n v="0.61499999999999999"/>
    <n v="0.26100000000000001"/>
    <n v="0.159"/>
    <n v="0.17499999999999999"/>
    <n v="8"/>
    <n v="9"/>
    <s v="Danica"/>
    <s v="Tyler"/>
    <s v="University of Florida_x0009_"/>
    <n v="8"/>
    <s v="West Coast"/>
    <n v="12.3"/>
    <s v="Category 2"/>
    <x v="0"/>
    <x v="1"/>
    <x v="1"/>
  </r>
  <r>
    <n v="3672"/>
    <s v="I"/>
    <n v="0.59499999999999997"/>
    <n v="0.47"/>
    <n v="0.13500000000000001"/>
    <n v="0.9365"/>
    <n v="0.434"/>
    <n v="0.184"/>
    <n v="0.28699999999999998"/>
    <n v="10"/>
    <n v="3"/>
    <s v="Inaya"/>
    <s v="Bernard"/>
    <s v="Stanford University"/>
    <n v="9"/>
    <s v="North Pacific"/>
    <n v="1.9"/>
    <s v="Category 3"/>
    <x v="0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52"/>
    <s v="F"/>
    <n v="0.60499999999999998"/>
    <n v="0.5"/>
    <n v="0.185"/>
    <n v="1.1185"/>
    <n v="0.46899999999999997"/>
    <n v="0.25850000000000001"/>
    <n v="0.33500000000000002"/>
    <n v="9"/>
    <n v="12"/>
    <s v="Rebecca"/>
    <s v="Bennett"/>
    <s v="University of Houston"/>
    <n v="1"/>
    <x v="0"/>
    <n v="22.1"/>
    <s v="Category 3"/>
    <e v="#N/A"/>
    <e v="#N/A"/>
    <s v="Yes"/>
    <n v="1.02825375"/>
    <n v="1.02825375"/>
    <x v="0"/>
    <x v="0"/>
    <x v="0"/>
  </r>
  <r>
    <n v="3344"/>
    <s v="F"/>
    <n v="0.45500000000000002"/>
    <n v="0.36499999999999999"/>
    <n v="0.11"/>
    <n v="0.38500000000000001"/>
    <n v="0.16600000000000001"/>
    <n v="4.5999999999999999E-2"/>
    <n v="0.13450000000000001"/>
    <n v="13"/>
    <n v="11"/>
    <s v="Naima"/>
    <s v="Reyes"/>
    <s v="University of Houston"/>
    <n v="2"/>
    <x v="1"/>
    <n v="18"/>
    <s v="Category 2"/>
    <e v="#N/A"/>
    <s v="Yes"/>
    <e v="#N/A"/>
    <n v="0.95472499999999993"/>
    <n v="0.76378000000000001"/>
    <x v="0"/>
    <x v="1"/>
    <x v="1"/>
  </r>
  <r>
    <n v="1424"/>
    <s v="F"/>
    <n v="0.72499999999999998"/>
    <n v="0.6"/>
    <n v="0.2"/>
    <n v="1.7370000000000001"/>
    <n v="0.69699999999999995"/>
    <n v="0.35849999999999999"/>
    <n v="0.59499999999999997"/>
    <n v="11"/>
    <n v="1"/>
    <s v="Jan"/>
    <s v="Odom"/>
    <s v="University of Houston"/>
    <n v="4"/>
    <x v="2"/>
    <n v="6.1"/>
    <s v="Category 3"/>
    <e v="#N/A"/>
    <e v="#N/A"/>
    <s v="Yes"/>
    <n v="1.0837666666666665"/>
    <n v="1.0837666666666665"/>
    <x v="0"/>
    <x v="0"/>
    <x v="2"/>
  </r>
  <r>
    <n v="3755"/>
    <s v="I"/>
    <n v="0.48499999999999999"/>
    <n v="0.37"/>
    <n v="0.14000000000000001"/>
    <n v="0.50649999999999995"/>
    <n v="0.24249999999999999"/>
    <n v="8.7999999999999995E-2"/>
    <n v="0.14649999999999999"/>
    <n v="8"/>
    <n v="13"/>
    <s v="Betty"/>
    <s v="Berg"/>
    <s v="University of Houston"/>
    <n v="5"/>
    <x v="3"/>
    <n v="12.8"/>
    <s v="Category 2"/>
    <e v="#N/A"/>
    <s v="Yes"/>
    <e v="#N/A"/>
    <n v="0.96305166666666664"/>
    <n v="0.77044133333333331"/>
    <x v="0"/>
    <x v="2"/>
    <x v="1"/>
  </r>
  <r>
    <n v="884"/>
    <s v="M"/>
    <n v="0.66"/>
    <n v="0.53"/>
    <n v="0.17"/>
    <n v="1.3905000000000001"/>
    <n v="0.59050000000000002"/>
    <n v="0.21199999999999999"/>
    <n v="0.45300000000000001"/>
    <n v="15"/>
    <n v="10"/>
    <s v="Hazel"/>
    <s v="Villa"/>
    <s v="University of Minnesota"/>
    <n v="8"/>
    <x v="4"/>
    <n v="12.3"/>
    <s v="Category 3"/>
    <e v="#N/A"/>
    <e v="#N/A"/>
    <s v="Yes"/>
    <n v="1.0433641666666666"/>
    <n v="1.0433641666666666"/>
    <x v="0"/>
    <x v="0"/>
    <x v="3"/>
  </r>
  <r>
    <n v="2797"/>
    <s v="M"/>
    <n v="0.63"/>
    <n v="0.52500000000000002"/>
    <n v="0.19500000000000001"/>
    <n v="1.3134999999999999"/>
    <n v="0.49349999999999999"/>
    <n v="0.25650000000000001"/>
    <n v="0.46500000000000002"/>
    <n v="10"/>
    <n v="9"/>
    <s v="Danica"/>
    <s v="Tyler"/>
    <s v="University of Florida_x0009_"/>
    <n v="2"/>
    <x v="1"/>
    <n v="18"/>
    <s v="Category 3"/>
    <e v="#N/A"/>
    <e v="#N/A"/>
    <s v="Yes"/>
    <n v="1.0401220833333336"/>
    <n v="1.0401220833333336"/>
    <x v="0"/>
    <x v="0"/>
    <x v="4"/>
  </r>
  <r>
    <n v="618"/>
    <s v="M"/>
    <n v="0.32"/>
    <n v="0.24"/>
    <n v="8.5000000000000006E-2"/>
    <n v="0.17"/>
    <n v="6.5500000000000003E-2"/>
    <n v="4.7E-2"/>
    <n v="4.9000000000000002E-2"/>
    <n v="7"/>
    <n v="11"/>
    <s v="Naima"/>
    <s v="Reyes"/>
    <s v="University of Houston"/>
    <n v="4"/>
    <x v="2"/>
    <n v="6.1"/>
    <s v="Category 2"/>
    <e v="#N/A"/>
    <s v="Yes"/>
    <e v="#N/A"/>
    <n v="0.87774166666666664"/>
    <n v="0.70219333333333334"/>
    <x v="0"/>
    <x v="3"/>
    <x v="1"/>
  </r>
  <r>
    <n v="1078"/>
    <s v="I"/>
    <n v="0.42"/>
    <n v="0.32"/>
    <n v="0.11"/>
    <n v="0.36249999999999999"/>
    <n v="0.17399999999999999"/>
    <n v="6.3500000000000001E-2"/>
    <n v="0.105"/>
    <n v="7"/>
    <n v="14"/>
    <s v="Santiago"/>
    <s v="Vaughan"/>
    <s v="Ohio State University_x0009_"/>
    <n v="1"/>
    <x v="0"/>
    <n v="22.1"/>
    <s v="Category 2"/>
    <e v="#N/A"/>
    <s v="Yes"/>
    <e v="#N/A"/>
    <n v="0.92914583333333345"/>
    <n v="0.74331666666666685"/>
    <x v="0"/>
    <x v="4"/>
    <x v="1"/>
  </r>
  <r>
    <n v="1982"/>
    <s v="F"/>
    <n v="0.72"/>
    <n v="0.57499999999999996"/>
    <n v="0.18"/>
    <n v="1.6705000000000001"/>
    <n v="0.73199999999999998"/>
    <n v="0.36049999999999999"/>
    <n v="0.501"/>
    <n v="12"/>
    <n v="5"/>
    <s v="Haniya"/>
    <s v="Talley"/>
    <s v="Prince William Sound Science Center"/>
    <n v="2"/>
    <x v="1"/>
    <n v="18"/>
    <s v="Category 3"/>
    <e v="#N/A"/>
    <e v="#N/A"/>
    <s v="Yes"/>
    <n v="1.0704149999999999"/>
    <n v="1.0704149999999999"/>
    <x v="0"/>
    <x v="0"/>
    <x v="5"/>
  </r>
  <r>
    <n v="729"/>
    <s v="M"/>
    <n v="0.505"/>
    <n v="0.4"/>
    <n v="0.125"/>
    <n v="0.77"/>
    <n v="0.27350000000000002"/>
    <n v="0.159"/>
    <n v="0.255"/>
    <n v="13"/>
    <n v="11"/>
    <s v="Naima"/>
    <s v="Reyes"/>
    <s v="University of Houston"/>
    <n v="5"/>
    <x v="3"/>
    <n v="12.8"/>
    <s v="Category 2"/>
    <e v="#N/A"/>
    <s v="Yes"/>
    <e v="#N/A"/>
    <n v="0.96637499999999998"/>
    <n v="0.77310000000000001"/>
    <x v="0"/>
    <x v="5"/>
    <x v="1"/>
  </r>
  <r>
    <n v="2050"/>
    <s v="I"/>
    <n v="0.44500000000000001"/>
    <n v="0.32"/>
    <n v="0.12"/>
    <n v="0.378"/>
    <n v="0.152"/>
    <n v="8.2500000000000004E-2"/>
    <n v="0.12"/>
    <n v="8"/>
    <n v="8"/>
    <s v="Kali"/>
    <s v="Metcalfe"/>
    <s v="Mote Marine Laboratory"/>
    <n v="5"/>
    <x v="3"/>
    <n v="12.8"/>
    <s v="Category 2"/>
    <e v="#N/A"/>
    <s v="Yes"/>
    <e v="#N/A"/>
    <n v="0.93736000000000008"/>
    <n v="0.74988800000000011"/>
    <x v="0"/>
    <x v="6"/>
    <x v="1"/>
  </r>
  <r>
    <n v="2642"/>
    <s v="I"/>
    <n v="0.47499999999999998"/>
    <n v="0.36499999999999999"/>
    <n v="0.1"/>
    <n v="0.13150000000000001"/>
    <n v="0.20250000000000001"/>
    <n v="8.7499999999999994E-2"/>
    <n v="0.123"/>
    <n v="7"/>
    <n v="2"/>
    <s v="Tiegan"/>
    <s v="Davie"/>
    <s v="University of California, Davis"/>
    <n v="1"/>
    <x v="0"/>
    <n v="22.1"/>
    <s v="Category 2"/>
    <e v="#N/A"/>
    <s v="Yes"/>
    <e v="#N/A"/>
    <n v="0.97342499999999998"/>
    <n v="0.77873999999999999"/>
    <x v="0"/>
    <x v="7"/>
    <x v="1"/>
  </r>
  <r>
    <n v="2044"/>
    <s v="I"/>
    <n v="0.39500000000000002"/>
    <n v="0.29499999999999998"/>
    <n v="0.1"/>
    <n v="0.29299999999999998"/>
    <n v="0.14000000000000001"/>
    <n v="6.2E-2"/>
    <n v="8.2000000000000003E-2"/>
    <n v="7"/>
    <n v="7"/>
    <s v="Iona"/>
    <s v="Connolly"/>
    <s v="Florida Atlantic University"/>
    <n v="10"/>
    <x v="5"/>
    <n v="24.1"/>
    <s v="Category 2"/>
    <e v="#N/A"/>
    <s v="Yes"/>
    <e v="#N/A"/>
    <n v="0.91534999999999989"/>
    <n v="0.73227999999999993"/>
    <x v="0"/>
    <x v="8"/>
    <x v="1"/>
  </r>
  <r>
    <n v="1527"/>
    <s v="M"/>
    <n v="0.70499999999999996"/>
    <n v="0.56000000000000005"/>
    <n v="0.16500000000000001"/>
    <n v="1.675"/>
    <n v="0.79700000000000004"/>
    <n v="0.40949999999999998"/>
    <n v="0.38800000000000001"/>
    <n v="10"/>
    <n v="13"/>
    <s v="Betty"/>
    <s v="Berg"/>
    <s v="University of Houston"/>
    <n v="8"/>
    <x v="4"/>
    <n v="12.3"/>
    <s v="Category 3"/>
    <e v="#N/A"/>
    <e v="#N/A"/>
    <s v="Yes"/>
    <n v="1.0560624999999999"/>
    <n v="1.0560624999999999"/>
    <x v="0"/>
    <x v="0"/>
    <x v="6"/>
  </r>
  <r>
    <n v="1678"/>
    <s v="M"/>
    <n v="0.61499999999999999"/>
    <n v="0.47499999999999998"/>
    <n v="0.17499999999999999"/>
    <n v="1.224"/>
    <n v="0.60350000000000004"/>
    <n v="0.26100000000000001"/>
    <n v="0.311"/>
    <n v="9"/>
    <n v="1"/>
    <s v="Jan"/>
    <s v="Odom"/>
    <s v="University of Houston"/>
    <n v="2"/>
    <x v="1"/>
    <n v="18"/>
    <s v="Category 3"/>
    <e v="#N/A"/>
    <e v="#N/A"/>
    <s v="Yes"/>
    <n v="1.0174333333333332"/>
    <n v="1.0174333333333332"/>
    <x v="0"/>
    <x v="0"/>
    <x v="7"/>
  </r>
  <r>
    <n v="726"/>
    <s v="F"/>
    <n v="0.49"/>
    <n v="0.36"/>
    <n v="0.11"/>
    <n v="0.50049999999999994"/>
    <n v="0.161"/>
    <n v="0.107"/>
    <n v="0.19500000000000001"/>
    <n v="17"/>
    <n v="5"/>
    <s v="Haniya"/>
    <s v="Talley"/>
    <s v="Prince William Sound Science Center"/>
    <n v="1"/>
    <x v="0"/>
    <n v="22.1"/>
    <s v="Category 2"/>
    <e v="#N/A"/>
    <s v="Yes"/>
    <e v="#N/A"/>
    <n v="0.95914250000000001"/>
    <n v="0.76731400000000005"/>
    <x v="0"/>
    <x v="9"/>
    <x v="1"/>
  </r>
  <r>
    <n v="3548"/>
    <s v="I"/>
    <n v="0.48"/>
    <n v="0.35499999999999998"/>
    <n v="0.125"/>
    <n v="0.49399999999999999"/>
    <n v="0.23849999999999999"/>
    <n v="8.3500000000000005E-2"/>
    <n v="0.15"/>
    <n v="9"/>
    <n v="6"/>
    <s v="Martin"/>
    <s v="Gaines"/>
    <s v="San Diego State University"/>
    <n v="8"/>
    <x v="4"/>
    <n v="12.3"/>
    <s v="Category 2"/>
    <e v="#N/A"/>
    <s v="Yes"/>
    <e v="#N/A"/>
    <n v="0.95569166666666661"/>
    <n v="0.76455333333333331"/>
    <x v="0"/>
    <x v="10"/>
    <x v="1"/>
  </r>
  <r>
    <n v="1172"/>
    <s v="M"/>
    <n v="0.625"/>
    <n v="0.48"/>
    <n v="0.185"/>
    <n v="1.2064999999999999"/>
    <n v="0.58699999999999997"/>
    <n v="0.28999999999999998"/>
    <n v="0.28599999999999998"/>
    <n v="8"/>
    <n v="12"/>
    <s v="Rebecca"/>
    <s v="Bennett"/>
    <s v="University of Houston"/>
    <n v="7"/>
    <x v="6"/>
    <n v="2.5"/>
    <s v="Category 3"/>
    <e v="#N/A"/>
    <e v="#N/A"/>
    <s v="Yes"/>
    <n v="1.0251004166666666"/>
    <n v="1.0251004166666666"/>
    <x v="0"/>
    <x v="0"/>
    <x v="8"/>
  </r>
  <r>
    <n v="2287"/>
    <s v="F"/>
    <n v="0.5"/>
    <n v="0.39500000000000002"/>
    <n v="0.15"/>
    <n v="0.71450000000000002"/>
    <n v="0.32350000000000001"/>
    <n v="0.17299999999999999"/>
    <n v="0.19500000000000001"/>
    <n v="9"/>
    <n v="9"/>
    <s v="Danica"/>
    <s v="Tyler"/>
    <s v="University of Florida_x0009_"/>
    <n v="4"/>
    <x v="2"/>
    <n v="6.1"/>
    <s v="Category 2"/>
    <e v="#N/A"/>
    <s v="Yes"/>
    <e v="#N/A"/>
    <n v="0.96856249999999999"/>
    <n v="0.77485000000000004"/>
    <x v="0"/>
    <x v="11"/>
    <x v="1"/>
  </r>
  <r>
    <n v="2886"/>
    <s v="I"/>
    <n v="0.505"/>
    <n v="0.4"/>
    <n v="0.125"/>
    <n v="0.5605"/>
    <n v="0.22550000000000001"/>
    <n v="0.14349999999999999"/>
    <n v="0.17"/>
    <n v="8"/>
    <n v="3"/>
    <s v="Inaya"/>
    <s v="Bernard"/>
    <s v="Stanford University"/>
    <n v="1"/>
    <x v="0"/>
    <n v="22.1"/>
    <s v="Category 2"/>
    <e v="#N/A"/>
    <s v="Yes"/>
    <e v="#N/A"/>
    <n v="0.97597708333333333"/>
    <n v="0.78078166666666671"/>
    <x v="0"/>
    <x v="12"/>
    <x v="1"/>
  </r>
  <r>
    <n v="3347"/>
    <s v="I"/>
    <n v="0.47"/>
    <n v="0.4"/>
    <n v="0.16"/>
    <n v="0.51"/>
    <n v="0.1615"/>
    <n v="7.2999999999999995E-2"/>
    <n v="0.19800000000000001"/>
    <n v="14"/>
    <n v="10"/>
    <s v="Hazel"/>
    <s v="Villa"/>
    <s v="University of Minnesota"/>
    <n v="9"/>
    <x v="7"/>
    <n v="1.9"/>
    <s v="Category 2"/>
    <e v="#N/A"/>
    <s v="Yes"/>
    <e v="#N/A"/>
    <n v="0.96960000000000002"/>
    <n v="0.77568000000000004"/>
    <x v="0"/>
    <x v="13"/>
    <x v="1"/>
  </r>
  <r>
    <n v="2640"/>
    <s v="I"/>
    <n v="0.46"/>
    <n v="0.37"/>
    <n v="0.12"/>
    <n v="0.53349999999999997"/>
    <n v="0.26450000000000001"/>
    <n v="0.108"/>
    <n v="0.13450000000000001"/>
    <n v="6"/>
    <n v="6"/>
    <s v="Martin"/>
    <s v="Gaines"/>
    <s v="San Diego State University"/>
    <n v="2"/>
    <x v="1"/>
    <n v="18"/>
    <s v="Category 2"/>
    <e v="#N/A"/>
    <s v="Yes"/>
    <e v="#N/A"/>
    <n v="0.95177"/>
    <n v="0.76141600000000009"/>
    <x v="0"/>
    <x v="14"/>
    <x v="1"/>
  </r>
  <r>
    <n v="3951"/>
    <s v="F"/>
    <n v="0.53"/>
    <n v="0.42499999999999999"/>
    <n v="0.13"/>
    <n v="0.71699999999999997"/>
    <n v="0.21149999999999999"/>
    <n v="0.16600000000000001"/>
    <n v="0.255"/>
    <n v="13"/>
    <n v="6"/>
    <s v="Martin"/>
    <s v="Gaines"/>
    <s v="San Diego State University"/>
    <n v="2"/>
    <x v="1"/>
    <n v="18"/>
    <s v="Category 2"/>
    <e v="#N/A"/>
    <s v="Yes"/>
    <e v="#N/A"/>
    <n v="0.98606833333333332"/>
    <n v="0.7888546666666667"/>
    <x v="0"/>
    <x v="15"/>
    <x v="1"/>
  </r>
  <r>
    <n v="1571"/>
    <s v="M"/>
    <n v="0.47499999999999998"/>
    <n v="0.36"/>
    <n v="0.1"/>
    <n v="0.42849999999999999"/>
    <n v="0.19650000000000001"/>
    <n v="9.9000000000000005E-2"/>
    <n v="0.112"/>
    <n v="7"/>
    <n v="5"/>
    <s v="Haniya"/>
    <s v="Talley"/>
    <s v="Prince William Sound Science Center"/>
    <n v="6"/>
    <x v="8"/>
    <n v="14.1"/>
    <s v="Category 2"/>
    <e v="#N/A"/>
    <s v="Yes"/>
    <e v="#N/A"/>
    <n v="0.95690833333333336"/>
    <n v="0.76552666666666669"/>
    <x v="0"/>
    <x v="16"/>
    <x v="1"/>
  </r>
  <r>
    <n v="1035"/>
    <s v="F"/>
    <n v="0.65500000000000003"/>
    <n v="0.46"/>
    <n v="0.16"/>
    <n v="1.494"/>
    <n v="0.6895"/>
    <n v="0.33100000000000002"/>
    <n v="0.1825"/>
    <n v="9"/>
    <n v="1"/>
    <s v="Jan"/>
    <s v="Odom"/>
    <s v="University of Houston"/>
    <n v="8"/>
    <x v="4"/>
    <n v="12.3"/>
    <s v="Category 3"/>
    <e v="#N/A"/>
    <e v="#N/A"/>
    <s v="Yes"/>
    <n v="1.0119066666666667"/>
    <n v="1.0119066666666667"/>
    <x v="0"/>
    <x v="0"/>
    <x v="9"/>
  </r>
  <r>
    <n v="4165"/>
    <s v="I"/>
    <n v="0.39"/>
    <n v="0.28999999999999998"/>
    <n v="0.1"/>
    <n v="0.28449999999999998"/>
    <n v="0.1255"/>
    <n v="6.3500000000000001E-2"/>
    <n v="8.1000000000000003E-2"/>
    <n v="7"/>
    <n v="10"/>
    <s v="Hazel"/>
    <s v="Villa"/>
    <s v="University of Minnesota"/>
    <n v="5"/>
    <x v="3"/>
    <n v="12.8"/>
    <s v="Category 2"/>
    <e v="#N/A"/>
    <s v="Yes"/>
    <e v="#N/A"/>
    <n v="0.91244166666666671"/>
    <n v="0.72995333333333345"/>
    <x v="0"/>
    <x v="17"/>
    <x v="1"/>
  </r>
  <r>
    <n v="2818"/>
    <s v="I"/>
    <n v="0.33"/>
    <n v="0.22500000000000001"/>
    <n v="7.4999999999999997E-2"/>
    <n v="0.187"/>
    <n v="9.4500000000000001E-2"/>
    <n v="3.95E-2"/>
    <n v="4.2500000000000003E-2"/>
    <n v="7"/>
    <n v="1"/>
    <s v="Jan"/>
    <s v="Odom"/>
    <s v="University of Houston"/>
    <n v="8"/>
    <x v="4"/>
    <n v="12.3"/>
    <s v="Category 2"/>
    <e v="#N/A"/>
    <s v="Yes"/>
    <e v="#N/A"/>
    <n v="0.87487083333333338"/>
    <n v="0.69989666666666672"/>
    <x v="0"/>
    <x v="18"/>
    <x v="1"/>
  </r>
  <r>
    <n v="1274"/>
    <s v="I"/>
    <n v="0.47499999999999998"/>
    <n v="0.38"/>
    <n v="0.12"/>
    <n v="0.441"/>
    <n v="0.17849999999999999"/>
    <n v="8.8499999999999995E-2"/>
    <n v="0.15049999999999999"/>
    <n v="8"/>
    <n v="3"/>
    <s v="Inaya"/>
    <s v="Bernard"/>
    <s v="Stanford University"/>
    <n v="8"/>
    <x v="4"/>
    <n v="12.3"/>
    <s v="Category 2"/>
    <e v="#N/A"/>
    <s v="Yes"/>
    <e v="#N/A"/>
    <n v="0.96441999999999994"/>
    <n v="0.771536"/>
    <x v="0"/>
    <x v="19"/>
    <x v="1"/>
  </r>
  <r>
    <n v="386"/>
    <s v="F"/>
    <n v="0.45500000000000002"/>
    <n v="0.37"/>
    <n v="0.105"/>
    <n v="0.49249999999999999"/>
    <n v="0.216"/>
    <n v="0.1245"/>
    <n v="0.13500000000000001"/>
    <n v="9"/>
    <n v="10"/>
    <s v="Hazel"/>
    <s v="Villa"/>
    <s v="University of Minnesota"/>
    <n v="7"/>
    <x v="6"/>
    <n v="2.5"/>
    <s v="Category 2"/>
    <e v="#N/A"/>
    <s v="Yes"/>
    <e v="#N/A"/>
    <n v="0.95078541666666661"/>
    <n v="0.76062833333333335"/>
    <x v="0"/>
    <x v="20"/>
    <x v="1"/>
  </r>
  <r>
    <n v="3488"/>
    <s v="I"/>
    <n v="0.51"/>
    <n v="0.40500000000000003"/>
    <n v="0.13"/>
    <n v="0.59899999999999998"/>
    <n v="0.30649999999999999"/>
    <n v="0.11550000000000001"/>
    <n v="0.14849999999999999"/>
    <n v="8"/>
    <n v="10"/>
    <s v="Hazel"/>
    <s v="Villa"/>
    <s v="University of Minnesota"/>
    <n v="9"/>
    <x v="7"/>
    <n v="1.9"/>
    <s v="Category 2"/>
    <e v="#N/A"/>
    <s v="Yes"/>
    <e v="#N/A"/>
    <n v="0.97804500000000016"/>
    <n v="0.78243600000000013"/>
    <x v="0"/>
    <x v="21"/>
    <x v="1"/>
  </r>
  <r>
    <n v="3526"/>
    <s v="I"/>
    <n v="0.33"/>
    <n v="0.23"/>
    <n v="8.5000000000000006E-2"/>
    <n v="0.16950000000000001"/>
    <n v="7.9000000000000001E-2"/>
    <n v="2.5999999999999999E-2"/>
    <n v="5.0500000000000003E-2"/>
    <n v="6"/>
    <n v="5"/>
    <s v="Haniya"/>
    <s v="Talley"/>
    <s v="Prince William Sound Science Center"/>
    <n v="3"/>
    <x v="9"/>
    <n v="3.6"/>
    <s v="Category 2"/>
    <e v="#N/A"/>
    <s v="Yes"/>
    <e v="#N/A"/>
    <n v="0.87776791666666676"/>
    <n v="0.7022143333333335"/>
    <x v="0"/>
    <x v="22"/>
    <x v="1"/>
  </r>
  <r>
    <n v="3412"/>
    <s v="I"/>
    <n v="0.43"/>
    <n v="0.32"/>
    <n v="0.1"/>
    <n v="0.38550000000000001"/>
    <n v="0.192"/>
    <n v="7.4499999999999997E-2"/>
    <n v="0.1"/>
    <n v="7"/>
    <n v="11"/>
    <s v="Naima"/>
    <s v="Reyes"/>
    <s v="University of Houston"/>
    <n v="6"/>
    <x v="8"/>
    <n v="14.1"/>
    <s v="Category 2"/>
    <e v="#N/A"/>
    <s v="Yes"/>
    <e v="#N/A"/>
    <n v="0.93072499999999991"/>
    <n v="0.74458000000000002"/>
    <x v="0"/>
    <x v="23"/>
    <x v="1"/>
  </r>
  <r>
    <n v="1075"/>
    <s v="I"/>
    <n v="0.41"/>
    <n v="0.3"/>
    <n v="0.1"/>
    <n v="0.28199999999999997"/>
    <n v="0.1255"/>
    <n v="5.7000000000000002E-2"/>
    <n v="8.7499999999999994E-2"/>
    <n v="7"/>
    <n v="12"/>
    <s v="Rebecca"/>
    <s v="Bennett"/>
    <s v="University of Houston"/>
    <n v="1"/>
    <x v="0"/>
    <n v="22.1"/>
    <s v="Category 2"/>
    <e v="#N/A"/>
    <s v="Yes"/>
    <e v="#N/A"/>
    <n v="0.92256666666666665"/>
    <n v="0.73805333333333334"/>
    <x v="0"/>
    <x v="24"/>
    <x v="1"/>
  </r>
  <r>
    <n v="426"/>
    <s v="M"/>
    <n v="0.57999999999999996"/>
    <n v="0.45"/>
    <n v="0.17499999999999999"/>
    <n v="1.0680000000000001"/>
    <n v="0.42499999999999999"/>
    <n v="0.20300000000000001"/>
    <n v="0.32"/>
    <n v="13"/>
    <n v="11"/>
    <s v="Naima"/>
    <s v="Reyes"/>
    <s v="University of Houston"/>
    <n v="3"/>
    <x v="9"/>
    <n v="3.6"/>
    <s v="Category 3"/>
    <e v="#N/A"/>
    <e v="#N/A"/>
    <s v="Yes"/>
    <n v="1.0032833333333333"/>
    <n v="1.0032833333333333"/>
    <x v="0"/>
    <x v="0"/>
    <x v="10"/>
  </r>
  <r>
    <n v="3722"/>
    <s v="M"/>
    <n v="0.43"/>
    <n v="0.31"/>
    <n v="0.13"/>
    <n v="0.64849999999999997"/>
    <n v="0.27350000000000002"/>
    <n v="0.16300000000000001"/>
    <n v="0.184"/>
    <n v="9"/>
    <n v="15"/>
    <s v="Conan"/>
    <s v="Dalton"/>
    <s v="University of Houston"/>
    <n v="10"/>
    <x v="5"/>
    <n v="24.1"/>
    <s v="Category 2"/>
    <e v="#N/A"/>
    <s v="Yes"/>
    <e v="#N/A"/>
    <n v="0.91748416666666666"/>
    <n v="0.73398733333333332"/>
    <x v="0"/>
    <x v="25"/>
    <x v="1"/>
  </r>
  <r>
    <n v="2305"/>
    <s v="M"/>
    <n v="0.59"/>
    <n v="0.49"/>
    <n v="0.13500000000000001"/>
    <n v="1.008"/>
    <n v="0.42199999999999999"/>
    <n v="0.22450000000000001"/>
    <n v="0.28499999999999998"/>
    <n v="11"/>
    <n v="3"/>
    <s v="Inaya"/>
    <s v="Bernard"/>
    <s v="Stanford University"/>
    <n v="1"/>
    <x v="0"/>
    <n v="22.1"/>
    <s v="Category 3"/>
    <e v="#N/A"/>
    <e v="#N/A"/>
    <s v="Yes"/>
    <n v="1.0154800000000002"/>
    <n v="1.0154800000000002"/>
    <x v="0"/>
    <x v="0"/>
    <x v="11"/>
  </r>
  <r>
    <n v="2320"/>
    <s v="F"/>
    <n v="0.505"/>
    <n v="0.39500000000000002"/>
    <n v="0.14499999999999999"/>
    <n v="0.65149999999999997"/>
    <n v="0.26950000000000002"/>
    <n v="0.153"/>
    <n v="0.20499999999999999"/>
    <n v="15"/>
    <n v="10"/>
    <s v="Hazel"/>
    <s v="Villa"/>
    <s v="University of Minnesota"/>
    <n v="3"/>
    <x v="9"/>
    <n v="3.6"/>
    <s v="Category 2"/>
    <e v="#N/A"/>
    <s v="Yes"/>
    <e v="#N/A"/>
    <n v="0.97231124999999996"/>
    <n v="0.77784900000000001"/>
    <x v="0"/>
    <x v="26"/>
    <x v="1"/>
  </r>
  <r>
    <n v="2189"/>
    <s v="M"/>
    <n v="0.47"/>
    <n v="0.37"/>
    <n v="0.13500000000000001"/>
    <n v="0.54700000000000004"/>
    <n v="0.222"/>
    <n v="0.13250000000000001"/>
    <n v="0.17"/>
    <n v="12"/>
    <n v="13"/>
    <s v="Betty"/>
    <s v="Berg"/>
    <s v="University of Houston"/>
    <n v="4"/>
    <x v="2"/>
    <n v="6.1"/>
    <s v="Category 2"/>
    <e v="#N/A"/>
    <s v="Yes"/>
    <e v="#N/A"/>
    <n v="0.95584083333333336"/>
    <n v="0.76467266666666678"/>
    <x v="0"/>
    <x v="27"/>
    <x v="1"/>
  </r>
  <r>
    <n v="3462"/>
    <s v="F"/>
    <n v="0.625"/>
    <n v="0.495"/>
    <n v="0.16"/>
    <n v="1.1114999999999999"/>
    <n v="0.44950000000000001"/>
    <n v="0.28249999999999997"/>
    <n v="0.34499999999999997"/>
    <n v="11"/>
    <n v="10"/>
    <s v="Hazel"/>
    <s v="Villa"/>
    <s v="University of Minnesota"/>
    <n v="1"/>
    <x v="0"/>
    <n v="22.1"/>
    <s v="Category 3"/>
    <e v="#N/A"/>
    <e v="#N/A"/>
    <s v="Yes"/>
    <n v="1.0288733333333335"/>
    <n v="1.0288733333333335"/>
    <x v="0"/>
    <x v="0"/>
    <x v="12"/>
  </r>
  <r>
    <n v="3891"/>
    <s v="M"/>
    <n v="0.51500000000000001"/>
    <n v="0.4"/>
    <n v="0.14000000000000001"/>
    <n v="0.73650000000000004"/>
    <n v="0.29549999999999998"/>
    <n v="0.184"/>
    <n v="0.185"/>
    <n v="16"/>
    <n v="3"/>
    <s v="Inaya"/>
    <s v="Bernard"/>
    <s v="Stanford University"/>
    <n v="4"/>
    <x v="2"/>
    <n v="6.1"/>
    <s v="Category 2"/>
    <e v="#N/A"/>
    <s v="Yes"/>
    <e v="#N/A"/>
    <n v="0.97308499999999987"/>
    <n v="0.77846799999999994"/>
    <x v="0"/>
    <x v="28"/>
    <x v="1"/>
  </r>
  <r>
    <n v="2126"/>
    <s v="M"/>
    <n v="0.47"/>
    <n v="0.375"/>
    <n v="0.115"/>
    <n v="0.42649999999999999"/>
    <n v="0.16850000000000001"/>
    <n v="7.5499999999999998E-2"/>
    <n v="0.15"/>
    <n v="8"/>
    <n v="11"/>
    <s v="Naima"/>
    <s v="Reyes"/>
    <s v="University of Houston"/>
    <n v="2"/>
    <x v="1"/>
    <n v="18"/>
    <s v="Category 2"/>
    <e v="#N/A"/>
    <s v="Yes"/>
    <e v="#N/A"/>
    <n v="0.9614079166666667"/>
    <n v="0.76912633333333336"/>
    <x v="0"/>
    <x v="29"/>
    <x v="1"/>
  </r>
  <r>
    <n v="1792"/>
    <s v="M"/>
    <n v="0.55000000000000004"/>
    <n v="0.42"/>
    <n v="0.16"/>
    <n v="1.3405"/>
    <n v="0.63249999999999995"/>
    <n v="0.311"/>
    <n v="0.34399999999999997"/>
    <n v="10"/>
    <n v="6"/>
    <s v="Martin"/>
    <s v="Gaines"/>
    <s v="San Diego State University"/>
    <n v="5"/>
    <x v="3"/>
    <n v="12.8"/>
    <s v="Category 3"/>
    <e v="#N/A"/>
    <e v="#N/A"/>
    <s v="Yes"/>
    <n v="0.96971333333333321"/>
    <n v="0.96971333333333321"/>
    <x v="0"/>
    <x v="0"/>
    <x v="13"/>
  </r>
  <r>
    <n v="2197"/>
    <s v="I"/>
    <n v="0.37"/>
    <n v="0.28000000000000003"/>
    <n v="0.09"/>
    <n v="0.23300000000000001"/>
    <n v="9.0499999999999997E-2"/>
    <n v="5.45E-2"/>
    <n v="7.0000000000000007E-2"/>
    <n v="11"/>
    <n v="3"/>
    <s v="Inaya"/>
    <s v="Bernard"/>
    <s v="Stanford University"/>
    <n v="3"/>
    <x v="9"/>
    <n v="3.6"/>
    <s v="Category 2"/>
    <e v="#N/A"/>
    <s v="Yes"/>
    <e v="#N/A"/>
    <n v="0.90462833333333326"/>
    <n v="0.72370266666666661"/>
    <x v="0"/>
    <x v="30"/>
    <x v="1"/>
  </r>
  <r>
    <n v="1865"/>
    <s v="I"/>
    <n v="0.52"/>
    <n v="0.39500000000000002"/>
    <n v="0.125"/>
    <n v="0.58050000000000002"/>
    <n v="0.2445"/>
    <n v="0.14599999999999999"/>
    <n v="0.16500000000000001"/>
    <n v="9"/>
    <n v="2"/>
    <s v="Tiegan"/>
    <s v="Davie"/>
    <s v="University of California, Davis"/>
    <n v="1"/>
    <x v="0"/>
    <n v="22.1"/>
    <s v="Category 2"/>
    <e v="#N/A"/>
    <s v="Yes"/>
    <e v="#N/A"/>
    <n v="0.97839374999999984"/>
    <n v="0.78271499999999994"/>
    <x v="0"/>
    <x v="31"/>
    <x v="1"/>
  </r>
  <r>
    <n v="2863"/>
    <s v="M"/>
    <n v="0.73499999999999999"/>
    <n v="0.56999999999999995"/>
    <n v="0.21"/>
    <n v="2.2355"/>
    <n v="1.1705000000000001"/>
    <n v="0.46300000000000002"/>
    <n v="0.53149999999999997"/>
    <n v="10"/>
    <n v="2"/>
    <s v="Tiegan"/>
    <s v="Davie"/>
    <s v="University of California, Davis"/>
    <n v="5"/>
    <x v="3"/>
    <n v="12.8"/>
    <s v="Category 3"/>
    <e v="#N/A"/>
    <e v="#N/A"/>
    <s v="Yes"/>
    <n v="1.0642091666666667"/>
    <n v="1.0642091666666667"/>
    <x v="0"/>
    <x v="0"/>
    <x v="14"/>
  </r>
  <r>
    <n v="924"/>
    <s v="I"/>
    <n v="0.42499999999999999"/>
    <n v="0.34"/>
    <n v="0.1"/>
    <n v="0.38200000000000001"/>
    <n v="0.16400000000000001"/>
    <n v="9.6000000000000002E-2"/>
    <n v="0.1"/>
    <n v="6"/>
    <n v="3"/>
    <s v="Inaya"/>
    <s v="Bernard"/>
    <s v="Stanford University"/>
    <n v="7"/>
    <x v="6"/>
    <n v="2.5"/>
    <s v="Category 2"/>
    <e v="#N/A"/>
    <s v="Yes"/>
    <e v="#N/A"/>
    <n v="0.93589999999999995"/>
    <n v="0.74872000000000005"/>
    <x v="0"/>
    <x v="32"/>
    <x v="1"/>
  </r>
  <r>
    <n v="3611"/>
    <s v="M"/>
    <n v="0.57999999999999996"/>
    <n v="0.45"/>
    <n v="0.16"/>
    <n v="0.86750000000000005"/>
    <n v="0.39350000000000002"/>
    <n v="0.221"/>
    <n v="0.215"/>
    <n v="9"/>
    <n v="11"/>
    <s v="Naima"/>
    <s v="Reyes"/>
    <s v="University of Houston"/>
    <n v="1"/>
    <x v="0"/>
    <n v="22.1"/>
    <s v="Category 2"/>
    <e v="#N/A"/>
    <s v="Yes"/>
    <e v="#N/A"/>
    <n v="1.0086333333333333"/>
    <n v="0.80690666666666666"/>
    <x v="0"/>
    <x v="33"/>
    <x v="1"/>
  </r>
  <r>
    <n v="1399"/>
    <s v="M"/>
    <n v="0.64500000000000002"/>
    <n v="0.52500000000000002"/>
    <n v="0.16"/>
    <n v="1.5075000000000001"/>
    <n v="0.74550000000000005"/>
    <n v="0.245"/>
    <n v="0.4325"/>
    <n v="11"/>
    <n v="13"/>
    <s v="Betty"/>
    <s v="Berg"/>
    <s v="University of Houston"/>
    <n v="9"/>
    <x v="7"/>
    <n v="1.9"/>
    <s v="Category 3"/>
    <e v="#N/A"/>
    <e v="#N/A"/>
    <s v="Yes"/>
    <n v="1.0297000000000001"/>
    <n v="1.0297000000000001"/>
    <x v="0"/>
    <x v="0"/>
    <x v="15"/>
  </r>
  <r>
    <n v="3492"/>
    <s v="M"/>
    <n v="0.55000000000000004"/>
    <n v="0.44"/>
    <n v="0.16"/>
    <n v="0.98499999999999999"/>
    <n v="0.46450000000000002"/>
    <n v="0.20100000000000001"/>
    <n v="0.27"/>
    <n v="8"/>
    <n v="9"/>
    <s v="Danica"/>
    <s v="Tyler"/>
    <s v="University of Florida_x0009_"/>
    <n v="4"/>
    <x v="2"/>
    <n v="6.1"/>
    <s v="Category 3"/>
    <e v="#N/A"/>
    <e v="#N/A"/>
    <s v="Yes"/>
    <n v="0.99060000000000004"/>
    <n v="0.99060000000000004"/>
    <x v="0"/>
    <x v="0"/>
    <x v="16"/>
  </r>
  <r>
    <n v="2176"/>
    <s v="M"/>
    <n v="0.57499999999999996"/>
    <n v="0.45"/>
    <n v="0.185"/>
    <n v="0.92500000000000004"/>
    <n v="0.34200000000000003"/>
    <n v="0.19700000000000001"/>
    <n v="0.35"/>
    <n v="12"/>
    <n v="12"/>
    <s v="Rebecca"/>
    <s v="Bennett"/>
    <s v="University of Houston"/>
    <n v="1"/>
    <x v="0"/>
    <n v="22.1"/>
    <s v="Category 2"/>
    <e v="#N/A"/>
    <s v="Yes"/>
    <e v="#N/A"/>
    <n v="1.0085208333333331"/>
    <n v="0.80681666666666652"/>
    <x v="0"/>
    <x v="34"/>
    <x v="1"/>
  </r>
  <r>
    <n v="2708"/>
    <s v="M"/>
    <n v="0.72499999999999998"/>
    <n v="0.55000000000000004"/>
    <n v="0.2"/>
    <n v="1.51"/>
    <n v="0.87350000000000005"/>
    <n v="0.42649999999999999"/>
    <n v="0.50849999999999995"/>
    <n v="9"/>
    <n v="2"/>
    <s v="Tiegan"/>
    <s v="Davie"/>
    <s v="University of California, Davis"/>
    <n v="4"/>
    <x v="2"/>
    <n v="6.1"/>
    <s v="Category 3"/>
    <e v="#N/A"/>
    <e v="#N/A"/>
    <s v="Yes"/>
    <n v="1.0746666666666667"/>
    <n v="1.0746666666666667"/>
    <x v="0"/>
    <x v="0"/>
    <x v="17"/>
  </r>
  <r>
    <n v="4140"/>
    <s v="F"/>
    <n v="0.63500000000000001"/>
    <n v="0.495"/>
    <n v="0.17499999999999999"/>
    <n v="1.2355"/>
    <n v="0.52049999999999996"/>
    <n v="0.3085"/>
    <n v="0.34699999999999998"/>
    <n v="10"/>
    <n v="5"/>
    <s v="Haniya"/>
    <s v="Talley"/>
    <s v="Prince William Sound Science Center"/>
    <n v="1"/>
    <x v="0"/>
    <n v="22.1"/>
    <s v="Category 3"/>
    <e v="#N/A"/>
    <e v="#N/A"/>
    <s v="Yes"/>
    <n v="1.0303354166666667"/>
    <n v="1.0303354166666667"/>
    <x v="0"/>
    <x v="0"/>
    <x v="18"/>
  </r>
  <r>
    <n v="3559"/>
    <s v="I"/>
    <n v="0.55000000000000004"/>
    <n v="0.42499999999999999"/>
    <n v="0.155"/>
    <n v="0.87250000000000005"/>
    <n v="0.41199999999999998"/>
    <n v="0.187"/>
    <n v="0.24249999999999999"/>
    <n v="10"/>
    <n v="14"/>
    <s v="Santiago"/>
    <s v="Vaughan"/>
    <s v="Ohio State University_x0009_"/>
    <n v="4"/>
    <x v="2"/>
    <n v="6.1"/>
    <s v="Category 3"/>
    <e v="#N/A"/>
    <e v="#N/A"/>
    <s v="Yes"/>
    <n v="0.9893729166666666"/>
    <n v="0.9893729166666666"/>
    <x v="0"/>
    <x v="0"/>
    <x v="19"/>
  </r>
  <r>
    <s v="NULL"/>
    <s v="M"/>
    <n v="0.71"/>
    <n v="0.55500000000000005"/>
    <n v="0.19500000000000001"/>
    <n v="1.9484999999999999"/>
    <n v="0.94550000000000001"/>
    <n v="0.3765"/>
    <n v="0.495"/>
    <n v="12"/>
    <s v="NULL"/>
    <s v="Jan"/>
    <s v="Odom"/>
    <s v="University of Houston"/>
    <s v="NULL"/>
    <x v="0"/>
    <n v="22.1"/>
    <s v="Category 3"/>
    <e v="#N/A"/>
    <e v="#N/A"/>
    <s v="Yes"/>
    <n v="1.0550929166666667"/>
    <n v="1.0550929166666667"/>
    <x v="0"/>
    <x v="0"/>
    <x v="20"/>
  </r>
  <r>
    <n v="1787"/>
    <s v="I"/>
    <n v="0.53500000000000003"/>
    <n v="0.38500000000000001"/>
    <n v="0.18"/>
    <n v="1.0834999999999999"/>
    <n v="0.4955"/>
    <n v="0.22950000000000001"/>
    <n v="0.30399999999999999"/>
    <n v="8"/>
    <n v="7"/>
    <s v="Iona"/>
    <s v="Connolly"/>
    <s v="Florida Atlantic University"/>
    <n v="5"/>
    <x v="3"/>
    <n v="12.8"/>
    <s v="Category 3"/>
    <e v="#N/A"/>
    <e v="#N/A"/>
    <s v="Yes"/>
    <n v="0.96693833333333346"/>
    <n v="0.96693833333333346"/>
    <x v="0"/>
    <x v="0"/>
    <x v="21"/>
  </r>
  <r>
    <n v="1999"/>
    <s v="I"/>
    <n v="0.35"/>
    <n v="0.23499999999999999"/>
    <n v="0.08"/>
    <n v="0.17"/>
    <n v="7.2499999999999995E-2"/>
    <n v="4.65E-2"/>
    <n v="4.9500000000000002E-2"/>
    <n v="7"/>
    <n v="3"/>
    <s v="Inaya"/>
    <s v="Bernard"/>
    <s v="Stanford University"/>
    <n v="4"/>
    <x v="2"/>
    <n v="6.1"/>
    <s v="Category 2"/>
    <e v="#N/A"/>
    <s v="Yes"/>
    <e v="#N/A"/>
    <n v="0.88593333333333324"/>
    <n v="0.70874666666666664"/>
    <x v="0"/>
    <x v="35"/>
    <x v="1"/>
  </r>
  <r>
    <n v="4134"/>
    <s v="M"/>
    <n v="0.58499999999999996"/>
    <n v="0.45"/>
    <n v="0.15"/>
    <n v="0.997"/>
    <n v="0.40550000000000003"/>
    <n v="0.28299999999999997"/>
    <n v="0.251"/>
    <n v="11"/>
    <n v="5"/>
    <s v="Haniya"/>
    <s v="Talley"/>
    <s v="Prince William Sound Science Center"/>
    <n v="1"/>
    <x v="0"/>
    <n v="22.1"/>
    <s v="Category 3"/>
    <e v="#N/A"/>
    <e v="#N/A"/>
    <s v="Yes"/>
    <n v="1.0034583333333333"/>
    <n v="1.0034583333333333"/>
    <x v="0"/>
    <x v="0"/>
    <x v="22"/>
  </r>
  <r>
    <n v="3987"/>
    <s v="F"/>
    <n v="0.64500000000000002"/>
    <n v="0.52500000000000002"/>
    <n v="0.17"/>
    <n v="1.37"/>
    <n v="0.61350000000000005"/>
    <n v="0.28299999999999997"/>
    <n v="0.34"/>
    <n v="10"/>
    <n v="7"/>
    <s v="Iona"/>
    <s v="Connolly"/>
    <s v="Florida Atlantic University"/>
    <n v="5"/>
    <x v="3"/>
    <n v="12.8"/>
    <s v="Category 3"/>
    <e v="#N/A"/>
    <e v="#N/A"/>
    <s v="Yes"/>
    <n v="1.0374833333333333"/>
    <n v="1.0374833333333333"/>
    <x v="0"/>
    <x v="0"/>
    <x v="23"/>
  </r>
  <r>
    <n v="3217"/>
    <s v="M"/>
    <n v="0.63"/>
    <n v="0.51"/>
    <n v="0.19"/>
    <n v="1.4984999999999999"/>
    <n v="0.41249999999999998"/>
    <n v="0.3075"/>
    <n v="0.54500000000000004"/>
    <n v="16"/>
    <n v="1"/>
    <s v="Jan"/>
    <s v="Odom"/>
    <s v="University of Houston"/>
    <n v="8"/>
    <x v="4"/>
    <n v="12.3"/>
    <s v="Category 2"/>
    <e v="#N/A"/>
    <s v="Yes"/>
    <e v="#N/A"/>
    <n v="1.0275525000000001"/>
    <n v="0.82204200000000016"/>
    <x v="0"/>
    <x v="36"/>
    <x v="1"/>
  </r>
  <r>
    <n v="3111"/>
    <s v="I"/>
    <n v="0.39500000000000002"/>
    <n v="0.3"/>
    <n v="0.12"/>
    <n v="0.29949999999999999"/>
    <n v="0.1265"/>
    <n v="6.8000000000000005E-2"/>
    <n v="8.9499999999999996E-2"/>
    <n v="8"/>
    <n v="1"/>
    <s v="Jan"/>
    <s v="Odom"/>
    <s v="University of Houston"/>
    <n v="3"/>
    <x v="9"/>
    <n v="3.6"/>
    <s v="Category 2"/>
    <e v="#N/A"/>
    <s v="Yes"/>
    <e v="#N/A"/>
    <n v="0.91769000000000001"/>
    <n v="0.73415200000000003"/>
    <x v="0"/>
    <x v="37"/>
    <x v="1"/>
  </r>
  <r>
    <n v="3836"/>
    <s v="F"/>
    <n v="0.42499999999999999"/>
    <n v="0.35"/>
    <n v="0.1"/>
    <n v="0.4425"/>
    <n v="0.17499999999999999"/>
    <n v="7.5499999999999998E-2"/>
    <n v="0.17499999999999999"/>
    <n v="7"/>
    <n v="2"/>
    <s v="Tiegan"/>
    <s v="Davie"/>
    <s v="University of California, Davis"/>
    <n v="3"/>
    <x v="9"/>
    <n v="3.6"/>
    <s v="Category 2"/>
    <e v="#N/A"/>
    <s v="Yes"/>
    <e v="#N/A"/>
    <n v="0.93620833333333331"/>
    <n v="0.74896666666666667"/>
    <x v="0"/>
    <x v="38"/>
    <x v="1"/>
  </r>
  <r>
    <n v="156"/>
    <s v="M"/>
    <n v="0.51500000000000001"/>
    <n v="0.40500000000000003"/>
    <n v="0.13"/>
    <n v="0.72199999999999998"/>
    <n v="0.32"/>
    <n v="0.13100000000000001"/>
    <n v="0.21"/>
    <n v="10"/>
    <n v="15"/>
    <s v="Conan"/>
    <s v="Dalton"/>
    <s v="University of Houston"/>
    <n v="2"/>
    <x v="1"/>
    <n v="18"/>
    <s v="Category 2"/>
    <e v="#N/A"/>
    <s v="Yes"/>
    <e v="#N/A"/>
    <n v="0.97417666666666658"/>
    <n v="0.77934133333333333"/>
    <x v="0"/>
    <x v="39"/>
    <x v="1"/>
  </r>
  <r>
    <n v="1825"/>
    <s v="I"/>
    <n v="0.185"/>
    <n v="0.13500000000000001"/>
    <n v="0.04"/>
    <n v="2.7E-2"/>
    <n v="1.0500000000000001E-2"/>
    <n v="5.4999999999999997E-3"/>
    <n v="8.9999999999999993E-3"/>
    <n v="5"/>
    <n v="9"/>
    <s v="Danica"/>
    <s v="Tyler"/>
    <s v="University of Florida_x0009_"/>
    <n v="10"/>
    <x v="5"/>
    <n v="24.1"/>
    <s v="Category 2"/>
    <e v="#N/A"/>
    <s v="Yes"/>
    <e v="#N/A"/>
    <n v="0.80504666666666669"/>
    <n v="0.64403733333333335"/>
    <x v="0"/>
    <x v="40"/>
    <x v="1"/>
  </r>
  <r>
    <n v="3941"/>
    <s v="M"/>
    <n v="0.505"/>
    <n v="0.39"/>
    <n v="0.105"/>
    <n v="0.65549999999999997"/>
    <n v="0.25950000000000001"/>
    <n v="0.18"/>
    <n v="0.19"/>
    <n v="11"/>
    <n v="4"/>
    <s v="Nate"/>
    <s v="Craig"/>
    <s v="NOAA Fisheries"/>
    <n v="6"/>
    <x v="8"/>
    <n v="14.1"/>
    <s v="Category 2"/>
    <e v="#N/A"/>
    <s v="Yes"/>
    <e v="#N/A"/>
    <n v="0.96610458333333338"/>
    <n v="0.77288366666666675"/>
    <x v="0"/>
    <x v="41"/>
    <x v="1"/>
  </r>
  <r>
    <n v="481"/>
    <s v="F"/>
    <n v="0.7"/>
    <n v="0.58499999999999996"/>
    <n v="0.185"/>
    <n v="1.8075000000000001"/>
    <n v="0.70550000000000002"/>
    <n v="0.32150000000000001"/>
    <n v="0.47499999999999998"/>
    <n v="29"/>
    <n v="11"/>
    <s v="Naima"/>
    <s v="Reyes"/>
    <s v="University of Houston"/>
    <n v="5"/>
    <x v="3"/>
    <n v="12.8"/>
    <s v="Category 2"/>
    <e v="#N/A"/>
    <s v="Yes"/>
    <e v="#N/A"/>
    <n v="1.0635645833333334"/>
    <n v="0.85085166666666678"/>
    <x v="0"/>
    <x v="42"/>
    <x v="1"/>
  </r>
  <r>
    <n v="3516"/>
    <s v="F"/>
    <n v="0.69"/>
    <n v="0.52500000000000002"/>
    <n v="0.19"/>
    <n v="1.492"/>
    <n v="0.64249999999999996"/>
    <n v="0.39050000000000001"/>
    <n v="0.42"/>
    <n v="12"/>
    <n v="4"/>
    <s v="Nate"/>
    <s v="Craig"/>
    <s v="NOAA Fisheries"/>
    <n v="9"/>
    <x v="7"/>
    <n v="1.9"/>
    <s v="Category 3"/>
    <e v="#N/A"/>
    <e v="#N/A"/>
    <s v="Yes"/>
    <n v="1.05278"/>
    <n v="1.05278"/>
    <x v="0"/>
    <x v="0"/>
    <x v="24"/>
  </r>
  <r>
    <n v="2672"/>
    <s v="F"/>
    <n v="0.59"/>
    <n v="0.46"/>
    <n v="0.16"/>
    <n v="1.0115000000000001"/>
    <n v="0.44500000000000001"/>
    <n v="0.26150000000000001"/>
    <n v="0.25650000000000001"/>
    <n v="8"/>
    <n v="4"/>
    <s v="Nate"/>
    <s v="Craig"/>
    <s v="NOAA Fisheries"/>
    <n v="9"/>
    <x v="7"/>
    <n v="1.9"/>
    <s v="Category 3"/>
    <e v="#N/A"/>
    <e v="#N/A"/>
    <s v="Yes"/>
    <n v="1.0095400000000001"/>
    <n v="1.0095400000000001"/>
    <x v="0"/>
    <x v="0"/>
    <x v="25"/>
  </r>
  <r>
    <n v="3499"/>
    <s v="M"/>
    <n v="0.59"/>
    <n v="0.46"/>
    <n v="0.14499999999999999"/>
    <n v="0.92900000000000005"/>
    <n v="0.38"/>
    <n v="0.24"/>
    <n v="0.255"/>
    <n v="10"/>
    <n v="5"/>
    <s v="Haniya"/>
    <s v="Talley"/>
    <s v="Prince William Sound Science Center"/>
    <n v="1"/>
    <x v="0"/>
    <n v="22.1"/>
    <s v="Category 2"/>
    <e v="#N/A"/>
    <s v="Yes"/>
    <e v="#N/A"/>
    <n v="1.0105175"/>
    <n v="0.80841399999999997"/>
    <x v="0"/>
    <x v="43"/>
    <x v="1"/>
  </r>
  <r>
    <n v="2568"/>
    <s v="F"/>
    <n v="0.46"/>
    <n v="0.35"/>
    <n v="0.115"/>
    <n v="0.46"/>
    <n v="0.20250000000000001"/>
    <n v="0.1115"/>
    <n v="0.11650000000000001"/>
    <n v="6"/>
    <n v="13"/>
    <s v="Betty"/>
    <s v="Berg"/>
    <s v="University of Houston"/>
    <n v="1"/>
    <x v="0"/>
    <n v="22.1"/>
    <s v="Category 2"/>
    <e v="#N/A"/>
    <s v="Yes"/>
    <e v="#N/A"/>
    <n v="0.94814999999999994"/>
    <n v="0.75851999999999997"/>
    <x v="0"/>
    <x v="44"/>
    <x v="1"/>
  </r>
  <r>
    <n v="3590"/>
    <s v="M"/>
    <n v="0.65"/>
    <n v="0.51500000000000001"/>
    <n v="0.18"/>
    <n v="1.4630000000000001"/>
    <n v="0.65800000000000003"/>
    <n v="0.3135"/>
    <n v="0.41149999999999998"/>
    <n v="11"/>
    <n v="13"/>
    <s v="Betty"/>
    <s v="Berg"/>
    <s v="University of Houston"/>
    <n v="3"/>
    <x v="9"/>
    <n v="3.6"/>
    <s v="Category 3"/>
    <e v="#N/A"/>
    <e v="#N/A"/>
    <s v="Yes"/>
    <n v="1.0346900000000001"/>
    <n v="1.0346900000000001"/>
    <x v="0"/>
    <x v="0"/>
    <x v="26"/>
  </r>
  <r>
    <n v="1722"/>
    <s v="M"/>
    <n v="0.65500000000000003"/>
    <n v="0.55000000000000004"/>
    <n v="0.18"/>
    <n v="1.274"/>
    <n v="0.58599999999999997"/>
    <n v="0.28100000000000003"/>
    <n v="0.36499999999999999"/>
    <n v="10"/>
    <n v="15"/>
    <s v="Conan"/>
    <s v="Dalton"/>
    <s v="University of Houston"/>
    <n v="4"/>
    <x v="2"/>
    <n v="6.1"/>
    <s v="Category 3"/>
    <e v="#N/A"/>
    <e v="#N/A"/>
    <s v="Yes"/>
    <n v="1.0549533333333334"/>
    <n v="1.0549533333333334"/>
    <x v="0"/>
    <x v="0"/>
    <x v="27"/>
  </r>
  <r>
    <n v="2324"/>
    <s v="I"/>
    <n v="0.39500000000000002"/>
    <n v="0.32500000000000001"/>
    <n v="0.105"/>
    <n v="0.30599999999999999"/>
    <n v="0.111"/>
    <n v="7.3499999999999996E-2"/>
    <n v="9.5000000000000001E-2"/>
    <n v="8"/>
    <n v="2"/>
    <s v="Tiegan"/>
    <s v="Davie"/>
    <s v="University of California, Davis"/>
    <n v="10"/>
    <x v="5"/>
    <n v="24.1"/>
    <s v="Category 2"/>
    <e v="#N/A"/>
    <s v="Yes"/>
    <e v="#N/A"/>
    <n v="0.92495499999999997"/>
    <n v="0.73996400000000007"/>
    <x v="0"/>
    <x v="45"/>
    <x v="1"/>
  </r>
  <r>
    <n v="2644"/>
    <s v="I"/>
    <n v="0.48499999999999999"/>
    <n v="0.375"/>
    <n v="0.13"/>
    <n v="0.55349999999999999"/>
    <n v="0.26600000000000001"/>
    <n v="0.112"/>
    <n v="0.157"/>
    <n v="8"/>
    <n v="2"/>
    <s v="Tiegan"/>
    <s v="Davie"/>
    <s v="University of California, Davis"/>
    <n v="8"/>
    <x v="4"/>
    <n v="12.3"/>
    <s v="Category 2"/>
    <e v="#N/A"/>
    <s v="Yes"/>
    <e v="#N/A"/>
    <n v="0.96175916666666672"/>
    <n v="0.76940733333333344"/>
    <x v="0"/>
    <x v="46"/>
    <x v="1"/>
  </r>
  <r>
    <n v="328"/>
    <s v="M"/>
    <n v="0.51"/>
    <n v="0.4"/>
    <n v="0.13"/>
    <n v="0.64349999999999996"/>
    <n v="0.27"/>
    <n v="0.16650000000000001"/>
    <n v="0.20499999999999999"/>
    <n v="12"/>
    <n v="7"/>
    <s v="Iona"/>
    <s v="Connolly"/>
    <s v="Florida Atlantic University"/>
    <n v="2"/>
    <x v="1"/>
    <n v="18"/>
    <s v="Category 2"/>
    <e v="#N/A"/>
    <s v="Yes"/>
    <e v="#N/A"/>
    <n v="0.97437583333333344"/>
    <n v="0.77950066666666684"/>
    <x v="0"/>
    <x v="47"/>
    <x v="1"/>
  </r>
  <r>
    <n v="915"/>
    <s v="I"/>
    <n v="0.37"/>
    <n v="0.28000000000000003"/>
    <n v="9.5000000000000001E-2"/>
    <n v="0.28649999999999998"/>
    <n v="0.15049999999999999"/>
    <n v="6.9000000000000006E-2"/>
    <n v="7.9500000000000001E-2"/>
    <n v="7"/>
    <n v="12"/>
    <s v="Rebecca"/>
    <s v="Bennett"/>
    <s v="University of Houston"/>
    <n v="1"/>
    <x v="0"/>
    <n v="22.1"/>
    <s v="Category 2"/>
    <e v="#N/A"/>
    <s v="Yes"/>
    <e v="#N/A"/>
    <n v="0.90210291666666664"/>
    <n v="0.72168233333333331"/>
    <x v="0"/>
    <x v="48"/>
    <x v="1"/>
  </r>
  <r>
    <n v="2781"/>
    <s v="M"/>
    <n v="0.59"/>
    <n v="0.47499999999999998"/>
    <n v="0.14000000000000001"/>
    <n v="0.97699999999999998"/>
    <n v="0.46250000000000002"/>
    <n v="0.20250000000000001"/>
    <n v="0.27500000000000002"/>
    <n v="10"/>
    <n v="5"/>
    <s v="Haniya"/>
    <s v="Talley"/>
    <s v="Prince William Sound Science Center"/>
    <n v="9"/>
    <x v="7"/>
    <n v="1.9"/>
    <s v="Category 3"/>
    <e v="#N/A"/>
    <e v="#N/A"/>
    <s v="Yes"/>
    <n v="1.0126633333333332"/>
    <n v="1.0126633333333332"/>
    <x v="0"/>
    <x v="0"/>
    <x v="28"/>
  </r>
  <r>
    <n v="2042"/>
    <s v="I"/>
    <n v="0.32500000000000001"/>
    <n v="0.24"/>
    <n v="7.0000000000000007E-2"/>
    <n v="0.152"/>
    <n v="5.6500000000000002E-2"/>
    <n v="3.0499999999999999E-2"/>
    <n v="5.3999999999999999E-2"/>
    <n v="8"/>
    <n v="1"/>
    <s v="Jan"/>
    <s v="Odom"/>
    <s v="University of Houston"/>
    <n v="9"/>
    <x v="7"/>
    <n v="1.9"/>
    <s v="Category 2"/>
    <e v="#N/A"/>
    <s v="Yes"/>
    <e v="#N/A"/>
    <n v="0.87997333333333327"/>
    <n v="0.70397866666666664"/>
    <x v="0"/>
    <x v="49"/>
    <x v="1"/>
  </r>
  <r>
    <n v="3790"/>
    <s v="F"/>
    <n v="0.64500000000000002"/>
    <n v="0.51"/>
    <n v="0.155"/>
    <n v="1.129"/>
    <n v="0.50149999999999995"/>
    <n v="0.24"/>
    <n v="0.34200000000000003"/>
    <n v="10"/>
    <n v="14"/>
    <s v="Santiago"/>
    <s v="Vaughan"/>
    <s v="Ohio State University_x0009_"/>
    <n v="10"/>
    <x v="5"/>
    <n v="24.1"/>
    <s v="Category 3"/>
    <e v="#N/A"/>
    <e v="#N/A"/>
    <s v="Yes"/>
    <n v="1.0388991666666667"/>
    <n v="1.0388991666666667"/>
    <x v="0"/>
    <x v="0"/>
    <x v="29"/>
  </r>
  <r>
    <n v="3860"/>
    <s v="F"/>
    <n v="0.56999999999999995"/>
    <n v="0.44"/>
    <n v="0.19"/>
    <n v="1.018"/>
    <n v="0.44700000000000001"/>
    <n v="0.20699999999999999"/>
    <n v="0.26500000000000001"/>
    <n v="9"/>
    <n v="6"/>
    <s v="Martin"/>
    <s v="Gaines"/>
    <s v="San Diego State University"/>
    <n v="1"/>
    <x v="0"/>
    <n v="22.1"/>
    <s v="Category 3"/>
    <e v="#N/A"/>
    <e v="#N/A"/>
    <s v="Yes"/>
    <n v="1.0010366666666668"/>
    <n v="1.0010366666666668"/>
    <x v="0"/>
    <x v="0"/>
    <x v="30"/>
  </r>
  <r>
    <n v="71"/>
    <s v="M"/>
    <n v="0.55500000000000005"/>
    <n v="0.42499999999999999"/>
    <n v="0.13"/>
    <n v="0.76649999999999996"/>
    <n v="0.26400000000000001"/>
    <n v="0.16800000000000001"/>
    <n v="0.27500000000000002"/>
    <n v="13"/>
    <n v="9"/>
    <s v="Danica"/>
    <s v="Tyler"/>
    <s v="University of Florida_x0009_"/>
    <n v="2"/>
    <x v="1"/>
    <n v="18"/>
    <s v="Category 2"/>
    <e v="#N/A"/>
    <s v="Yes"/>
    <e v="#N/A"/>
    <n v="0.99217416666666658"/>
    <n v="0.79373933333333335"/>
    <x v="0"/>
    <x v="50"/>
    <x v="1"/>
  </r>
  <r>
    <n v="3592"/>
    <s v="F"/>
    <n v="0.65"/>
    <n v="0.47499999999999998"/>
    <n v="0.16500000000000001"/>
    <n v="1.3875"/>
    <n v="0.57999999999999996"/>
    <n v="0.34849999999999998"/>
    <n v="0.3095"/>
    <n v="9"/>
    <n v="4"/>
    <s v="Nate"/>
    <s v="Craig"/>
    <s v="NOAA Fisheries"/>
    <n v="1"/>
    <x v="0"/>
    <n v="22.1"/>
    <s v="Category 3"/>
    <e v="#N/A"/>
    <e v="#N/A"/>
    <s v="Yes"/>
    <n v="1.02065625"/>
    <n v="1.02065625"/>
    <x v="0"/>
    <x v="0"/>
    <x v="31"/>
  </r>
  <r>
    <n v="150"/>
    <s v="I"/>
    <n v="0.17"/>
    <n v="0.13"/>
    <n v="9.5000000000000001E-2"/>
    <n v="0.03"/>
    <n v="1.2999999999999999E-2"/>
    <n v="8.0000000000000002E-3"/>
    <n v="0.01"/>
    <n v="4"/>
    <n v="7"/>
    <s v="Iona"/>
    <s v="Connolly"/>
    <s v="Florida Atlantic University"/>
    <n v="6"/>
    <x v="8"/>
    <n v="14.1"/>
    <s v="Category 2"/>
    <e v="#N/A"/>
    <s v="Yes"/>
    <e v="#N/A"/>
    <n v="0.79847500000000005"/>
    <n v="0.63878000000000013"/>
    <x v="0"/>
    <x v="51"/>
    <x v="1"/>
  </r>
  <r>
    <n v="2027"/>
    <s v="F"/>
    <n v="0.56000000000000005"/>
    <n v="0.41"/>
    <n v="0.16"/>
    <n v="0.82150000000000001"/>
    <n v="0.34200000000000003"/>
    <n v="0.184"/>
    <n v="0.253"/>
    <n v="9"/>
    <n v="4"/>
    <s v="Nate"/>
    <s v="Craig"/>
    <s v="NOAA Fisheries"/>
    <n v="5"/>
    <x v="3"/>
    <n v="12.8"/>
    <s v="Category 2"/>
    <e v="#N/A"/>
    <s v="Yes"/>
    <e v="#N/A"/>
    <n v="0.99047333333333343"/>
    <n v="0.79237866666666679"/>
    <x v="0"/>
    <x v="52"/>
    <x v="1"/>
  </r>
  <r>
    <n v="3119"/>
    <s v="M"/>
    <n v="0.51"/>
    <n v="0.41499999999999998"/>
    <n v="0.14499999999999999"/>
    <n v="0.751"/>
    <n v="0.32950000000000002"/>
    <n v="0.1835"/>
    <n v="0.20300000000000001"/>
    <n v="8"/>
    <n v="11"/>
    <s v="Naima"/>
    <s v="Reyes"/>
    <s v="University of Houston"/>
    <n v="8"/>
    <x v="4"/>
    <n v="12.3"/>
    <s v="Category 2"/>
    <e v="#N/A"/>
    <s v="Yes"/>
    <e v="#N/A"/>
    <n v="0.97641583333333326"/>
    <n v="0.7811326666666667"/>
    <x v="0"/>
    <x v="53"/>
    <x v="1"/>
  </r>
  <r>
    <n v="4045"/>
    <s v="F"/>
    <n v="0.57999999999999996"/>
    <n v="0.42499999999999999"/>
    <n v="0.155"/>
    <n v="0.873"/>
    <n v="0.36149999999999999"/>
    <n v="0.249"/>
    <n v="0.23899999999999999"/>
    <n v="10"/>
    <n v="9"/>
    <s v="Danica"/>
    <s v="Tyler"/>
    <s v="University of Florida_x0009_"/>
    <n v="5"/>
    <x v="3"/>
    <n v="12.8"/>
    <s v="Category 2"/>
    <e v="#N/A"/>
    <s v="Yes"/>
    <e v="#N/A"/>
    <n v="0.99935249999999987"/>
    <n v="0.79948199999999991"/>
    <x v="0"/>
    <x v="54"/>
    <x v="1"/>
  </r>
  <r>
    <n v="1652"/>
    <s v="F"/>
    <n v="0.59499999999999997"/>
    <n v="0.435"/>
    <n v="0.15"/>
    <n v="0.9"/>
    <n v="0.41749999999999998"/>
    <n v="0.17"/>
    <n v="0.26500000000000001"/>
    <n v="8"/>
    <n v="14"/>
    <s v="Santiago"/>
    <s v="Vaughan"/>
    <s v="Ohio State University_x0009_"/>
    <n v="8"/>
    <x v="4"/>
    <n v="12.3"/>
    <s v="Category 3"/>
    <e v="#N/A"/>
    <e v="#N/A"/>
    <s v="Yes"/>
    <n v="1.0058333333333334"/>
    <n v="1.0058333333333334"/>
    <x v="0"/>
    <x v="0"/>
    <x v="32"/>
  </r>
  <r>
    <n v="3163"/>
    <s v="M"/>
    <n v="0.64"/>
    <n v="0.49"/>
    <n v="0.14000000000000001"/>
    <n v="1.194"/>
    <n v="0.44450000000000001"/>
    <n v="0.23799999999999999"/>
    <n v="0.375"/>
    <n v="15"/>
    <n v="14"/>
    <s v="Santiago"/>
    <s v="Vaughan"/>
    <s v="Ohio State University_x0009_"/>
    <n v="2"/>
    <x v="1"/>
    <n v="18"/>
    <s v="Category 3"/>
    <e v="#N/A"/>
    <e v="#N/A"/>
    <s v="Yes"/>
    <n v="1.0249266666666668"/>
    <n v="1.0249266666666668"/>
    <x v="0"/>
    <x v="0"/>
    <x v="33"/>
  </r>
  <r>
    <n v="3066"/>
    <s v="F"/>
    <n v="0.64"/>
    <n v="0.48499999999999999"/>
    <n v="0.14499999999999999"/>
    <n v="1.1335"/>
    <n v="0.55249999999999999"/>
    <n v="0.2505"/>
    <n v="0.30149999999999999"/>
    <n v="11"/>
    <n v="3"/>
    <s v="Inaya"/>
    <s v="Bernard"/>
    <s v="Stanford University"/>
    <n v="10"/>
    <x v="5"/>
    <n v="24.1"/>
    <s v="Category 3"/>
    <e v="#N/A"/>
    <e v="#N/A"/>
    <s v="Yes"/>
    <n v="1.0268262500000001"/>
    <n v="1.0268262500000001"/>
    <x v="0"/>
    <x v="0"/>
    <x v="34"/>
  </r>
  <r>
    <n v="2103"/>
    <s v="I"/>
    <n v="0.41"/>
    <n v="0.31"/>
    <n v="0.11"/>
    <n v="0.315"/>
    <n v="0.124"/>
    <n v="8.2000000000000003E-2"/>
    <n v="9.5000000000000001E-2"/>
    <n v="9"/>
    <n v="7"/>
    <s v="Iona"/>
    <s v="Connolly"/>
    <s v="Florida Atlantic University"/>
    <n v="6"/>
    <x v="8"/>
    <n v="14.1"/>
    <s v="Category 2"/>
    <e v="#N/A"/>
    <s v="Yes"/>
    <e v="#N/A"/>
    <n v="0.9247749999999999"/>
    <n v="0.73981999999999992"/>
    <x v="0"/>
    <x v="55"/>
    <x v="1"/>
  </r>
  <r>
    <n v="1465"/>
    <s v="F"/>
    <n v="0.505"/>
    <n v="0.38"/>
    <n v="0.13500000000000001"/>
    <n v="0.6855"/>
    <n v="0.36099999999999999"/>
    <n v="0.1565"/>
    <n v="0.161"/>
    <n v="9"/>
    <n v="15"/>
    <s v="Conan"/>
    <s v="Dalton"/>
    <s v="University of Houston"/>
    <n v="3"/>
    <x v="9"/>
    <n v="3.6"/>
    <s v="Category 2"/>
    <e v="#N/A"/>
    <s v="Yes"/>
    <e v="#N/A"/>
    <n v="0.96472374999999999"/>
    <n v="0.77177899999999999"/>
    <x v="0"/>
    <x v="56"/>
    <x v="1"/>
  </r>
  <r>
    <n v="2998"/>
    <s v="F"/>
    <n v="0.625"/>
    <n v="0.49"/>
    <n v="0.11"/>
    <n v="1.1359999999999999"/>
    <n v="0.52649999999999997"/>
    <n v="0.1915"/>
    <n v="0.29249999999999998"/>
    <n v="9"/>
    <n v="4"/>
    <s v="Nate"/>
    <s v="Craig"/>
    <s v="NOAA Fisheries"/>
    <n v="1"/>
    <x v="0"/>
    <n v="22.1"/>
    <s v="Category 3"/>
    <e v="#N/A"/>
    <e v="#N/A"/>
    <s v="Yes"/>
    <n v="1.0167600000000001"/>
    <n v="1.0167600000000001"/>
    <x v="0"/>
    <x v="0"/>
    <x v="35"/>
  </r>
  <r>
    <n v="1501"/>
    <s v="F"/>
    <n v="0.63"/>
    <n v="0.5"/>
    <n v="0.17499999999999999"/>
    <n v="1.1105"/>
    <n v="0.46700000000000003"/>
    <n v="0.26800000000000002"/>
    <n v="0.32900000000000001"/>
    <n v="10"/>
    <n v="6"/>
    <s v="Martin"/>
    <s v="Gaines"/>
    <s v="San Diego State University"/>
    <n v="6"/>
    <x v="8"/>
    <n v="14.1"/>
    <s v="Category 3"/>
    <e v="#N/A"/>
    <e v="#N/A"/>
    <s v="Yes"/>
    <n v="1.0350229166666667"/>
    <n v="1.0350229166666667"/>
    <x v="0"/>
    <x v="0"/>
    <x v="36"/>
  </r>
  <r>
    <n v="3413"/>
    <s v="I"/>
    <n v="0.48"/>
    <n v="0.35499999999999998"/>
    <n v="0.115"/>
    <n v="0.57850000000000001"/>
    <n v="0.25"/>
    <n v="0.106"/>
    <n v="0.184"/>
    <n v="8"/>
    <n v="9"/>
    <s v="Danica"/>
    <s v="Tyler"/>
    <s v="University of Florida_x0009_"/>
    <n v="6"/>
    <x v="8"/>
    <n v="14.1"/>
    <s v="Category 2"/>
    <e v="#N/A"/>
    <s v="Yes"/>
    <e v="#N/A"/>
    <n v="0.95085458333333328"/>
    <n v="0.76068366666666665"/>
    <x v="0"/>
    <x v="57"/>
    <x v="1"/>
  </r>
  <r>
    <n v="372"/>
    <s v="F"/>
    <n v="0.66"/>
    <n v="0.56499999999999995"/>
    <n v="0.19500000000000001"/>
    <n v="1.7605"/>
    <n v="0.69199999999999995"/>
    <n v="0.32650000000000001"/>
    <n v="0.5"/>
    <n v="16"/>
    <n v="8"/>
    <s v="Kali"/>
    <s v="Metcalfe"/>
    <s v="Mote Marine Laboratory"/>
    <n v="1"/>
    <x v="0"/>
    <n v="22.1"/>
    <s v="Category 3"/>
    <e v="#N/A"/>
    <e v="#N/A"/>
    <s v="Yes"/>
    <n v="1.0481829166666665"/>
    <n v="1.0481829166666665"/>
    <x v="0"/>
    <x v="0"/>
    <x v="37"/>
  </r>
  <r>
    <n v="3833"/>
    <s v="F"/>
    <n v="0.46"/>
    <n v="0.36499999999999999"/>
    <n v="0.115"/>
    <n v="0.44850000000000001"/>
    <n v="0.16500000000000001"/>
    <n v="8.3000000000000004E-2"/>
    <n v="0.17"/>
    <n v="14"/>
    <n v="14"/>
    <s v="Santiago"/>
    <s v="Vaughan"/>
    <s v="Ohio State University_x0009_"/>
    <n v="2"/>
    <x v="1"/>
    <n v="18"/>
    <s v="Category 2"/>
    <e v="#N/A"/>
    <s v="Yes"/>
    <e v="#N/A"/>
    <n v="0.95369625000000002"/>
    <n v="0.76295700000000011"/>
    <x v="0"/>
    <x v="58"/>
    <x v="1"/>
  </r>
  <r>
    <n v="1710"/>
    <s v="M"/>
    <n v="0.64500000000000002"/>
    <n v="0.51"/>
    <n v="0.19"/>
    <n v="1.4744999999999999"/>
    <n v="0.60499999999999998"/>
    <n v="0.34499999999999997"/>
    <n v="0.48"/>
    <n v="9"/>
    <n v="13"/>
    <s v="Betty"/>
    <s v="Berg"/>
    <s v="University of Houston"/>
    <n v="1"/>
    <x v="0"/>
    <n v="22.1"/>
    <s v="Category 3"/>
    <e v="#N/A"/>
    <e v="#N/A"/>
    <s v="Yes"/>
    <n v="1.0333924999999999"/>
    <n v="1.0333924999999999"/>
    <x v="0"/>
    <x v="0"/>
    <x v="38"/>
  </r>
  <r>
    <n v="2434"/>
    <s v="F"/>
    <n v="0.66"/>
    <n v="0.51500000000000001"/>
    <n v="0.18"/>
    <n v="1.5229999999999999"/>
    <n v="0.54"/>
    <n v="0.33650000000000002"/>
    <n v="0.55500000000000005"/>
    <n v="16"/>
    <n v="15"/>
    <s v="Conan"/>
    <s v="Dalton"/>
    <s v="University of Houston"/>
    <n v="4"/>
    <x v="2"/>
    <n v="6.1"/>
    <s v="Category 3"/>
    <e v="#N/A"/>
    <e v="#N/A"/>
    <s v="Yes"/>
    <n v="1.0358233333333333"/>
    <n v="1.0358233333333333"/>
    <x v="0"/>
    <x v="0"/>
    <x v="39"/>
  </r>
  <r>
    <n v="137"/>
    <s v="F"/>
    <n v="0.30499999999999999"/>
    <n v="0.23"/>
    <n v="0.08"/>
    <n v="0.156"/>
    <n v="6.7500000000000004E-2"/>
    <n v="3.4500000000000003E-2"/>
    <n v="4.8000000000000001E-2"/>
    <n v="7"/>
    <n v="4"/>
    <s v="Nate"/>
    <s v="Craig"/>
    <s v="NOAA Fisheries"/>
    <n v="7"/>
    <x v="6"/>
    <n v="2.5"/>
    <s v="Category 2"/>
    <e v="#N/A"/>
    <s v="Yes"/>
    <e v="#N/A"/>
    <n v="0.87001333333333342"/>
    <n v="0.69601066666666678"/>
    <x v="0"/>
    <x v="59"/>
    <x v="1"/>
  </r>
  <r>
    <n v="3018"/>
    <s v="I"/>
    <n v="0.435"/>
    <n v="0.32500000000000001"/>
    <n v="0.105"/>
    <n v="0.33500000000000002"/>
    <n v="0.13600000000000001"/>
    <n v="6.5000000000000002E-2"/>
    <n v="0.115"/>
    <n v="8"/>
    <n v="1"/>
    <s v="Jan"/>
    <s v="Odom"/>
    <s v="University of Houston"/>
    <n v="10"/>
    <x v="5"/>
    <n v="24.1"/>
    <s v="Category 2"/>
    <e v="#N/A"/>
    <s v="Yes"/>
    <e v="#N/A"/>
    <n v="0.93686249999999993"/>
    <n v="0.74948999999999999"/>
    <x v="0"/>
    <x v="60"/>
    <x v="1"/>
  </r>
  <r>
    <n v="3427"/>
    <s v="M"/>
    <n v="0.71"/>
    <n v="0.55000000000000004"/>
    <n v="0.2"/>
    <n v="1.9045000000000001"/>
    <n v="0.88200000000000001"/>
    <n v="0.44"/>
    <n v="0.5"/>
    <n v="13"/>
    <n v="3"/>
    <s v="Inaya"/>
    <s v="Bernard"/>
    <s v="Stanford University"/>
    <n v="5"/>
    <x v="3"/>
    <n v="12.8"/>
    <s v="Category 3"/>
    <e v="#N/A"/>
    <e v="#N/A"/>
    <s v="Yes"/>
    <n v="1.0565166666666668"/>
    <n v="1.0565166666666668"/>
    <x v="0"/>
    <x v="0"/>
    <x v="40"/>
  </r>
  <r>
    <n v="781"/>
    <s v="M"/>
    <n v="0.56000000000000005"/>
    <n v="0.41"/>
    <n v="0.16500000000000001"/>
    <n v="0.93"/>
    <n v="0.35049999999999998"/>
    <n v="0.23699999999999999"/>
    <n v="0.3"/>
    <n v="13"/>
    <n v="12"/>
    <s v="Rebecca"/>
    <s v="Bennett"/>
    <s v="University of Houston"/>
    <n v="1"/>
    <x v="0"/>
    <n v="22.1"/>
    <s v="Category 2"/>
    <e v="#N/A"/>
    <s v="Yes"/>
    <e v="#N/A"/>
    <n v="0.98690833333333339"/>
    <n v="0.78952666666666671"/>
    <x v="0"/>
    <x v="61"/>
    <x v="1"/>
  </r>
  <r>
    <n v="2871"/>
    <s v="I"/>
    <n v="0.37"/>
    <n v="0.27"/>
    <n v="0.09"/>
    <n v="0.1855"/>
    <n v="7.0000000000000007E-2"/>
    <n v="4.2500000000000003E-2"/>
    <n v="6.5000000000000002E-2"/>
    <n v="7"/>
    <n v="3"/>
    <s v="Inaya"/>
    <s v="Bernard"/>
    <s v="Stanford University"/>
    <n v="3"/>
    <x v="9"/>
    <n v="3.6"/>
    <s v="Category 2"/>
    <e v="#N/A"/>
    <s v="Yes"/>
    <e v="#N/A"/>
    <n v="0.90374916666666671"/>
    <n v="0.72299933333333344"/>
    <x v="0"/>
    <x v="62"/>
    <x v="1"/>
  </r>
  <r>
    <n v="3141"/>
    <s v="M"/>
    <n v="0.55000000000000004"/>
    <n v="0.42499999999999999"/>
    <n v="0.16"/>
    <n v="0.97"/>
    <n v="0.28849999999999998"/>
    <n v="0.13900000000000001"/>
    <n v="0.48"/>
    <n v="20"/>
    <n v="5"/>
    <s v="Haniya"/>
    <s v="Talley"/>
    <s v="Prince William Sound Science Center"/>
    <n v="1"/>
    <x v="0"/>
    <n v="22.1"/>
    <s v="Category 2"/>
    <e v="#N/A"/>
    <s v="Yes"/>
    <e v="#N/A"/>
    <n v="0.98619999999999997"/>
    <n v="0.78895999999999999"/>
    <x v="0"/>
    <x v="63"/>
    <x v="1"/>
  </r>
  <r>
    <n v="186"/>
    <s v="M"/>
    <n v="0.62"/>
    <n v="0.49"/>
    <n v="0.19"/>
    <n v="1.218"/>
    <n v="0.54549999999999998"/>
    <n v="0.29649999999999999"/>
    <n v="0.35499999999999998"/>
    <n v="13"/>
    <n v="2"/>
    <s v="Tiegan"/>
    <s v="Davie"/>
    <s v="University of California, Davis"/>
    <n v="5"/>
    <x v="3"/>
    <n v="12.8"/>
    <s v="Category 3"/>
    <e v="#N/A"/>
    <e v="#N/A"/>
    <s v="Yes"/>
    <n v="1.0273700000000001"/>
    <n v="1.0273700000000001"/>
    <x v="0"/>
    <x v="0"/>
    <x v="41"/>
  </r>
  <r>
    <n v="1040"/>
    <s v="F"/>
    <n v="0.66"/>
    <n v="0.47499999999999998"/>
    <n v="0.18"/>
    <n v="1.3694999999999999"/>
    <n v="0.64100000000000001"/>
    <n v="0.29399999999999998"/>
    <n v="0.33500000000000002"/>
    <n v="6"/>
    <n v="8"/>
    <s v="Kali"/>
    <s v="Metcalfe"/>
    <s v="Mote Marine Laboratory"/>
    <n v="10"/>
    <x v="5"/>
    <n v="24.1"/>
    <s v="Category 3"/>
    <e v="#N/A"/>
    <e v="#N/A"/>
    <s v="Yes"/>
    <n v="1.0281183333333332"/>
    <n v="1.0281183333333332"/>
    <x v="0"/>
    <x v="0"/>
    <x v="42"/>
  </r>
  <r>
    <n v="3236"/>
    <s v="M"/>
    <n v="0.66500000000000004"/>
    <n v="0.53500000000000003"/>
    <n v="0.155"/>
    <n v="1.383"/>
    <n v="0.59599999999999997"/>
    <n v="0.25650000000000001"/>
    <n v="0.48499999999999999"/>
    <n v="14"/>
    <n v="12"/>
    <s v="Rebecca"/>
    <s v="Bennett"/>
    <s v="University of Houston"/>
    <n v="2"/>
    <x v="1"/>
    <n v="18"/>
    <s v="Category 3"/>
    <e v="#N/A"/>
    <e v="#N/A"/>
    <s v="Yes"/>
    <n v="1.0435274999999999"/>
    <n v="1.0435274999999999"/>
    <x v="0"/>
    <x v="0"/>
    <x v="43"/>
  </r>
  <r>
    <n v="2844"/>
    <s v="M"/>
    <n v="0.6"/>
    <n v="0.45"/>
    <n v="0.16"/>
    <n v="1.1419999999999999"/>
    <n v="0.53900000000000003"/>
    <n v="0.22500000000000001"/>
    <n v="0.307"/>
    <n v="10"/>
    <n v="4"/>
    <s v="Nate"/>
    <s v="Craig"/>
    <s v="NOAA Fisheries"/>
    <n v="6"/>
    <x v="8"/>
    <n v="14.1"/>
    <s v="Category 3"/>
    <e v="#N/A"/>
    <e v="#N/A"/>
    <s v="Yes"/>
    <n v="1.0043199999999999"/>
    <n v="1.0043199999999999"/>
    <x v="0"/>
    <x v="0"/>
    <x v="44"/>
  </r>
  <r>
    <n v="761"/>
    <s v="M"/>
    <n v="0.58499999999999996"/>
    <n v="0.40500000000000003"/>
    <n v="0.15"/>
    <n v="1.2565"/>
    <n v="0.435"/>
    <n v="0.20200000000000001"/>
    <n v="0.32500000000000001"/>
    <n v="15"/>
    <n v="3"/>
    <s v="Inaya"/>
    <s v="Bernard"/>
    <s v="Stanford University"/>
    <n v="4"/>
    <x v="2"/>
    <n v="6.1"/>
    <s v="Category 3"/>
    <e v="#N/A"/>
    <e v="#N/A"/>
    <s v="Yes"/>
    <n v="0.97764583333333333"/>
    <n v="0.97764583333333333"/>
    <x v="0"/>
    <x v="0"/>
    <x v="45"/>
  </r>
  <r>
    <n v="3068"/>
    <s v="M"/>
    <n v="0.65"/>
    <n v="0.505"/>
    <n v="0.17"/>
    <n v="1.5595000000000001"/>
    <n v="0.69499999999999995"/>
    <n v="0.35149999999999998"/>
    <n v="0.39500000000000002"/>
    <n v="11"/>
    <n v="1"/>
    <s v="Jan"/>
    <s v="Odom"/>
    <s v="University of Houston"/>
    <n v="6"/>
    <x v="8"/>
    <n v="14.1"/>
    <s v="Category 3"/>
    <e v="#N/A"/>
    <e v="#N/A"/>
    <s v="Yes"/>
    <n v="1.0252191666666666"/>
    <n v="1.0252191666666666"/>
    <x v="0"/>
    <x v="0"/>
    <x v="46"/>
  </r>
  <r>
    <n v="86"/>
    <s v="F"/>
    <n v="0.56999999999999995"/>
    <n v="0.46500000000000002"/>
    <n v="0.18"/>
    <n v="1.2949999999999999"/>
    <n v="0.33900000000000002"/>
    <n v="0.2225"/>
    <n v="0.44"/>
    <n v="12"/>
    <n v="11"/>
    <s v="Naima"/>
    <s v="Reyes"/>
    <s v="University of Houston"/>
    <n v="7"/>
    <x v="6"/>
    <n v="2.5"/>
    <s v="Category 3"/>
    <e v="#N/A"/>
    <e v="#N/A"/>
    <s v="Yes"/>
    <n v="0.99751666666666683"/>
    <n v="0.99751666666666683"/>
    <x v="0"/>
    <x v="0"/>
    <x v="47"/>
  </r>
  <r>
    <n v="4035"/>
    <s v="M"/>
    <n v="0.51"/>
    <n v="0.40500000000000003"/>
    <n v="0.125"/>
    <n v="0.6925"/>
    <n v="0.32700000000000001"/>
    <n v="0.155"/>
    <n v="0.18049999999999999"/>
    <n v="7"/>
    <n v="6"/>
    <s v="Martin"/>
    <s v="Gaines"/>
    <s v="San Diego State University"/>
    <n v="2"/>
    <x v="1"/>
    <n v="18"/>
    <s v="Category 2"/>
    <e v="#N/A"/>
    <s v="Yes"/>
    <e v="#N/A"/>
    <n v="0.97326041666666674"/>
    <n v="0.77860833333333346"/>
    <x v="0"/>
    <x v="64"/>
    <x v="1"/>
  </r>
  <r>
    <n v="1055"/>
    <s v="I"/>
    <n v="0.19500000000000001"/>
    <n v="0.15"/>
    <n v="4.4999999999999998E-2"/>
    <n v="3.7499999999999999E-2"/>
    <n v="1.7999999999999999E-2"/>
    <n v="6.0000000000000001E-3"/>
    <n v="1.0999999999999999E-2"/>
    <n v="3"/>
    <n v="6"/>
    <s v="Martin"/>
    <s v="Gaines"/>
    <s v="San Diego State University"/>
    <n v="5"/>
    <x v="3"/>
    <n v="12.8"/>
    <s v="Category 2"/>
    <e v="#N/A"/>
    <s v="Yes"/>
    <e v="#N/A"/>
    <n v="0.8127812499999999"/>
    <n v="0.65022499999999994"/>
    <x v="0"/>
    <x v="65"/>
    <x v="1"/>
  </r>
  <r>
    <n v="2652"/>
    <s v="I"/>
    <n v="0.51"/>
    <n v="0.38500000000000001"/>
    <n v="0.15"/>
    <n v="0.625"/>
    <n v="0.3095"/>
    <n v="0.11899999999999999"/>
    <n v="0.17249999999999999"/>
    <n v="8"/>
    <n v="12"/>
    <s v="Rebecca"/>
    <s v="Bennett"/>
    <s v="University of Houston"/>
    <n v="5"/>
    <x v="3"/>
    <n v="12.8"/>
    <s v="Category 2"/>
    <e v="#N/A"/>
    <s v="Yes"/>
    <e v="#N/A"/>
    <n v="0.97229166666666678"/>
    <n v="0.77783333333333349"/>
    <x v="0"/>
    <x v="66"/>
    <x v="1"/>
  </r>
  <r>
    <n v="2722"/>
    <s v="I"/>
    <n v="0.375"/>
    <n v="0.28999999999999998"/>
    <n v="0.14000000000000001"/>
    <n v="0.3"/>
    <n v="0.14000000000000001"/>
    <n v="6.25E-2"/>
    <n v="8.2500000000000004E-2"/>
    <n v="8"/>
    <n v="12"/>
    <s v="Rebecca"/>
    <s v="Bennett"/>
    <s v="University of Houston"/>
    <n v="2"/>
    <x v="1"/>
    <n v="18"/>
    <s v="Category 2"/>
    <e v="#N/A"/>
    <s v="Yes"/>
    <e v="#N/A"/>
    <n v="0.90866666666666662"/>
    <n v="0.72693333333333332"/>
    <x v="0"/>
    <x v="67"/>
    <x v="1"/>
  </r>
  <r>
    <n v="1271"/>
    <s v="I"/>
    <n v="0.47"/>
    <n v="0.35499999999999998"/>
    <n v="0.18"/>
    <n v="0.48"/>
    <n v="0.20549999999999999"/>
    <n v="0.105"/>
    <n v="0.15049999999999999"/>
    <n v="8"/>
    <n v="7"/>
    <s v="Iona"/>
    <s v="Connolly"/>
    <s v="Florida Atlantic University"/>
    <n v="1"/>
    <x v="0"/>
    <n v="22.1"/>
    <s v="Category 2"/>
    <e v="#N/A"/>
    <s v="Yes"/>
    <e v="#N/A"/>
    <n v="0.95740000000000003"/>
    <n v="0.76592000000000005"/>
    <x v="0"/>
    <x v="68"/>
    <x v="1"/>
  </r>
  <r>
    <n v="90"/>
    <s v="F"/>
    <n v="0.57499999999999996"/>
    <n v="0.45"/>
    <n v="0.16"/>
    <n v="0.97750000000000004"/>
    <n v="0.3135"/>
    <n v="0.23100000000000001"/>
    <n v="0.33"/>
    <n v="12"/>
    <n v="1"/>
    <s v="Jan"/>
    <s v="Odom"/>
    <s v="University of Houston"/>
    <n v="2"/>
    <x v="1"/>
    <n v="18"/>
    <s v="Category 2"/>
    <e v="#N/A"/>
    <s v="Yes"/>
    <e v="#N/A"/>
    <n v="1.0025666666666666"/>
    <n v="0.80205333333333328"/>
    <x v="0"/>
    <x v="69"/>
    <x v="1"/>
  </r>
  <r>
    <n v="2789"/>
    <s v="F"/>
    <n v="0.61499999999999999"/>
    <n v="0.46"/>
    <n v="0.15"/>
    <n v="1.0265"/>
    <n v="0.49349999999999999"/>
    <n v="0.20100000000000001"/>
    <n v="0.27450000000000002"/>
    <n v="10"/>
    <n v="1"/>
    <s v="Jan"/>
    <s v="Odom"/>
    <s v="University of Houston"/>
    <n v="1"/>
    <x v="0"/>
    <n v="22.1"/>
    <s v="Category 3"/>
    <e v="#N/A"/>
    <e v="#N/A"/>
    <s v="Yes"/>
    <n v="1.0155624999999999"/>
    <n v="1.0155624999999999"/>
    <x v="0"/>
    <x v="0"/>
    <x v="48"/>
  </r>
  <r>
    <n v="3015"/>
    <s v="I"/>
    <n v="0.39500000000000002"/>
    <n v="0.3"/>
    <n v="0.09"/>
    <n v="0.253"/>
    <n v="0.11550000000000001"/>
    <n v="0.05"/>
    <n v="7.4999999999999997E-2"/>
    <n v="6"/>
    <n v="8"/>
    <s v="Kali"/>
    <s v="Metcalfe"/>
    <s v="Mote Marine Laboratory"/>
    <n v="5"/>
    <x v="3"/>
    <n v="12.8"/>
    <s v="Category 2"/>
    <e v="#N/A"/>
    <s v="Yes"/>
    <e v="#N/A"/>
    <n v="0.91859499999999994"/>
    <n v="0.73487599999999997"/>
    <x v="0"/>
    <x v="70"/>
    <x v="1"/>
  </r>
  <r>
    <n v="1421"/>
    <s v="F"/>
    <n v="0.71"/>
    <n v="0.55000000000000004"/>
    <n v="0.17"/>
    <n v="1.6140000000000001"/>
    <n v="0.74299999999999999"/>
    <n v="0.34499999999999997"/>
    <n v="0.45"/>
    <n v="11"/>
    <n v="2"/>
    <s v="Tiegan"/>
    <s v="Davie"/>
    <s v="University of California, Davis"/>
    <n v="8"/>
    <x v="4"/>
    <n v="12.3"/>
    <s v="Category 3"/>
    <e v="#N/A"/>
    <e v="#N/A"/>
    <s v="Yes"/>
    <n v="1.05813"/>
    <n v="1.05813"/>
    <x v="0"/>
    <x v="0"/>
    <x v="49"/>
  </r>
  <r>
    <n v="2399"/>
    <s v="I"/>
    <n v="0.5"/>
    <n v="0.38500000000000001"/>
    <n v="0.155"/>
    <n v="0.76200000000000001"/>
    <n v="0.3795"/>
    <n v="0.161"/>
    <n v="0.19"/>
    <n v="14"/>
    <n v="9"/>
    <s v="Danica"/>
    <s v="Tyler"/>
    <s v="University of Florida_x0009_"/>
    <n v="10"/>
    <x v="5"/>
    <n v="24.1"/>
    <s v="Category 2"/>
    <e v="#N/A"/>
    <s v="Yes"/>
    <e v="#N/A"/>
    <n v="0.96388499999999999"/>
    <n v="0.77110800000000002"/>
    <x v="0"/>
    <x v="71"/>
    <x v="1"/>
  </r>
  <r>
    <n v="1503"/>
    <s v="M"/>
    <n v="0.63"/>
    <n v="0.48"/>
    <n v="0.15"/>
    <n v="1.2709999999999999"/>
    <n v="0.66049999999999998"/>
    <n v="0.24249999999999999"/>
    <n v="0.31"/>
    <n v="11"/>
    <n v="4"/>
    <s v="Nate"/>
    <s v="Craig"/>
    <s v="NOAA Fisheries"/>
    <n v="1"/>
    <x v="0"/>
    <n v="22.1"/>
    <s v="Category 3"/>
    <e v="#N/A"/>
    <e v="#N/A"/>
    <s v="Yes"/>
    <n v="1.0170416666666666"/>
    <n v="1.0170416666666666"/>
    <x v="0"/>
    <x v="0"/>
    <x v="50"/>
  </r>
  <r>
    <n v="3152"/>
    <s v="F"/>
    <n v="0.66500000000000004"/>
    <n v="0.5"/>
    <n v="0.17499999999999999"/>
    <n v="1.742"/>
    <n v="0.59499999999999997"/>
    <n v="0.30249999999999999"/>
    <n v="0.72499999999999998"/>
    <n v="21"/>
    <n v="13"/>
    <s v="Betty"/>
    <s v="Berg"/>
    <s v="University of Houston"/>
    <n v="1"/>
    <x v="0"/>
    <n v="22.1"/>
    <s v="Category 2"/>
    <e v="#N/A"/>
    <s v="Yes"/>
    <e v="#N/A"/>
    <n v="1.0230083333333333"/>
    <n v="0.81840666666666673"/>
    <x v="0"/>
    <x v="72"/>
    <x v="1"/>
  </r>
  <r>
    <n v="210"/>
    <s v="I"/>
    <n v="0.37"/>
    <n v="0.28000000000000003"/>
    <n v="9.5000000000000001E-2"/>
    <n v="0.26550000000000001"/>
    <n v="0.122"/>
    <n v="5.1999999999999998E-2"/>
    <n v="0.08"/>
    <n v="7"/>
    <n v="3"/>
    <s v="Inaya"/>
    <s v="Bernard"/>
    <s v="Stanford University"/>
    <n v="7"/>
    <x v="6"/>
    <n v="2.5"/>
    <s v="Category 2"/>
    <e v="#N/A"/>
    <s v="Yes"/>
    <e v="#N/A"/>
    <n v="0.90317041666666664"/>
    <n v="0.72253633333333334"/>
    <x v="0"/>
    <x v="73"/>
    <x v="1"/>
  </r>
  <r>
    <n v="1314"/>
    <s v="M"/>
    <n v="0.55000000000000004"/>
    <n v="0.43"/>
    <n v="0.15"/>
    <n v="0.87450000000000006"/>
    <n v="0.41299999999999998"/>
    <n v="0.1905"/>
    <n v="0.248"/>
    <n v="9"/>
    <n v="14"/>
    <s v="Santiago"/>
    <s v="Vaughan"/>
    <s v="Ohio State University_x0009_"/>
    <n v="9"/>
    <x v="7"/>
    <n v="1.9"/>
    <s v="Category 3"/>
    <e v="#N/A"/>
    <e v="#N/A"/>
    <s v="Yes"/>
    <n v="0.9902291666666666"/>
    <n v="0.9902291666666666"/>
    <x v="0"/>
    <x v="0"/>
    <x v="51"/>
  </r>
  <r>
    <n v="1366"/>
    <s v="M"/>
    <n v="0.61"/>
    <n v="0.47499999999999998"/>
    <n v="0.17"/>
    <n v="1.0265"/>
    <n v="0.435"/>
    <n v="0.23350000000000001"/>
    <n v="0.30349999999999999"/>
    <n v="10"/>
    <n v="14"/>
    <s v="Santiago"/>
    <s v="Vaughan"/>
    <s v="Ohio State University_x0009_"/>
    <n v="5"/>
    <x v="3"/>
    <n v="12.8"/>
    <s v="Category 3"/>
    <e v="#N/A"/>
    <e v="#N/A"/>
    <s v="Yes"/>
    <n v="1.0223174999999998"/>
    <n v="1.0223174999999998"/>
    <x v="0"/>
    <x v="0"/>
    <x v="52"/>
  </r>
  <r>
    <n v="1784"/>
    <s v="M"/>
    <n v="0.52500000000000002"/>
    <n v="0.38"/>
    <n v="0.125"/>
    <n v="0.65"/>
    <n v="0.30299999999999999"/>
    <n v="0.155"/>
    <n v="0.159"/>
    <n v="7"/>
    <n v="12"/>
    <s v="Rebecca"/>
    <s v="Bennett"/>
    <s v="University of Houston"/>
    <n v="3"/>
    <x v="9"/>
    <n v="3.6"/>
    <s v="Category 2"/>
    <e v="#N/A"/>
    <s v="Yes"/>
    <e v="#N/A"/>
    <n v="0.97187500000000004"/>
    <n v="0.77750000000000008"/>
    <x v="0"/>
    <x v="74"/>
    <x v="1"/>
  </r>
  <r>
    <n v="1030"/>
    <s v="F"/>
    <n v="0.64500000000000002"/>
    <n v="0.5"/>
    <n v="0.16"/>
    <n v="1.2464999999999999"/>
    <n v="0.54749999999999999"/>
    <n v="0.32700000000000001"/>
    <n v="0.3"/>
    <n v="10"/>
    <n v="14"/>
    <s v="Santiago"/>
    <s v="Vaughan"/>
    <s v="Ohio State University_x0009_"/>
    <n v="6"/>
    <x v="8"/>
    <n v="14.1"/>
    <s v="Category 3"/>
    <e v="#N/A"/>
    <e v="#N/A"/>
    <s v="Yes"/>
    <n v="1.0318066666666665"/>
    <n v="1.0318066666666665"/>
    <x v="0"/>
    <x v="0"/>
    <x v="53"/>
  </r>
  <r>
    <n v="2658"/>
    <s v="F"/>
    <n v="0.54500000000000004"/>
    <n v="0.4"/>
    <n v="0.14000000000000001"/>
    <n v="0.77800000000000002"/>
    <n v="0.36799999999999999"/>
    <n v="0.215"/>
    <n v="0.18"/>
    <n v="9"/>
    <n v="1"/>
    <s v="Jan"/>
    <s v="Odom"/>
    <s v="University of Houston"/>
    <n v="5"/>
    <x v="3"/>
    <n v="12.8"/>
    <s v="Category 2"/>
    <e v="#N/A"/>
    <s v="Yes"/>
    <e v="#N/A"/>
    <n v="0.98128666666666675"/>
    <n v="0.78502933333333347"/>
    <x v="0"/>
    <x v="75"/>
    <x v="1"/>
  </r>
  <r>
    <n v="2242"/>
    <s v="F"/>
    <n v="0.435"/>
    <n v="0.32"/>
    <n v="0.12"/>
    <n v="0.3785"/>
    <n v="0.152"/>
    <n v="9.1499999999999998E-2"/>
    <n v="0.125"/>
    <n v="11"/>
    <n v="10"/>
    <s v="Hazel"/>
    <s v="Villa"/>
    <s v="University of Minnesota"/>
    <n v="6"/>
    <x v="8"/>
    <n v="14.1"/>
    <s v="Category 2"/>
    <e v="#N/A"/>
    <s v="Yes"/>
    <e v="#N/A"/>
    <n v="0.9340033333333333"/>
    <n v="0.74720266666666668"/>
    <x v="0"/>
    <x v="76"/>
    <x v="1"/>
  </r>
  <r>
    <n v="184"/>
    <s v="F"/>
    <n v="0.62"/>
    <n v="0.47499999999999998"/>
    <n v="0.17499999999999999"/>
    <n v="1.0165"/>
    <n v="0.4355"/>
    <n v="0.214"/>
    <n v="0.32500000000000001"/>
    <n v="10"/>
    <n v="3"/>
    <s v="Inaya"/>
    <s v="Bernard"/>
    <s v="Stanford University"/>
    <n v="4"/>
    <x v="2"/>
    <n v="6.1"/>
    <s v="Category 3"/>
    <e v="#N/A"/>
    <e v="#N/A"/>
    <s v="Yes"/>
    <n v="1.02688125"/>
    <n v="1.02688125"/>
    <x v="0"/>
    <x v="0"/>
    <x v="54"/>
  </r>
  <r>
    <n v="3333"/>
    <s v="I"/>
    <n v="0.44"/>
    <n v="0.34"/>
    <n v="0.125"/>
    <n v="0.48949999999999999"/>
    <n v="0.17349999999999999"/>
    <n v="8.7499999999999994E-2"/>
    <n v="0.2"/>
    <n v="13"/>
    <n v="15"/>
    <s v="Conan"/>
    <s v="Dalton"/>
    <s v="University of Houston"/>
    <n v="2"/>
    <x v="1"/>
    <n v="18"/>
    <s v="Category 2"/>
    <e v="#N/A"/>
    <s v="Yes"/>
    <e v="#N/A"/>
    <n v="0.93756458333333326"/>
    <n v="0.75005166666666667"/>
    <x v="0"/>
    <x v="77"/>
    <x v="1"/>
  </r>
  <r>
    <n v="1121"/>
    <s v="M"/>
    <n v="0.54500000000000004"/>
    <n v="0.39"/>
    <n v="0.13500000000000001"/>
    <n v="0.78349999999999997"/>
    <n v="0.42249999999999999"/>
    <n v="0.18149999999999999"/>
    <n v="0.156"/>
    <n v="7"/>
    <n v="10"/>
    <s v="Hazel"/>
    <s v="Villa"/>
    <s v="University of Minnesota"/>
    <n v="8"/>
    <x v="4"/>
    <n v="12.3"/>
    <s v="Category 3"/>
    <e v="#N/A"/>
    <e v="#N/A"/>
    <s v="Yes"/>
    <n v="0.97706208333333333"/>
    <n v="0.97706208333333333"/>
    <x v="0"/>
    <x v="0"/>
    <x v="55"/>
  </r>
  <r>
    <n v="3913"/>
    <s v="I"/>
    <n v="0.52"/>
    <n v="0.40500000000000003"/>
    <n v="0.14000000000000001"/>
    <n v="0.67649999999999999"/>
    <n v="0.28649999999999998"/>
    <n v="0.14599999999999999"/>
    <n v="0.20499999999999999"/>
    <n v="15"/>
    <n v="10"/>
    <s v="Hazel"/>
    <s v="Villa"/>
    <s v="University of Minnesota"/>
    <n v="4"/>
    <x v="2"/>
    <n v="6.1"/>
    <s v="Category 2"/>
    <e v="#N/A"/>
    <s v="Yes"/>
    <e v="#N/A"/>
    <n v="0.97901833333333332"/>
    <n v="0.78321466666666673"/>
    <x v="0"/>
    <x v="78"/>
    <x v="1"/>
  </r>
  <r>
    <n v="3317"/>
    <s v="M"/>
    <n v="0.44"/>
    <n v="0.35"/>
    <n v="0.14000000000000001"/>
    <n v="0.45100000000000001"/>
    <n v="0.17100000000000001"/>
    <n v="7.0499999999999993E-2"/>
    <n v="0.184"/>
    <n v="16"/>
    <n v="1"/>
    <s v="Jan"/>
    <s v="Odom"/>
    <s v="University of Houston"/>
    <n v="4"/>
    <x v="2"/>
    <n v="6.1"/>
    <s v="Category 2"/>
    <e v="#N/A"/>
    <s v="Yes"/>
    <e v="#N/A"/>
    <n v="0.94378999999999991"/>
    <n v="0.75503199999999993"/>
    <x v="0"/>
    <x v="79"/>
    <x v="1"/>
  </r>
  <r>
    <n v="2702"/>
    <s v="F"/>
    <n v="0.67500000000000004"/>
    <n v="0.55000000000000004"/>
    <n v="0.19"/>
    <n v="1.5509999999999999"/>
    <n v="0.71050000000000002"/>
    <n v="0.36849999999999999"/>
    <n v="0.41199999999999998"/>
    <n v="13"/>
    <n v="3"/>
    <s v="Inaya"/>
    <s v="Bernard"/>
    <s v="Stanford University"/>
    <n v="1"/>
    <x v="0"/>
    <n v="22.1"/>
    <s v="Category 3"/>
    <e v="#N/A"/>
    <e v="#N/A"/>
    <s v="Yes"/>
    <n v="1.0540483333333335"/>
    <n v="1.0540483333333335"/>
    <x v="0"/>
    <x v="0"/>
    <x v="56"/>
  </r>
  <r>
    <n v="3392"/>
    <s v="M"/>
    <n v="0.54500000000000004"/>
    <n v="0.42"/>
    <n v="0.125"/>
    <n v="0.97450000000000003"/>
    <n v="0.35299999999999998"/>
    <n v="0.17399999999999999"/>
    <n v="0.30499999999999999"/>
    <n v="13"/>
    <n v="5"/>
    <s v="Haniya"/>
    <s v="Talley"/>
    <s v="Prince William Sound Science Center"/>
    <n v="9"/>
    <x v="7"/>
    <n v="1.9"/>
    <s v="Category 2"/>
    <e v="#N/A"/>
    <s v="Yes"/>
    <e v="#N/A"/>
    <n v="0.97700208333333338"/>
    <n v="0.78160166666666675"/>
    <x v="0"/>
    <x v="80"/>
    <x v="1"/>
  </r>
  <r>
    <n v="2130"/>
    <s v="M"/>
    <n v="0.59499999999999997"/>
    <n v="0.47"/>
    <n v="0.15"/>
    <n v="0.89149999999999996"/>
    <n v="0.35899999999999999"/>
    <n v="0.21049999999999999"/>
    <n v="0.245"/>
    <n v="12"/>
    <n v="13"/>
    <s v="Betty"/>
    <s v="Berg"/>
    <s v="University of Houston"/>
    <n v="4"/>
    <x v="2"/>
    <n v="6.1"/>
    <s v="Category 2"/>
    <e v="#N/A"/>
    <s v="Yes"/>
    <e v="#N/A"/>
    <n v="1.0178541666666667"/>
    <n v="0.81428333333333347"/>
    <x v="0"/>
    <x v="81"/>
    <x v="1"/>
  </r>
  <r>
    <n v="3179"/>
    <s v="M"/>
    <n v="0.38"/>
    <n v="0.3"/>
    <n v="0.1"/>
    <n v="0.2505"/>
    <n v="0.106"/>
    <n v="5.3499999999999999E-2"/>
    <n v="7.7499999999999999E-2"/>
    <n v="8"/>
    <n v="8"/>
    <s v="Kali"/>
    <s v="Metcalfe"/>
    <s v="Mote Marine Laboratory"/>
    <n v="10"/>
    <x v="5"/>
    <n v="24.1"/>
    <s v="Category 2"/>
    <e v="#N/A"/>
    <s v="Yes"/>
    <e v="#N/A"/>
    <n v="0.91414166666666663"/>
    <n v="0.73131333333333337"/>
    <x v="0"/>
    <x v="82"/>
    <x v="1"/>
  </r>
  <r>
    <n v="3710"/>
    <s v="M"/>
    <n v="0.68500000000000005"/>
    <n v="0.55000000000000004"/>
    <n v="0.19"/>
    <n v="1.885"/>
    <n v="0.89"/>
    <n v="0.41"/>
    <n v="0.48949999999999999"/>
    <n v="10"/>
    <n v="7"/>
    <s v="Iona"/>
    <s v="Connolly"/>
    <s v="Florida Atlantic University"/>
    <n v="1"/>
    <x v="0"/>
    <n v="22.1"/>
    <s v="Category 3"/>
    <e v="#N/A"/>
    <e v="#N/A"/>
    <s v="Yes"/>
    <n v="1.0456916666666669"/>
    <n v="1.0456916666666669"/>
    <x v="0"/>
    <x v="0"/>
    <x v="57"/>
  </r>
  <r>
    <n v="2384"/>
    <s v="F"/>
    <n v="0.52500000000000002"/>
    <n v="0.39"/>
    <n v="0.13500000000000001"/>
    <n v="0.60050000000000003"/>
    <n v="0.22650000000000001"/>
    <n v="0.13100000000000001"/>
    <n v="0.21"/>
    <n v="16"/>
    <n v="6"/>
    <s v="Martin"/>
    <s v="Gaines"/>
    <s v="San Diego State University"/>
    <n v="3"/>
    <x v="9"/>
    <n v="3.6"/>
    <s v="Category 2"/>
    <e v="#N/A"/>
    <s v="Yes"/>
    <e v="#N/A"/>
    <n v="0.97847791666666661"/>
    <n v="0.78278233333333336"/>
    <x v="0"/>
    <x v="83"/>
    <x v="1"/>
  </r>
  <r>
    <n v="996"/>
    <s v="M"/>
    <n v="0.57999999999999996"/>
    <n v="0.49"/>
    <n v="0.13"/>
    <n v="1.1335"/>
    <n v="0.58599999999999997"/>
    <n v="0.25650000000000001"/>
    <n v="0.23699999999999999"/>
    <n v="9"/>
    <n v="4"/>
    <s v="Nate"/>
    <s v="Craig"/>
    <s v="NOAA Fisheries"/>
    <n v="8"/>
    <x v="4"/>
    <n v="12.3"/>
    <s v="Category 3"/>
    <e v="#N/A"/>
    <e v="#N/A"/>
    <s v="Yes"/>
    <n v="1.0056591666666665"/>
    <n v="1.0056591666666665"/>
    <x v="0"/>
    <x v="0"/>
    <x v="58"/>
  </r>
  <r>
    <n v="339"/>
    <s v="M"/>
    <n v="0.62"/>
    <n v="0.47499999999999998"/>
    <n v="0.185"/>
    <n v="1.325"/>
    <n v="0.60450000000000004"/>
    <n v="0.32500000000000001"/>
    <n v="0.33"/>
    <n v="13"/>
    <n v="5"/>
    <s v="Haniya"/>
    <s v="Talley"/>
    <s v="Prince William Sound Science Center"/>
    <n v="3"/>
    <x v="9"/>
    <n v="3.6"/>
    <s v="Category 3"/>
    <e v="#N/A"/>
    <e v="#N/A"/>
    <s v="Yes"/>
    <n v="1.0175208333333332"/>
    <n v="1.0175208333333332"/>
    <x v="0"/>
    <x v="0"/>
    <x v="59"/>
  </r>
  <r>
    <n v="1027"/>
    <s v="M"/>
    <n v="0.64500000000000002"/>
    <n v="0.52"/>
    <n v="0.17499999999999999"/>
    <n v="1.5609999999999999"/>
    <n v="0.70899999999999996"/>
    <n v="0.35549999999999998"/>
    <n v="0.4"/>
    <n v="8"/>
    <n v="7"/>
    <s v="Iona"/>
    <s v="Connolly"/>
    <s v="Florida Atlantic University"/>
    <n v="5"/>
    <x v="3"/>
    <n v="12.8"/>
    <s v="Category 3"/>
    <e v="#N/A"/>
    <e v="#N/A"/>
    <s v="Yes"/>
    <n v="1.0297958333333335"/>
    <n v="1.0297958333333335"/>
    <x v="0"/>
    <x v="0"/>
    <x v="60"/>
  </r>
  <r>
    <n v="478"/>
    <s v="M"/>
    <n v="0.66500000000000004"/>
    <n v="0.54"/>
    <n v="0.17499999999999999"/>
    <n v="1.347"/>
    <n v="0.4955"/>
    <n v="0.254"/>
    <n v="0.41499999999999998"/>
    <n v="17"/>
    <n v="2"/>
    <s v="Tiegan"/>
    <s v="Davie"/>
    <s v="University of California, Davis"/>
    <n v="3"/>
    <x v="9"/>
    <n v="3.6"/>
    <s v="Category 2"/>
    <e v="#N/A"/>
    <s v="Yes"/>
    <e v="#N/A"/>
    <n v="1.0511541666666666"/>
    <n v="0.84092333333333336"/>
    <x v="0"/>
    <x v="84"/>
    <x v="1"/>
  </r>
  <r>
    <n v="779"/>
    <s v="M"/>
    <n v="0.46500000000000002"/>
    <n v="0.35"/>
    <n v="0.14000000000000001"/>
    <n v="0.57550000000000001"/>
    <n v="0.20150000000000001"/>
    <n v="0.15049999999999999"/>
    <n v="0.19"/>
    <n v="15"/>
    <n v="12"/>
    <s v="Rebecca"/>
    <s v="Bennett"/>
    <s v="University of Houston"/>
    <n v="4"/>
    <x v="2"/>
    <n v="6.1"/>
    <s v="Category 2"/>
    <e v="#N/A"/>
    <s v="Yes"/>
    <e v="#N/A"/>
    <n v="0.94672833333333328"/>
    <n v="0.75738266666666665"/>
    <x v="0"/>
    <x v="85"/>
    <x v="1"/>
  </r>
  <r>
    <n v="2780"/>
    <s v="M"/>
    <n v="0.59"/>
    <n v="0.47"/>
    <n v="0.14499999999999999"/>
    <n v="0.92349999999999999"/>
    <n v="0.45450000000000002"/>
    <n v="0.17299999999999999"/>
    <n v="0.254"/>
    <n v="9"/>
    <n v="3"/>
    <s v="Inaya"/>
    <s v="Bernard"/>
    <s v="Stanford University"/>
    <n v="5"/>
    <x v="3"/>
    <n v="12.8"/>
    <s v="Category 3"/>
    <e v="#N/A"/>
    <e v="#N/A"/>
    <s v="Yes"/>
    <n v="1.0140845833333332"/>
    <n v="1.0140845833333332"/>
    <x v="0"/>
    <x v="0"/>
    <x v="61"/>
  </r>
  <r>
    <n v="3173"/>
    <s v="F"/>
    <n v="0.505"/>
    <n v="0.40500000000000003"/>
    <n v="0.18"/>
    <n v="0.60599999999999998"/>
    <n v="0.23899999999999999"/>
    <n v="0.1235"/>
    <n v="0.18"/>
    <n v="11"/>
    <n v="12"/>
    <s v="Rebecca"/>
    <s v="Bennett"/>
    <s v="University of Houston"/>
    <n v="9"/>
    <x v="7"/>
    <n v="1.9"/>
    <s v="Category 2"/>
    <e v="#N/A"/>
    <s v="Yes"/>
    <e v="#N/A"/>
    <n v="0.98111333333333339"/>
    <n v="0.78489066666666674"/>
    <x v="0"/>
    <x v="86"/>
    <x v="1"/>
  </r>
  <r>
    <n v="2337"/>
    <s v="F"/>
    <n v="0.56499999999999995"/>
    <n v="0.48"/>
    <n v="0.17499999999999999"/>
    <n v="0.95699999999999996"/>
    <n v="0.38850000000000001"/>
    <n v="0.215"/>
    <n v="0.27500000000000002"/>
    <n v="18"/>
    <n v="2"/>
    <s v="Tiegan"/>
    <s v="Davie"/>
    <s v="University of California, Davis"/>
    <n v="10"/>
    <x v="5"/>
    <n v="24.1"/>
    <s v="Category 2"/>
    <e v="#N/A"/>
    <s v="Yes"/>
    <e v="#N/A"/>
    <n v="1.0124458333333333"/>
    <n v="0.80995666666666666"/>
    <x v="0"/>
    <x v="87"/>
    <x v="1"/>
  </r>
  <r>
    <n v="3576"/>
    <s v="M"/>
    <n v="0.6"/>
    <n v="0.47"/>
    <n v="0.15"/>
    <n v="0.92800000000000005"/>
    <n v="0.42249999999999999"/>
    <n v="0.183"/>
    <n v="0.27500000000000002"/>
    <n v="8"/>
    <n v="2"/>
    <s v="Tiegan"/>
    <s v="Davie"/>
    <s v="University of California, Davis"/>
    <n v="2"/>
    <x v="1"/>
    <n v="18"/>
    <s v="Category 3"/>
    <e v="#N/A"/>
    <e v="#N/A"/>
    <s v="Yes"/>
    <n v="1.018"/>
    <n v="1.018"/>
    <x v="0"/>
    <x v="0"/>
    <x v="62"/>
  </r>
  <r>
    <n v="1045"/>
    <s v="M"/>
    <n v="0.69"/>
    <n v="0.52500000000000002"/>
    <n v="0.17499999999999999"/>
    <n v="1.7004999999999999"/>
    <n v="0.82550000000000001"/>
    <n v="0.36199999999999999"/>
    <n v="0.40500000000000003"/>
    <n v="8"/>
    <n v="9"/>
    <s v="Danica"/>
    <s v="Tyler"/>
    <s v="University of Florida_x0009_"/>
    <n v="1"/>
    <x v="0"/>
    <n v="22.1"/>
    <s v="Category 3"/>
    <e v="#N/A"/>
    <e v="#N/A"/>
    <s v="Yes"/>
    <n v="1.0412312500000001"/>
    <n v="1.0412312500000001"/>
    <x v="0"/>
    <x v="0"/>
    <x v="63"/>
  </r>
  <r>
    <n v="969"/>
    <s v="M"/>
    <n v="0.51"/>
    <n v="0.40500000000000003"/>
    <n v="0.15"/>
    <n v="0.70350000000000001"/>
    <n v="0.34699999999999998"/>
    <n v="0.13400000000000001"/>
    <n v="0.1885"/>
    <n v="8"/>
    <n v="13"/>
    <s v="Betty"/>
    <s v="Berg"/>
    <s v="University of Houston"/>
    <n v="7"/>
    <x v="6"/>
    <n v="2.5"/>
    <s v="Category 2"/>
    <e v="#N/A"/>
    <s v="Yes"/>
    <e v="#N/A"/>
    <n v="0.97568750000000015"/>
    <n v="0.78055000000000019"/>
    <x v="0"/>
    <x v="88"/>
    <x v="1"/>
  </r>
  <r>
    <n v="4113"/>
    <s v="F"/>
    <n v="0.56000000000000005"/>
    <n v="0.42"/>
    <n v="0.18"/>
    <n v="1.6645000000000001"/>
    <n v="0.77549999999999997"/>
    <n v="0.35"/>
    <n v="0.45250000000000001"/>
    <n v="9"/>
    <n v="6"/>
    <s v="Martin"/>
    <s v="Gaines"/>
    <s v="San Diego State University"/>
    <n v="10"/>
    <x v="5"/>
    <n v="24.1"/>
    <s v="Category 3"/>
    <e v="#N/A"/>
    <e v="#N/A"/>
    <s v="Yes"/>
    <n v="0.96563499999999991"/>
    <n v="0.96563499999999991"/>
    <x v="0"/>
    <x v="0"/>
    <x v="64"/>
  </r>
  <r>
    <n v="3575"/>
    <s v="F"/>
    <n v="0.6"/>
    <n v="0.47"/>
    <n v="0.17"/>
    <n v="1.0805"/>
    <n v="0.4995"/>
    <n v="0.22450000000000001"/>
    <n v="0.32050000000000001"/>
    <n v="9"/>
    <n v="4"/>
    <s v="Nate"/>
    <s v="Craig"/>
    <s v="NOAA Fisheries"/>
    <n v="10"/>
    <x v="5"/>
    <n v="24.1"/>
    <s v="Category 3"/>
    <e v="#N/A"/>
    <e v="#N/A"/>
    <s v="Yes"/>
    <n v="1.0152475000000001"/>
    <n v="1.0152475000000001"/>
    <x v="0"/>
    <x v="0"/>
    <x v="65"/>
  </r>
  <r>
    <n v="1711"/>
    <s v="M"/>
    <n v="0.64500000000000002"/>
    <n v="0.51"/>
    <n v="0.19500000000000001"/>
    <n v="1.226"/>
    <n v="0.58850000000000002"/>
    <n v="0.2215"/>
    <n v="0.3745"/>
    <n v="10"/>
    <n v="6"/>
    <s v="Martin"/>
    <s v="Gaines"/>
    <s v="San Diego State University"/>
    <n v="8"/>
    <x v="4"/>
    <n v="12.3"/>
    <s v="Category 3"/>
    <e v="#N/A"/>
    <e v="#N/A"/>
    <s v="Yes"/>
    <n v="1.0431116666666667"/>
    <n v="1.0431116666666667"/>
    <x v="0"/>
    <x v="0"/>
    <x v="66"/>
  </r>
  <r>
    <n v="2072"/>
    <s v="F"/>
    <n v="0.56499999999999995"/>
    <n v="0.44"/>
    <n v="0.13500000000000001"/>
    <n v="0.83"/>
    <n v="0.39300000000000002"/>
    <n v="0.17349999999999999"/>
    <n v="0.23799999999999999"/>
    <n v="9"/>
    <n v="6"/>
    <s v="Martin"/>
    <s v="Gaines"/>
    <s v="San Diego State University"/>
    <n v="10"/>
    <x v="5"/>
    <n v="24.1"/>
    <s v="Category 2"/>
    <e v="#N/A"/>
    <s v="Yes"/>
    <e v="#N/A"/>
    <n v="0.99834166666666679"/>
    <n v="0.79867333333333346"/>
    <x v="0"/>
    <x v="89"/>
    <x v="1"/>
  </r>
  <r>
    <n v="68"/>
    <s v="F"/>
    <n v="0.59499999999999997"/>
    <n v="0.495"/>
    <n v="0.185"/>
    <n v="1.2849999999999999"/>
    <n v="0.41599999999999998"/>
    <n v="0.224"/>
    <n v="0.48499999999999999"/>
    <n v="13"/>
    <n v="7"/>
    <s v="Iona"/>
    <s v="Connolly"/>
    <s v="Florida Atlantic University"/>
    <n v="10"/>
    <x v="5"/>
    <n v="24.1"/>
    <s v="Category 3"/>
    <e v="#N/A"/>
    <e v="#N/A"/>
    <s v="Yes"/>
    <n v="1.0172875000000001"/>
    <n v="1.0172875000000001"/>
    <x v="0"/>
    <x v="0"/>
    <x v="67"/>
  </r>
  <r>
    <n v="2914"/>
    <s v="M"/>
    <n v="0.59"/>
    <n v="0.5"/>
    <n v="0.15"/>
    <n v="1.1419999999999999"/>
    <n v="0.48499999999999999"/>
    <n v="0.26500000000000001"/>
    <n v="0.34499999999999997"/>
    <n v="9"/>
    <n v="12"/>
    <s v="Rebecca"/>
    <s v="Bennett"/>
    <s v="University of Houston"/>
    <n v="2"/>
    <x v="1"/>
    <n v="18"/>
    <s v="Category 3"/>
    <e v="#N/A"/>
    <e v="#N/A"/>
    <s v="Yes"/>
    <n v="1.0157500000000002"/>
    <n v="1.0157500000000002"/>
    <x v="0"/>
    <x v="0"/>
    <x v="68"/>
  </r>
  <r>
    <n v="3437"/>
    <s v="I"/>
    <n v="0.38"/>
    <n v="0.27500000000000002"/>
    <n v="9.5000000000000001E-2"/>
    <n v="0.2505"/>
    <n v="9.4500000000000001E-2"/>
    <n v="6.5500000000000003E-2"/>
    <n v="7.4999999999999997E-2"/>
    <n v="6"/>
    <n v="13"/>
    <s v="Betty"/>
    <s v="Berg"/>
    <s v="University of Houston"/>
    <n v="6"/>
    <x v="8"/>
    <n v="14.1"/>
    <s v="Category 2"/>
    <e v="#N/A"/>
    <s v="Yes"/>
    <e v="#N/A"/>
    <n v="0.90559958333333335"/>
    <n v="0.72447966666666674"/>
    <x v="0"/>
    <x v="90"/>
    <x v="1"/>
  </r>
  <r>
    <n v="1113"/>
    <s v="F"/>
    <n v="0.52"/>
    <n v="0.46"/>
    <n v="0.15"/>
    <n v="1.0189999999999999"/>
    <n v="0.52300000000000002"/>
    <n v="0.19850000000000001"/>
    <n v="0.254"/>
    <n v="7"/>
    <n v="8"/>
    <s v="Kali"/>
    <s v="Metcalfe"/>
    <s v="Mote Marine Laboratory"/>
    <n v="7"/>
    <x v="6"/>
    <n v="2.5"/>
    <s v="Category 3"/>
    <e v="#N/A"/>
    <e v="#N/A"/>
    <s v="Yes"/>
    <n v="0.98420833333333324"/>
    <n v="0.98420833333333324"/>
    <x v="0"/>
    <x v="0"/>
    <x v="69"/>
  </r>
  <r>
    <n v="1878"/>
    <s v="I"/>
    <n v="0.54"/>
    <n v="0.39"/>
    <n v="0.125"/>
    <n v="0.62549999999999994"/>
    <n v="0.2525"/>
    <n v="0.158"/>
    <n v="0.19"/>
    <n v="8"/>
    <n v="7"/>
    <s v="Iona"/>
    <s v="Connolly"/>
    <s v="Florida Atlantic University"/>
    <n v="10"/>
    <x v="5"/>
    <n v="24.1"/>
    <s v="Category 2"/>
    <e v="#N/A"/>
    <s v="Yes"/>
    <e v="#N/A"/>
    <n v="0.98133124999999999"/>
    <n v="0.78506500000000001"/>
    <x v="0"/>
    <x v="91"/>
    <x v="1"/>
  </r>
  <r>
    <n v="1809"/>
    <s v="F"/>
    <n v="0.63500000000000001"/>
    <n v="0.47499999999999998"/>
    <n v="0.15"/>
    <n v="1.1845000000000001"/>
    <n v="0.53300000000000003"/>
    <n v="0.307"/>
    <n v="0.29099999999999998"/>
    <n v="10"/>
    <n v="13"/>
    <s v="Betty"/>
    <s v="Berg"/>
    <s v="University of Houston"/>
    <n v="1"/>
    <x v="0"/>
    <n v="22.1"/>
    <s v="Category 3"/>
    <e v="#N/A"/>
    <e v="#N/A"/>
    <s v="Yes"/>
    <n v="1.0206458333333333"/>
    <n v="1.0206458333333333"/>
    <x v="0"/>
    <x v="0"/>
    <x v="70"/>
  </r>
  <r>
    <n v="3596"/>
    <s v="M"/>
    <n v="0.66"/>
    <n v="0.51500000000000001"/>
    <n v="0.2"/>
    <n v="1.6465000000000001"/>
    <n v="0.749"/>
    <n v="0.42199999999999999"/>
    <n v="0.40100000000000002"/>
    <n v="11"/>
    <n v="11"/>
    <s v="Naima"/>
    <s v="Reyes"/>
    <s v="University of Houston"/>
    <n v="7"/>
    <x v="6"/>
    <n v="2.5"/>
    <s v="Category 3"/>
    <e v="#N/A"/>
    <e v="#N/A"/>
    <s v="Yes"/>
    <n v="1.0367833333333332"/>
    <n v="1.0367833333333332"/>
    <x v="0"/>
    <x v="0"/>
    <x v="71"/>
  </r>
  <r>
    <n v="1599"/>
    <s v="I"/>
    <n v="0.53"/>
    <n v="0.4"/>
    <n v="0.14499999999999999"/>
    <n v="0.55500000000000005"/>
    <n v="0.19350000000000001"/>
    <n v="0.1305"/>
    <n v="0.19500000000000001"/>
    <n v="9"/>
    <n v="14"/>
    <s v="Santiago"/>
    <s v="Vaughan"/>
    <s v="Ohio State University_x0009_"/>
    <n v="3"/>
    <x v="9"/>
    <n v="3.6"/>
    <s v="Category 2"/>
    <e v="#N/A"/>
    <s v="Yes"/>
    <e v="#N/A"/>
    <n v="0.98641250000000003"/>
    <n v="0.78913000000000011"/>
    <x v="0"/>
    <x v="92"/>
    <x v="1"/>
  </r>
  <r>
    <n v="3271"/>
    <s v="F"/>
    <n v="0.625"/>
    <n v="0.47499999999999998"/>
    <n v="0.13"/>
    <n v="0.85950000000000004"/>
    <n v="0.31950000000000001"/>
    <n v="0.17749999999999999"/>
    <n v="0.24"/>
    <n v="13"/>
    <n v="3"/>
    <s v="Inaya"/>
    <s v="Bernard"/>
    <s v="Stanford University"/>
    <n v="9"/>
    <x v="7"/>
    <n v="1.9"/>
    <s v="Category 2"/>
    <e v="#N/A"/>
    <s v="Yes"/>
    <e v="#N/A"/>
    <n v="1.0279891666666667"/>
    <n v="0.82239133333333347"/>
    <x v="0"/>
    <x v="93"/>
    <x v="1"/>
  </r>
  <r>
    <n v="3079"/>
    <s v="F"/>
    <n v="0.69499999999999995"/>
    <n v="0.53500000000000003"/>
    <n v="0.2"/>
    <n v="1.5854999999999999"/>
    <n v="0.66700000000000004"/>
    <n v="0.33400000000000002"/>
    <n v="0.47099999999999997"/>
    <n v="11"/>
    <n v="14"/>
    <s v="Santiago"/>
    <s v="Vaughan"/>
    <s v="Ohio State University_x0009_"/>
    <n v="4"/>
    <x v="2"/>
    <n v="6.1"/>
    <s v="Category 3"/>
    <e v="#N/A"/>
    <e v="#N/A"/>
    <s v="Yes"/>
    <n v="1.0571499999999998"/>
    <n v="1.0571499999999998"/>
    <x v="0"/>
    <x v="0"/>
    <x v="72"/>
  </r>
  <r>
    <n v="23"/>
    <s v="F"/>
    <n v="0.56499999999999995"/>
    <n v="0.44"/>
    <n v="0.155"/>
    <n v="0.9395"/>
    <n v="0.42749999999999999"/>
    <n v="0.214"/>
    <n v="0.27"/>
    <n v="12"/>
    <n v="8"/>
    <s v="Kali"/>
    <s v="Metcalfe"/>
    <s v="Mote Marine Laboratory"/>
    <n v="8"/>
    <x v="4"/>
    <n v="12.3"/>
    <s v="Category 3"/>
    <e v="#N/A"/>
    <e v="#N/A"/>
    <s v="Yes"/>
    <n v="0.99663708333333345"/>
    <n v="0.99663708333333345"/>
    <x v="0"/>
    <x v="0"/>
    <x v="73"/>
  </r>
  <r>
    <n v="2254"/>
    <s v="F"/>
    <n v="0.64500000000000002"/>
    <n v="0.5"/>
    <n v="0.2"/>
    <n v="1.4285000000000001"/>
    <n v="0.63900000000000001"/>
    <n v="0.30499999999999999"/>
    <n v="0.36"/>
    <n v="11"/>
    <n v="4"/>
    <s v="Nate"/>
    <s v="Craig"/>
    <s v="NOAA Fisheries"/>
    <n v="8"/>
    <x v="4"/>
    <n v="12.3"/>
    <s v="Category 3"/>
    <e v="#N/A"/>
    <e v="#N/A"/>
    <s v="Yes"/>
    <n v="1.0340499999999999"/>
    <n v="1.0340499999999999"/>
    <x v="0"/>
    <x v="0"/>
    <x v="74"/>
  </r>
  <r>
    <n v="262"/>
    <s v="F"/>
    <n v="0.56999999999999995"/>
    <n v="0.44"/>
    <n v="0.125"/>
    <n v="0.86499999999999999"/>
    <n v="0.36749999999999999"/>
    <n v="0.17249999999999999"/>
    <n v="0.27"/>
    <n v="12"/>
    <n v="15"/>
    <s v="Conan"/>
    <s v="Dalton"/>
    <s v="University of Houston"/>
    <n v="7"/>
    <x v="6"/>
    <n v="2.5"/>
    <s v="Category 2"/>
    <e v="#N/A"/>
    <s v="Yes"/>
    <e v="#N/A"/>
    <n v="0.99702083333333347"/>
    <n v="0.79761666666666686"/>
    <x v="0"/>
    <x v="94"/>
    <x v="1"/>
  </r>
  <r>
    <n v="3906"/>
    <s v="M"/>
    <n v="0.38"/>
    <n v="0.27"/>
    <n v="9.5000000000000001E-2"/>
    <n v="0.219"/>
    <n v="8.3500000000000005E-2"/>
    <n v="5.1499999999999997E-2"/>
    <n v="7.0000000000000007E-2"/>
    <n v="6"/>
    <n v="8"/>
    <s v="Kali"/>
    <s v="Metcalfe"/>
    <s v="Mote Marine Laboratory"/>
    <n v="4"/>
    <x v="2"/>
    <n v="6.1"/>
    <s v="Category 2"/>
    <e v="#N/A"/>
    <s v="Yes"/>
    <e v="#N/A"/>
    <n v="0.90553416666666664"/>
    <n v="0.72442733333333331"/>
    <x v="0"/>
    <x v="95"/>
    <x v="1"/>
  </r>
  <r>
    <n v="1351"/>
    <s v="F"/>
    <n v="0.59499999999999997"/>
    <n v="0.46500000000000002"/>
    <n v="0.15"/>
    <n v="0.98"/>
    <n v="0.41149999999999998"/>
    <n v="0.19600000000000001"/>
    <n v="0.22550000000000001"/>
    <n v="10"/>
    <n v="15"/>
    <s v="Conan"/>
    <s v="Dalton"/>
    <s v="University of Houston"/>
    <n v="4"/>
    <x v="2"/>
    <n v="6.1"/>
    <s v="Category 3"/>
    <e v="#N/A"/>
    <e v="#N/A"/>
    <s v="Yes"/>
    <n v="1.0125000000000002"/>
    <n v="1.0125000000000002"/>
    <x v="0"/>
    <x v="0"/>
    <x v="75"/>
  </r>
  <r>
    <n v="3868"/>
    <s v="F"/>
    <n v="0.5"/>
    <n v="0.39"/>
    <n v="0.13"/>
    <n v="0.63549999999999995"/>
    <n v="0.2505"/>
    <n v="0.16350000000000001"/>
    <n v="0.19500000000000001"/>
    <n v="15"/>
    <n v="6"/>
    <s v="Martin"/>
    <s v="Gaines"/>
    <s v="San Diego State University"/>
    <n v="10"/>
    <x v="5"/>
    <n v="24.1"/>
    <s v="Category 2"/>
    <e v="#N/A"/>
    <s v="Yes"/>
    <e v="#N/A"/>
    <n v="0.96806916666666676"/>
    <n v="0.7744553333333335"/>
    <x v="0"/>
    <x v="96"/>
    <x v="1"/>
  </r>
  <r>
    <n v="2896"/>
    <s v="I"/>
    <n v="0.54"/>
    <n v="0.41499999999999998"/>
    <n v="0.11"/>
    <n v="0.61899999999999999"/>
    <n v="0.27550000000000002"/>
    <n v="0.15"/>
    <n v="0.17649999999999999"/>
    <n v="10"/>
    <n v="1"/>
    <s v="Jan"/>
    <s v="Odom"/>
    <s v="University of Houston"/>
    <n v="9"/>
    <x v="7"/>
    <n v="1.9"/>
    <s v="Category 2"/>
    <e v="#N/A"/>
    <s v="Yes"/>
    <e v="#N/A"/>
    <n v="0.98841499999999993"/>
    <n v="0.79073199999999999"/>
    <x v="0"/>
    <x v="97"/>
    <x v="1"/>
  </r>
  <r>
    <n v="2290"/>
    <s v="F"/>
    <n v="0.57999999999999996"/>
    <n v="0.47499999999999998"/>
    <n v="0.155"/>
    <n v="0.97399999999999998"/>
    <n v="0.43049999999999999"/>
    <n v="0.23"/>
    <n v="0.28499999999999998"/>
    <n v="10"/>
    <n v="11"/>
    <s v="Naima"/>
    <s v="Reyes"/>
    <s v="University of Houston"/>
    <n v="7"/>
    <x v="6"/>
    <n v="2.5"/>
    <s v="Category 3"/>
    <e v="#N/A"/>
    <e v="#N/A"/>
    <s v="Yes"/>
    <n v="1.0118949999999998"/>
    <n v="1.0118949999999998"/>
    <x v="0"/>
    <x v="0"/>
    <x v="76"/>
  </r>
  <r>
    <n v="114"/>
    <s v="M"/>
    <n v="0.42499999999999999"/>
    <n v="0.35"/>
    <n v="0.105"/>
    <n v="0.39300000000000002"/>
    <n v="0.13"/>
    <n v="6.3E-2"/>
    <n v="0.16500000000000001"/>
    <n v="9"/>
    <n v="10"/>
    <s v="Hazel"/>
    <s v="Villa"/>
    <s v="University of Minnesota"/>
    <n v="7"/>
    <x v="6"/>
    <n v="2.5"/>
    <s v="Category 2"/>
    <e v="#N/A"/>
    <s v="Yes"/>
    <e v="#N/A"/>
    <n v="0.93901083333333324"/>
    <n v="0.75120866666666664"/>
    <x v="0"/>
    <x v="98"/>
    <x v="1"/>
  </r>
  <r>
    <n v="3584"/>
    <s v="F"/>
    <n v="0.625"/>
    <n v="0.5"/>
    <n v="0.17499999999999999"/>
    <n v="1.2729999999999999"/>
    <n v="0.56399999999999995"/>
    <n v="0.30199999999999999"/>
    <n v="0.374"/>
    <n v="9"/>
    <n v="5"/>
    <s v="Haniya"/>
    <s v="Talley"/>
    <s v="Prince William Sound Science Center"/>
    <n v="5"/>
    <x v="3"/>
    <n v="12.8"/>
    <s v="Category 3"/>
    <e v="#N/A"/>
    <e v="#N/A"/>
    <s v="Yes"/>
    <n v="1.0272625000000002"/>
    <n v="1.0272625000000002"/>
    <x v="0"/>
    <x v="0"/>
    <x v="77"/>
  </r>
  <r>
    <n v="1180"/>
    <s v="M"/>
    <n v="0.65"/>
    <n v="0.5"/>
    <n v="0.155"/>
    <n v="1.202"/>
    <n v="0.56499999999999995"/>
    <n v="0.3135"/>
    <n v="0.29399999999999998"/>
    <n v="11"/>
    <n v="4"/>
    <s v="Nate"/>
    <s v="Craig"/>
    <s v="NOAA Fisheries"/>
    <n v="4"/>
    <x v="2"/>
    <n v="6.1"/>
    <s v="Category 3"/>
    <e v="#N/A"/>
    <e v="#N/A"/>
    <s v="Yes"/>
    <n v="1.0342516666666668"/>
    <n v="1.0342516666666668"/>
    <x v="0"/>
    <x v="0"/>
    <x v="78"/>
  </r>
  <r>
    <n v="976"/>
    <s v="F"/>
    <n v="0.53"/>
    <n v="0.42499999999999999"/>
    <n v="0.15"/>
    <n v="0.84950000000000003"/>
    <n v="0.32800000000000001"/>
    <n v="0.23200000000000001"/>
    <n v="0.20200000000000001"/>
    <n v="8"/>
    <n v="14"/>
    <s v="Santiago"/>
    <s v="Vaughan"/>
    <s v="Ohio State University_x0009_"/>
    <n v="9"/>
    <x v="7"/>
    <n v="1.9"/>
    <s v="Category 2"/>
    <e v="#N/A"/>
    <s v="Yes"/>
    <e v="#N/A"/>
    <n v="0.98293750000000002"/>
    <n v="0.7863500000000001"/>
    <x v="0"/>
    <x v="99"/>
    <x v="1"/>
  </r>
  <r>
    <n v="1631"/>
    <s v="I"/>
    <n v="0.56999999999999995"/>
    <n v="0.44500000000000001"/>
    <n v="0.155"/>
    <n v="0.86699999999999999"/>
    <n v="0.3705"/>
    <n v="0.17050000000000001"/>
    <n v="0.28000000000000003"/>
    <n v="9"/>
    <n v="14"/>
    <s v="Santiago"/>
    <s v="Vaughan"/>
    <s v="Ohio State University_x0009_"/>
    <n v="8"/>
    <x v="4"/>
    <n v="12.3"/>
    <s v="Category 2"/>
    <e v="#N/A"/>
    <s v="Yes"/>
    <e v="#N/A"/>
    <n v="1.0029308333333333"/>
    <n v="0.80234466666666671"/>
    <x v="0"/>
    <x v="100"/>
    <x v="1"/>
  </r>
  <r>
    <n v="1794"/>
    <s v="M"/>
    <n v="0.57499999999999996"/>
    <n v="0.44"/>
    <n v="0.185"/>
    <n v="1.0249999999999999"/>
    <n v="0.50749999999999995"/>
    <n v="0.22450000000000001"/>
    <n v="0.2485"/>
    <n v="10"/>
    <n v="2"/>
    <s v="Tiegan"/>
    <s v="Davie"/>
    <s v="University of California, Davis"/>
    <n v="9"/>
    <x v="7"/>
    <n v="1.9"/>
    <s v="Category 3"/>
    <e v="#N/A"/>
    <e v="#N/A"/>
    <s v="Yes"/>
    <n v="1.0016041666666666"/>
    <n v="1.0016041666666666"/>
    <x v="0"/>
    <x v="0"/>
    <x v="79"/>
  </r>
  <r>
    <n v="108"/>
    <s v="F"/>
    <n v="0.5"/>
    <n v="0.4"/>
    <n v="0.125"/>
    <n v="0.66749999999999998"/>
    <n v="0.26100000000000001"/>
    <n v="0.13150000000000001"/>
    <n v="0.22"/>
    <n v="10"/>
    <n v="14"/>
    <s v="Santiago"/>
    <s v="Vaughan"/>
    <s v="Ohio State University_x0009_"/>
    <n v="2"/>
    <x v="1"/>
    <n v="18"/>
    <s v="Category 2"/>
    <e v="#N/A"/>
    <s v="Yes"/>
    <e v="#N/A"/>
    <n v="0.96940625000000002"/>
    <n v="0.77552500000000002"/>
    <x v="0"/>
    <x v="101"/>
    <x v="1"/>
  </r>
  <r>
    <n v="470"/>
    <s v="M"/>
    <n v="0.67500000000000004"/>
    <n v="0.55500000000000005"/>
    <n v="0.2"/>
    <n v="1.4384999999999999"/>
    <n v="0.54500000000000004"/>
    <n v="0.26650000000000001"/>
    <n v="0.46500000000000002"/>
    <n v="21"/>
    <n v="3"/>
    <s v="Inaya"/>
    <s v="Bernard"/>
    <s v="Stanford University"/>
    <n v="9"/>
    <x v="7"/>
    <n v="1.9"/>
    <s v="Category 2"/>
    <e v="#N/A"/>
    <s v="Yes"/>
    <e v="#N/A"/>
    <n v="1.0620500000000002"/>
    <n v="0.84964000000000017"/>
    <x v="0"/>
    <x v="102"/>
    <x v="1"/>
  </r>
  <r>
    <n v="3244"/>
    <s v="F"/>
    <n v="0.65500000000000003"/>
    <n v="0.51"/>
    <n v="0.16"/>
    <n v="1.0920000000000001"/>
    <n v="0.39600000000000002"/>
    <n v="0.28249999999999997"/>
    <n v="0.37"/>
    <n v="14"/>
    <n v="14"/>
    <s v="Santiago"/>
    <s v="Vaughan"/>
    <s v="Ohio State University_x0009_"/>
    <n v="5"/>
    <x v="3"/>
    <n v="12.8"/>
    <s v="Category 2"/>
    <e v="#N/A"/>
    <s v="Yes"/>
    <e v="#N/A"/>
    <n v="1.0446533333333334"/>
    <n v="0.83572266666666684"/>
    <x v="0"/>
    <x v="103"/>
    <x v="1"/>
  </r>
  <r>
    <n v="1557"/>
    <s v="I"/>
    <n v="0.41499999999999998"/>
    <n v="0.32500000000000001"/>
    <n v="0.1"/>
    <n v="0.313"/>
    <n v="0.13900000000000001"/>
    <n v="6.25E-2"/>
    <n v="9.6500000000000002E-2"/>
    <n v="7"/>
    <n v="10"/>
    <s v="Hazel"/>
    <s v="Villa"/>
    <s v="University of Minnesota"/>
    <n v="2"/>
    <x v="1"/>
    <n v="18"/>
    <s v="Category 2"/>
    <e v="#N/A"/>
    <s v="Yes"/>
    <e v="#N/A"/>
    <n v="0.9310166666666666"/>
    <n v="0.74481333333333333"/>
    <x v="0"/>
    <x v="104"/>
    <x v="1"/>
  </r>
  <r>
    <n v="2371"/>
    <s v="I"/>
    <n v="0.42"/>
    <n v="0.32500000000000001"/>
    <n v="0.115"/>
    <n v="0.35399999999999998"/>
    <n v="0.16250000000000001"/>
    <n v="6.4000000000000001E-2"/>
    <n v="0.105"/>
    <n v="8"/>
    <n v="14"/>
    <s v="Santiago"/>
    <s v="Vaughan"/>
    <s v="Ohio State University_x0009_"/>
    <n v="6"/>
    <x v="8"/>
    <n v="14.1"/>
    <s v="Category 2"/>
    <e v="#N/A"/>
    <s v="Yes"/>
    <e v="#N/A"/>
    <n v="0.93151833333333334"/>
    <n v="0.74521466666666669"/>
    <x v="0"/>
    <x v="105"/>
    <x v="1"/>
  </r>
  <r>
    <n v="1170"/>
    <s v="F"/>
    <n v="0.62"/>
    <n v="0.48"/>
    <n v="0.16"/>
    <n v="1.1125"/>
    <n v="0.5635"/>
    <n v="0.2445"/>
    <n v="0.28100000000000003"/>
    <n v="8"/>
    <n v="3"/>
    <s v="Inaya"/>
    <s v="Bernard"/>
    <s v="Stanford University"/>
    <n v="9"/>
    <x v="7"/>
    <n v="1.9"/>
    <s v="Category 3"/>
    <e v="#N/A"/>
    <e v="#N/A"/>
    <s v="Yes"/>
    <n v="1.0221666666666667"/>
    <n v="1.0221666666666667"/>
    <x v="0"/>
    <x v="0"/>
    <x v="80"/>
  </r>
  <r>
    <n v="1596"/>
    <s v="M"/>
    <n v="0.52500000000000002"/>
    <n v="0.4"/>
    <n v="0.155"/>
    <n v="0.70699999999999996"/>
    <n v="0.28199999999999997"/>
    <n v="0.1605"/>
    <n v="0.22500000000000001"/>
    <n v="9"/>
    <n v="3"/>
    <s v="Inaya"/>
    <s v="Bernard"/>
    <s v="Stanford University"/>
    <n v="7"/>
    <x v="6"/>
    <n v="2.5"/>
    <s v="Category 2"/>
    <e v="#N/A"/>
    <s v="Yes"/>
    <e v="#N/A"/>
    <n v="0.97946416666666669"/>
    <n v="0.7835713333333334"/>
    <x v="0"/>
    <x v="106"/>
    <x v="1"/>
  </r>
  <r>
    <n v="3682"/>
    <s v="M"/>
    <n v="0.61499999999999999"/>
    <n v="0.47"/>
    <n v="0.17499999999999999"/>
    <n v="1.242"/>
    <n v="0.5675"/>
    <n v="0.28699999999999998"/>
    <n v="0.317"/>
    <n v="11"/>
    <n v="12"/>
    <s v="Rebecca"/>
    <s v="Bennett"/>
    <s v="University of Houston"/>
    <n v="2"/>
    <x v="1"/>
    <n v="18"/>
    <s v="Category 3"/>
    <e v="#N/A"/>
    <e v="#N/A"/>
    <s v="Yes"/>
    <n v="1.0150916666666665"/>
    <n v="1.0150916666666665"/>
    <x v="0"/>
    <x v="0"/>
    <x v="81"/>
  </r>
  <r>
    <n v="3678"/>
    <s v="M"/>
    <n v="0.60499999999999998"/>
    <n v="0.49"/>
    <n v="0.16500000000000001"/>
    <n v="1.1245000000000001"/>
    <n v="0.49199999999999999"/>
    <n v="0.222"/>
    <n v="0.35549999999999998"/>
    <n v="11"/>
    <n v="1"/>
    <s v="Jan"/>
    <s v="Odom"/>
    <s v="University of Houston"/>
    <n v="5"/>
    <x v="3"/>
    <n v="12.8"/>
    <s v="Category 3"/>
    <e v="#N/A"/>
    <e v="#N/A"/>
    <s v="Yes"/>
    <n v="1.0209570833333332"/>
    <n v="1.0209570833333332"/>
    <x v="0"/>
    <x v="0"/>
    <x v="82"/>
  </r>
  <r>
    <n v="2115"/>
    <s v="I"/>
    <n v="0.13"/>
    <n v="9.5000000000000001E-2"/>
    <n v="3.5000000000000003E-2"/>
    <n v="1.0500000000000001E-2"/>
    <n v="5.0000000000000001E-3"/>
    <n v="6.4999999999999997E-3"/>
    <n v="3.5000000000000001E-3"/>
    <n v="4"/>
    <n v="6"/>
    <s v="Martin"/>
    <s v="Gaines"/>
    <s v="San Diego State University"/>
    <n v="6"/>
    <x v="8"/>
    <n v="14.1"/>
    <s v="Category 2"/>
    <e v="#N/A"/>
    <s v="Yes"/>
    <e v="#N/A"/>
    <n v="0.77436125"/>
    <n v="0.61948900000000007"/>
    <x v="0"/>
    <x v="107"/>
    <x v="1"/>
  </r>
  <r>
    <n v="3859"/>
    <s v="F"/>
    <n v="0.56499999999999995"/>
    <n v="0.45"/>
    <n v="0.16500000000000001"/>
    <n v="0.97650000000000003"/>
    <n v="0.32200000000000001"/>
    <n v="0.24399999999999999"/>
    <n v="0.37"/>
    <n v="12"/>
    <n v="1"/>
    <s v="Jan"/>
    <s v="Odom"/>
    <s v="University of Houston"/>
    <n v="10"/>
    <x v="5"/>
    <n v="24.1"/>
    <s v="Category 2"/>
    <e v="#N/A"/>
    <s v="Yes"/>
    <e v="#N/A"/>
    <n v="1.0000870833333333"/>
    <n v="0.80006966666666668"/>
    <x v="0"/>
    <x v="108"/>
    <x v="1"/>
  </r>
  <r>
    <n v="139"/>
    <s v="F"/>
    <n v="0.40500000000000003"/>
    <n v="0.32500000000000001"/>
    <n v="0.11"/>
    <n v="0.35549999999999998"/>
    <n v="0.151"/>
    <n v="6.3E-2"/>
    <n v="0.11700000000000001"/>
    <n v="9"/>
    <n v="5"/>
    <s v="Haniya"/>
    <s v="Talley"/>
    <s v="Prince William Sound Science Center"/>
    <n v="6"/>
    <x v="8"/>
    <n v="14.1"/>
    <s v="Category 2"/>
    <e v="#N/A"/>
    <s v="Yes"/>
    <e v="#N/A"/>
    <n v="0.92615083333333337"/>
    <n v="0.74092066666666678"/>
    <x v="0"/>
    <x v="109"/>
    <x v="1"/>
  </r>
  <r>
    <n v="2802"/>
    <s v="M"/>
    <n v="0.64"/>
    <n v="0.51500000000000001"/>
    <n v="0.08"/>
    <n v="1.042"/>
    <n v="0.51500000000000001"/>
    <n v="0.17549999999999999"/>
    <n v="0.17499999999999999"/>
    <n v="10"/>
    <n v="2"/>
    <s v="Tiegan"/>
    <s v="Davie"/>
    <s v="University of California, Davis"/>
    <n v="1"/>
    <x v="0"/>
    <n v="22.1"/>
    <s v="Category 3"/>
    <e v="#N/A"/>
    <e v="#N/A"/>
    <s v="Yes"/>
    <n v="1.0294266666666667"/>
    <n v="1.0294266666666667"/>
    <x v="0"/>
    <x v="0"/>
    <x v="83"/>
  </r>
  <r>
    <n v="830"/>
    <s v="I"/>
    <n v="0.41499999999999998"/>
    <n v="0.32"/>
    <n v="0.11"/>
    <n v="0.3735"/>
    <n v="0.17499999999999999"/>
    <n v="7.5499999999999998E-2"/>
    <n v="0.109"/>
    <n v="7"/>
    <n v="13"/>
    <s v="Betty"/>
    <s v="Berg"/>
    <s v="University of Houston"/>
    <n v="2"/>
    <x v="1"/>
    <n v="18"/>
    <s v="Category 2"/>
    <e v="#N/A"/>
    <s v="Yes"/>
    <e v="#N/A"/>
    <n v="0.92694750000000004"/>
    <n v="0.74155800000000005"/>
    <x v="0"/>
    <x v="110"/>
    <x v="1"/>
  </r>
  <r>
    <n v="3853"/>
    <s v="M"/>
    <n v="0.55000000000000004"/>
    <n v="0.41"/>
    <n v="0.15"/>
    <n v="0.78500000000000003"/>
    <n v="0.28199999999999997"/>
    <n v="0.186"/>
    <n v="0.27500000000000002"/>
    <n v="12"/>
    <n v="7"/>
    <s v="Iona"/>
    <s v="Connolly"/>
    <s v="Florida Atlantic University"/>
    <n v="2"/>
    <x v="1"/>
    <n v="18"/>
    <s v="Category 2"/>
    <e v="#N/A"/>
    <s v="Yes"/>
    <e v="#N/A"/>
    <n v="0.98729166666666668"/>
    <n v="0.78983333333333339"/>
    <x v="0"/>
    <x v="111"/>
    <x v="1"/>
  </r>
  <r>
    <n v="3888"/>
    <s v="F"/>
    <n v="0.56000000000000005"/>
    <n v="0.44"/>
    <n v="0.155"/>
    <n v="0.97050000000000003"/>
    <n v="0.43149999999999999"/>
    <n v="0.26300000000000001"/>
    <n v="0.255"/>
    <n v="9"/>
    <n v="6"/>
    <s v="Martin"/>
    <s v="Gaines"/>
    <s v="San Diego State University"/>
    <n v="1"/>
    <x v="0"/>
    <n v="22.1"/>
    <s v="Category 3"/>
    <e v="#N/A"/>
    <e v="#N/A"/>
    <s v="Yes"/>
    <n v="0.99370458333333345"/>
    <n v="0.99370458333333345"/>
    <x v="0"/>
    <x v="0"/>
    <x v="84"/>
  </r>
  <r>
    <n v="727"/>
    <s v="M"/>
    <n v="0.4"/>
    <n v="0.30499999999999999"/>
    <n v="8.5000000000000006E-2"/>
    <n v="0.29699999999999999"/>
    <n v="0.108"/>
    <n v="7.0499999999999993E-2"/>
    <n v="0.1"/>
    <n v="10"/>
    <n v="4"/>
    <s v="Nate"/>
    <s v="Craig"/>
    <s v="NOAA Fisheries"/>
    <n v="2"/>
    <x v="1"/>
    <n v="18"/>
    <s v="Category 2"/>
    <e v="#N/A"/>
    <s v="Yes"/>
    <e v="#N/A"/>
    <n v="0.91940750000000004"/>
    <n v="0.73552600000000012"/>
    <x v="0"/>
    <x v="112"/>
    <x v="1"/>
  </r>
  <r>
    <n v="561"/>
    <s v="F"/>
    <n v="0.44"/>
    <n v="0.34"/>
    <n v="0.105"/>
    <n v="0.36399999999999999"/>
    <n v="0.14799999999999999"/>
    <n v="8.0500000000000002E-2"/>
    <n v="0.11749999999999999"/>
    <n v="8"/>
    <n v="14"/>
    <s v="Santiago"/>
    <s v="Vaughan"/>
    <s v="Ohio State University_x0009_"/>
    <n v="7"/>
    <x v="6"/>
    <n v="2.5"/>
    <s v="Category 2"/>
    <e v="#N/A"/>
    <s v="Yes"/>
    <e v="#N/A"/>
    <n v="0.94210333333333329"/>
    <n v="0.75368266666666672"/>
    <x v="0"/>
    <x v="113"/>
    <x v="1"/>
  </r>
  <r>
    <n v="2957"/>
    <s v="F"/>
    <n v="0.65"/>
    <n v="0.56499999999999995"/>
    <n v="0.2"/>
    <n v="1.6645000000000001"/>
    <n v="0.753"/>
    <n v="0.36699999999999999"/>
    <n v="0.43"/>
    <n v="12"/>
    <n v="2"/>
    <s v="Tiegan"/>
    <s v="Davie"/>
    <s v="University of California, Davis"/>
    <n v="9"/>
    <x v="7"/>
    <n v="1.9"/>
    <s v="Category 3"/>
    <e v="#N/A"/>
    <e v="#N/A"/>
    <s v="Yes"/>
    <n v="1.0495166666666667"/>
    <n v="1.0495166666666667"/>
    <x v="0"/>
    <x v="0"/>
    <x v="85"/>
  </r>
  <r>
    <n v="3276"/>
    <s v="M"/>
    <n v="0.46"/>
    <n v="0.35499999999999998"/>
    <n v="0.11"/>
    <n v="0.41499999999999998"/>
    <n v="0.215"/>
    <n v="8.2000000000000003E-2"/>
    <n v="0.13"/>
    <n v="12"/>
    <n v="13"/>
    <s v="Betty"/>
    <s v="Berg"/>
    <s v="University of Houston"/>
    <n v="8"/>
    <x v="4"/>
    <n v="12.3"/>
    <s v="Category 2"/>
    <e v="#N/A"/>
    <s v="Yes"/>
    <e v="#N/A"/>
    <n v="0.95160833333333339"/>
    <n v="0.76128666666666678"/>
    <x v="0"/>
    <x v="114"/>
    <x v="1"/>
  </r>
  <r>
    <n v="3659"/>
    <s v="I"/>
    <n v="0.53500000000000003"/>
    <n v="0.45"/>
    <n v="0.155"/>
    <n v="0.8075"/>
    <n v="0.36549999999999999"/>
    <n v="0.14799999999999999"/>
    <n v="0.25950000000000001"/>
    <n v="10"/>
    <n v="4"/>
    <s v="Nate"/>
    <s v="Craig"/>
    <s v="NOAA Fisheries"/>
    <n v="9"/>
    <x v="7"/>
    <n v="1.9"/>
    <s v="Category 2"/>
    <e v="#N/A"/>
    <s v="Yes"/>
    <e v="#N/A"/>
    <n v="0.99536041666666664"/>
    <n v="0.79628833333333338"/>
    <x v="0"/>
    <x v="115"/>
    <x v="1"/>
  </r>
  <r>
    <n v="95"/>
    <s v="M"/>
    <n v="0.69499999999999995"/>
    <n v="0.56000000000000005"/>
    <n v="0.19"/>
    <n v="1.494"/>
    <n v="0.58799999999999997"/>
    <n v="0.34250000000000003"/>
    <n v="0.48499999999999999"/>
    <n v="15"/>
    <n v="1"/>
    <s v="Jan"/>
    <s v="Odom"/>
    <s v="University of Houston"/>
    <n v="9"/>
    <x v="7"/>
    <n v="1.9"/>
    <s v="Category 3"/>
    <e v="#N/A"/>
    <e v="#N/A"/>
    <s v="Yes"/>
    <n v="1.0660433333333332"/>
    <n v="1.0660433333333332"/>
    <x v="0"/>
    <x v="0"/>
    <x v="86"/>
  </r>
  <r>
    <n v="291"/>
    <s v="M"/>
    <n v="0.54"/>
    <n v="0.435"/>
    <n v="0.18"/>
    <n v="0.996"/>
    <n v="0.38350000000000001"/>
    <n v="0.22600000000000001"/>
    <n v="0.32500000000000001"/>
    <n v="17"/>
    <n v="13"/>
    <s v="Betty"/>
    <s v="Berg"/>
    <s v="University of Houston"/>
    <n v="7"/>
    <x v="6"/>
    <n v="2.5"/>
    <s v="Category 2"/>
    <e v="#N/A"/>
    <s v="Yes"/>
    <e v="#N/A"/>
    <n v="0.98848000000000014"/>
    <n v="0.79078400000000015"/>
    <x v="0"/>
    <x v="116"/>
    <x v="1"/>
  </r>
  <r>
    <n v="895"/>
    <s v="I"/>
    <n v="0.24"/>
    <n v="0.17499999999999999"/>
    <n v="6.5000000000000002E-2"/>
    <n v="6.6500000000000004E-2"/>
    <n v="3.1E-2"/>
    <n v="1.35E-2"/>
    <n v="1.7000000000000001E-2"/>
    <n v="3"/>
    <n v="15"/>
    <s v="Conan"/>
    <s v="Dalton"/>
    <s v="University of Houston"/>
    <n v="5"/>
    <x v="3"/>
    <n v="12.8"/>
    <s v="Category 2"/>
    <e v="#N/A"/>
    <s v="Yes"/>
    <e v="#N/A"/>
    <n v="0.83462041666666675"/>
    <n v="0.66769633333333345"/>
    <x v="0"/>
    <x v="117"/>
    <x v="1"/>
  </r>
  <r>
    <n v="1076"/>
    <s v="I"/>
    <n v="0.41"/>
    <n v="0.32500000000000001"/>
    <n v="0.1"/>
    <n v="0.32450000000000001"/>
    <n v="0.13200000000000001"/>
    <n v="7.1999999999999995E-2"/>
    <n v="0.106"/>
    <n v="6"/>
    <n v="1"/>
    <s v="Jan"/>
    <s v="Odom"/>
    <s v="University of Houston"/>
    <n v="8"/>
    <x v="4"/>
    <n v="12.3"/>
    <s v="Category 2"/>
    <e v="#N/A"/>
    <s v="Yes"/>
    <e v="#N/A"/>
    <n v="0.92877499999999991"/>
    <n v="0.74302000000000001"/>
    <x v="0"/>
    <x v="118"/>
    <x v="1"/>
  </r>
  <r>
    <n v="93"/>
    <s v="M"/>
    <n v="0.59499999999999997"/>
    <n v="0.46500000000000002"/>
    <n v="0.17499999999999999"/>
    <n v="1.115"/>
    <n v="0.40150000000000002"/>
    <n v="0.254"/>
    <n v="0.39"/>
    <n v="13"/>
    <n v="14"/>
    <s v="Santiago"/>
    <s v="Vaughan"/>
    <s v="Ohio State University_x0009_"/>
    <n v="5"/>
    <x v="3"/>
    <n v="12.8"/>
    <s v="Category 3"/>
    <e v="#N/A"/>
    <e v="#N/A"/>
    <s v="Yes"/>
    <n v="1.0115208333333334"/>
    <n v="1.0115208333333334"/>
    <x v="0"/>
    <x v="0"/>
    <x v="87"/>
  </r>
  <r>
    <n v="2134"/>
    <s v="M"/>
    <n v="0.44"/>
    <n v="0.35"/>
    <n v="0.11"/>
    <n v="0.45850000000000002"/>
    <n v="0.2"/>
    <n v="8.8499999999999995E-2"/>
    <n v="0.13"/>
    <n v="9"/>
    <n v="2"/>
    <s v="Tiegan"/>
    <s v="Davie"/>
    <s v="University of California, Davis"/>
    <n v="7"/>
    <x v="6"/>
    <n v="2.5"/>
    <s v="Category 2"/>
    <e v="#N/A"/>
    <s v="Yes"/>
    <e v="#N/A"/>
    <n v="0.94117249999999997"/>
    <n v="0.752938"/>
    <x v="0"/>
    <x v="119"/>
    <x v="1"/>
  </r>
  <r>
    <n v="892"/>
    <s v="M"/>
    <n v="0.73"/>
    <n v="0.59499999999999997"/>
    <n v="0.23"/>
    <n v="2.8254999999999999"/>
    <n v="1.1465000000000001"/>
    <n v="0.41899999999999998"/>
    <n v="0.89700000000000002"/>
    <n v="17"/>
    <n v="8"/>
    <s v="Kali"/>
    <s v="Metcalfe"/>
    <s v="Mote Marine Laboratory"/>
    <n v="10"/>
    <x v="5"/>
    <n v="24.1"/>
    <s v="Category 1"/>
    <s v="Yes"/>
    <e v="#N/A"/>
    <e v="#N/A"/>
    <n v="1.0616108333333332"/>
    <n v="1.5924162499999999"/>
    <x v="1"/>
    <x v="0"/>
    <x v="1"/>
  </r>
  <r>
    <n v="2625"/>
    <s v="M"/>
    <n v="0.76500000000000001"/>
    <n v="0.58499999999999996"/>
    <n v="0.18"/>
    <n v="2.3980000000000001"/>
    <n v="1.1279999999999999"/>
    <n v="0.51200000000000001"/>
    <n v="0.53349999999999997"/>
    <n v="12"/>
    <n v="2"/>
    <s v="Tiegan"/>
    <s v="Davie"/>
    <s v="University of California, Davis"/>
    <n v="4"/>
    <x v="2"/>
    <n v="6.1"/>
    <s v="Category 1"/>
    <s v="Yes"/>
    <e v="#N/A"/>
    <e v="#N/A"/>
    <n v="1.0620733333333332"/>
    <n v="1.5931099999999998"/>
    <x v="2"/>
    <x v="0"/>
    <x v="1"/>
  </r>
  <r>
    <n v="1960"/>
    <s v="F"/>
    <n v="0.65"/>
    <n v="0.51"/>
    <n v="0.155"/>
    <n v="1.1890000000000001"/>
    <n v="0.48299999999999998"/>
    <n v="0.27800000000000002"/>
    <n v="0.36449999999999999"/>
    <n v="13"/>
    <n v="10"/>
    <s v="Hazel"/>
    <s v="Villa"/>
    <s v="University of Minnesota"/>
    <n v="1"/>
    <x v="0"/>
    <n v="22.1"/>
    <s v="Category 3"/>
    <e v="#N/A"/>
    <e v="#N/A"/>
    <s v="Yes"/>
    <n v="1.0381158333333333"/>
    <n v="1.0381158333333333"/>
    <x v="0"/>
    <x v="0"/>
    <x v="88"/>
  </r>
  <r>
    <n v="1514"/>
    <s v="M"/>
    <n v="0.65"/>
    <n v="0.48499999999999999"/>
    <n v="0.14000000000000001"/>
    <n v="1.175"/>
    <n v="0.47499999999999998"/>
    <n v="0.24349999999999999"/>
    <n v="0.215"/>
    <n v="8"/>
    <n v="2"/>
    <s v="Tiegan"/>
    <s v="Davie"/>
    <s v="University of California, Davis"/>
    <n v="7"/>
    <x v="6"/>
    <n v="2.5"/>
    <s v="Category 3"/>
    <e v="#N/A"/>
    <e v="#N/A"/>
    <s v="Yes"/>
    <n v="1.0274166666666666"/>
    <n v="1.0274166666666666"/>
    <x v="0"/>
    <x v="0"/>
    <x v="89"/>
  </r>
  <r>
    <n v="3074"/>
    <s v="M"/>
    <n v="0.66500000000000004"/>
    <n v="0.52500000000000002"/>
    <n v="0.155"/>
    <n v="1.3574999999999999"/>
    <n v="0.53249999999999997"/>
    <n v="0.30449999999999999"/>
    <n v="0.44850000000000001"/>
    <n v="10"/>
    <n v="6"/>
    <s v="Martin"/>
    <s v="Gaines"/>
    <s v="San Diego State University"/>
    <n v="3"/>
    <x v="9"/>
    <n v="3.6"/>
    <s v="Category 3"/>
    <e v="#N/A"/>
    <e v="#N/A"/>
    <s v="Yes"/>
    <n v="1.0412354166666666"/>
    <n v="1.0412354166666666"/>
    <x v="0"/>
    <x v="0"/>
    <x v="90"/>
  </r>
  <r>
    <n v="3923"/>
    <s v="I"/>
    <n v="0.52500000000000002"/>
    <n v="0.4"/>
    <n v="0.14000000000000001"/>
    <n v="0.69550000000000001"/>
    <n v="0.24049999999999999"/>
    <n v="0.16"/>
    <n v="0.253"/>
    <n v="10"/>
    <n v="15"/>
    <s v="Conan"/>
    <s v="Dalton"/>
    <s v="University of Houston"/>
    <n v="3"/>
    <x v="9"/>
    <n v="3.6"/>
    <s v="Category 2"/>
    <e v="#N/A"/>
    <s v="Yes"/>
    <e v="#N/A"/>
    <n v="0.97819499999999993"/>
    <n v="0.78255600000000003"/>
    <x v="0"/>
    <x v="120"/>
    <x v="1"/>
  </r>
  <r>
    <n v="3384"/>
    <s v="M"/>
    <n v="0.5"/>
    <n v="0.375"/>
    <n v="0.13"/>
    <n v="0.72099999999999997"/>
    <n v="0.30549999999999999"/>
    <n v="0.17249999999999999"/>
    <n v="0.22"/>
    <n v="14"/>
    <n v="11"/>
    <s v="Naima"/>
    <s v="Reyes"/>
    <s v="University of Houston"/>
    <n v="9"/>
    <x v="7"/>
    <n v="1.9"/>
    <s v="Category 2"/>
    <e v="#N/A"/>
    <s v="Yes"/>
    <e v="#N/A"/>
    <n v="0.95922166666666675"/>
    <n v="0.76737733333333347"/>
    <x v="0"/>
    <x v="121"/>
    <x v="1"/>
  </r>
  <r>
    <n v="2815"/>
    <s v="I"/>
    <n v="0.27500000000000002"/>
    <n v="0.2"/>
    <n v="5.5E-2"/>
    <n v="9.2499999999999999E-2"/>
    <n v="3.7999999999999999E-2"/>
    <n v="2.1000000000000001E-2"/>
    <n v="2.5999999999999999E-2"/>
    <n v="4"/>
    <n v="11"/>
    <s v="Naima"/>
    <s v="Reyes"/>
    <s v="University of Houston"/>
    <n v="6"/>
    <x v="8"/>
    <n v="14.1"/>
    <s v="Category 2"/>
    <e v="#N/A"/>
    <s v="Yes"/>
    <e v="#N/A"/>
    <n v="0.85301458333333335"/>
    <n v="0.68241166666666675"/>
    <x v="0"/>
    <x v="122"/>
    <x v="1"/>
  </r>
  <r>
    <n v="2798"/>
    <s v="M"/>
    <n v="0.64"/>
    <n v="0.505"/>
    <n v="0.155"/>
    <n v="1.1955"/>
    <n v="0.55649999999999999"/>
    <n v="0.21099999999999999"/>
    <n v="0.34599999999999997"/>
    <n v="11"/>
    <n v="8"/>
    <s v="Kali"/>
    <s v="Metcalfe"/>
    <s v="Mote Marine Laboratory"/>
    <n v="1"/>
    <x v="0"/>
    <n v="22.1"/>
    <s v="Category 3"/>
    <e v="#N/A"/>
    <e v="#N/A"/>
    <s v="Yes"/>
    <n v="1.0328504166666665"/>
    <n v="1.0328504166666665"/>
    <x v="0"/>
    <x v="0"/>
    <x v="91"/>
  </r>
  <r>
    <n v="104"/>
    <s v="M"/>
    <n v="0.53"/>
    <n v="0.41499999999999998"/>
    <n v="0.14000000000000001"/>
    <n v="0.72399999999999998"/>
    <n v="0.3105"/>
    <n v="0.16750000000000001"/>
    <n v="0.20499999999999999"/>
    <n v="10"/>
    <n v="11"/>
    <s v="Naima"/>
    <s v="Reyes"/>
    <s v="University of Houston"/>
    <n v="9"/>
    <x v="7"/>
    <n v="1.9"/>
    <s v="Category 2"/>
    <e v="#N/A"/>
    <s v="Yes"/>
    <e v="#N/A"/>
    <n v="0.98362666666666654"/>
    <n v="0.78690133333333323"/>
    <x v="0"/>
    <x v="123"/>
    <x v="1"/>
  </r>
  <r>
    <n v="2979"/>
    <s v="M"/>
    <n v="0.48499999999999999"/>
    <n v="0.36499999999999999"/>
    <n v="0.155"/>
    <n v="1.0289999999999999"/>
    <n v="0.42349999999999999"/>
    <n v="0.22850000000000001"/>
    <n v="0.313"/>
    <n v="8"/>
    <n v="10"/>
    <s v="Hazel"/>
    <s v="Villa"/>
    <s v="University of Minnesota"/>
    <n v="6"/>
    <x v="8"/>
    <n v="14.1"/>
    <s v="Category 3"/>
    <e v="#N/A"/>
    <e v="#N/A"/>
    <s v="Yes"/>
    <n v="0.94131583333333324"/>
    <n v="0.94131583333333324"/>
    <x v="0"/>
    <x v="0"/>
    <x v="92"/>
  </r>
  <r>
    <n v="550"/>
    <s v="I"/>
    <n v="0.55500000000000005"/>
    <n v="0.42499999999999999"/>
    <n v="0.18"/>
    <n v="0.875"/>
    <n v="0.3695"/>
    <n v="0.20050000000000001"/>
    <n v="0.255"/>
    <n v="11"/>
    <n v="5"/>
    <s v="Haniya"/>
    <s v="Talley"/>
    <s v="Prince William Sound Science Center"/>
    <n v="8"/>
    <x v="4"/>
    <n v="12.3"/>
    <s v="Category 2"/>
    <e v="#N/A"/>
    <s v="Yes"/>
    <e v="#N/A"/>
    <n v="0.99458333333333326"/>
    <n v="0.79566666666666663"/>
    <x v="0"/>
    <x v="124"/>
    <x v="1"/>
  </r>
  <r>
    <n v="857"/>
    <s v="M"/>
    <n v="0.59"/>
    <n v="0.47499999999999998"/>
    <n v="0.16500000000000001"/>
    <n v="1.077"/>
    <n v="0.45450000000000002"/>
    <n v="0.24399999999999999"/>
    <n v="0.3095"/>
    <n v="9"/>
    <n v="1"/>
    <s v="Jan"/>
    <s v="Odom"/>
    <s v="University of Houston"/>
    <n v="5"/>
    <x v="3"/>
    <n v="12.8"/>
    <s v="Category 3"/>
    <e v="#N/A"/>
    <e v="#N/A"/>
    <s v="Yes"/>
    <n v="1.0128174999999999"/>
    <n v="1.0128174999999999"/>
    <x v="0"/>
    <x v="0"/>
    <x v="93"/>
  </r>
  <r>
    <n v="1374"/>
    <s v="M"/>
    <n v="0.61499999999999999"/>
    <n v="0.47499999999999998"/>
    <n v="0.17"/>
    <n v="1.129"/>
    <n v="0.47949999999999998"/>
    <n v="0.30199999999999999"/>
    <n v="0.3"/>
    <n v="10"/>
    <n v="15"/>
    <s v="Conan"/>
    <s v="Dalton"/>
    <s v="University of Houston"/>
    <n v="5"/>
    <x v="3"/>
    <n v="12.8"/>
    <s v="Category 3"/>
    <e v="#N/A"/>
    <e v="#N/A"/>
    <s v="Yes"/>
    <n v="1.0200549999999999"/>
    <n v="1.0200549999999999"/>
    <x v="0"/>
    <x v="0"/>
    <x v="94"/>
  </r>
  <r>
    <n v="1681"/>
    <s v="M"/>
    <n v="0.62"/>
    <n v="0.51500000000000001"/>
    <n v="0.17499999999999999"/>
    <n v="1.2210000000000001"/>
    <n v="0.53500000000000003"/>
    <n v="0.24099999999999999"/>
    <n v="0.39500000000000002"/>
    <n v="13"/>
    <n v="4"/>
    <s v="Nate"/>
    <s v="Craig"/>
    <s v="NOAA Fisheries"/>
    <n v="5"/>
    <x v="3"/>
    <n v="12.8"/>
    <s v="Category 3"/>
    <e v="#N/A"/>
    <e v="#N/A"/>
    <s v="Yes"/>
    <n v="1.0325458333333333"/>
    <n v="1.0325458333333333"/>
    <x v="0"/>
    <x v="0"/>
    <x v="95"/>
  </r>
  <r>
    <n v="3106"/>
    <s v="I"/>
    <n v="0.28999999999999998"/>
    <n v="0.215"/>
    <n v="0.06"/>
    <n v="0.1115"/>
    <n v="5.2999999999999999E-2"/>
    <n v="1.8499999999999999E-2"/>
    <n v="3.2000000000000001E-2"/>
    <n v="5"/>
    <n v="14"/>
    <s v="Santiago"/>
    <s v="Vaughan"/>
    <s v="Ohio State University_x0009_"/>
    <n v="2"/>
    <x v="1"/>
    <n v="18"/>
    <s v="Category 2"/>
    <e v="#N/A"/>
    <s v="Yes"/>
    <e v="#N/A"/>
    <n v="0.86201499999999998"/>
    <n v="0.689612"/>
    <x v="0"/>
    <x v="125"/>
    <x v="1"/>
  </r>
  <r>
    <n v="2544"/>
    <s v="F"/>
    <n v="0.7"/>
    <n v="0.52500000000000002"/>
    <n v="0.19"/>
    <n v="1.6014999999999999"/>
    <n v="0.70699999999999996"/>
    <n v="0.36499999999999999"/>
    <n v="0.43"/>
    <n v="10"/>
    <n v="1"/>
    <s v="Jan"/>
    <s v="Odom"/>
    <s v="University of Houston"/>
    <n v="3"/>
    <x v="9"/>
    <n v="3.6"/>
    <s v="Category 3"/>
    <e v="#N/A"/>
    <e v="#N/A"/>
    <s v="Yes"/>
    <n v="1.0522808333333333"/>
    <n v="1.0522808333333333"/>
    <x v="0"/>
    <x v="0"/>
    <x v="96"/>
  </r>
  <r>
    <n v="1938"/>
    <s v="M"/>
    <n v="0.625"/>
    <n v="0.51500000000000001"/>
    <n v="0.17"/>
    <n v="1.331"/>
    <n v="0.57250000000000001"/>
    <n v="0.30049999999999999"/>
    <n v="0.36099999999999999"/>
    <n v="9"/>
    <n v="14"/>
    <s v="Santiago"/>
    <s v="Vaughan"/>
    <s v="Ohio State University_x0009_"/>
    <n v="8"/>
    <x v="4"/>
    <n v="12.3"/>
    <s v="Category 3"/>
    <e v="#N/A"/>
    <e v="#N/A"/>
    <s v="Yes"/>
    <n v="1.0289783333333333"/>
    <n v="1.0289783333333333"/>
    <x v="0"/>
    <x v="0"/>
    <x v="97"/>
  </r>
  <r>
    <n v="99"/>
    <s v="M"/>
    <n v="0.47"/>
    <n v="0.37"/>
    <n v="0.13"/>
    <n v="0.52249999999999996"/>
    <n v="0.20100000000000001"/>
    <n v="0.13300000000000001"/>
    <n v="0.16500000000000001"/>
    <n v="7"/>
    <n v="13"/>
    <s v="Betty"/>
    <s v="Berg"/>
    <s v="University of Houston"/>
    <n v="6"/>
    <x v="8"/>
    <n v="14.1"/>
    <s v="Category 2"/>
    <e v="#N/A"/>
    <s v="Yes"/>
    <e v="#N/A"/>
    <n v="0.95648749999999993"/>
    <n v="0.76519000000000004"/>
    <x v="0"/>
    <x v="126"/>
    <x v="1"/>
  </r>
  <r>
    <n v="2706"/>
    <s v="M"/>
    <n v="0.7"/>
    <n v="0.55000000000000004"/>
    <n v="0.2"/>
    <n v="1.5229999999999999"/>
    <n v="0.69299999999999995"/>
    <n v="0.30599999999999999"/>
    <n v="0.4405"/>
    <n v="13"/>
    <n v="5"/>
    <s v="Haniya"/>
    <s v="Talley"/>
    <s v="Prince William Sound Science Center"/>
    <n v="2"/>
    <x v="1"/>
    <n v="18"/>
    <s v="Category 3"/>
    <e v="#N/A"/>
    <e v="#N/A"/>
    <s v="Yes"/>
    <n v="1.0659000000000001"/>
    <n v="1.0659000000000001"/>
    <x v="0"/>
    <x v="0"/>
    <x v="98"/>
  </r>
  <r>
    <n v="191"/>
    <s v="M"/>
    <n v="0.61499999999999999"/>
    <n v="0.48"/>
    <n v="0.18"/>
    <n v="1.1595"/>
    <n v="0.48449999999999999"/>
    <n v="0.2165"/>
    <n v="0.32500000000000001"/>
    <n v="13"/>
    <n v="6"/>
    <s v="Martin"/>
    <s v="Gaines"/>
    <s v="San Diego State University"/>
    <n v="10"/>
    <x v="5"/>
    <n v="24.1"/>
    <s v="Category 3"/>
    <e v="#N/A"/>
    <e v="#N/A"/>
    <s v="Yes"/>
    <n v="1.0224849999999999"/>
    <n v="1.0224849999999999"/>
    <x v="0"/>
    <x v="0"/>
    <x v="99"/>
  </r>
  <r>
    <n v="3285"/>
    <s v="M"/>
    <n v="0.56499999999999995"/>
    <n v="0.44"/>
    <n v="0.155"/>
    <n v="0.86799999999999999"/>
    <n v="0.34799999999999998"/>
    <n v="0.217"/>
    <n v="0.26"/>
    <n v="11"/>
    <n v="1"/>
    <s v="Jan"/>
    <s v="Odom"/>
    <s v="University of Houston"/>
    <n v="5"/>
    <x v="3"/>
    <n v="12.8"/>
    <s v="Category 2"/>
    <e v="#N/A"/>
    <s v="Yes"/>
    <e v="#N/A"/>
    <n v="0.99955666666666676"/>
    <n v="0.79964533333333343"/>
    <x v="0"/>
    <x v="127"/>
    <x v="1"/>
  </r>
  <r>
    <n v="1218"/>
    <s v="I"/>
    <n v="0.315"/>
    <n v="0.23"/>
    <n v="0.08"/>
    <n v="0.13750000000000001"/>
    <n v="5.45E-2"/>
    <n v="3.1E-2"/>
    <n v="4.4499999999999998E-2"/>
    <n v="5"/>
    <n v="13"/>
    <s v="Betty"/>
    <s v="Berg"/>
    <s v="University of Houston"/>
    <n v="10"/>
    <x v="5"/>
    <n v="24.1"/>
    <s v="Category 2"/>
    <e v="#N/A"/>
    <s v="Yes"/>
    <e v="#N/A"/>
    <n v="0.87433333333333341"/>
    <n v="0.69946666666666679"/>
    <x v="0"/>
    <x v="128"/>
    <x v="1"/>
  </r>
  <r>
    <n v="1066"/>
    <s v="I"/>
    <n v="0.315"/>
    <n v="0.23499999999999999"/>
    <n v="5.5E-2"/>
    <n v="0.151"/>
    <n v="6.5000000000000002E-2"/>
    <n v="2.7E-2"/>
    <n v="3.9E-2"/>
    <n v="6"/>
    <n v="6"/>
    <s v="Martin"/>
    <s v="Gaines"/>
    <s v="San Diego State University"/>
    <n v="2"/>
    <x v="1"/>
    <n v="18"/>
    <s v="Category 2"/>
    <e v="#N/A"/>
    <s v="Yes"/>
    <e v="#N/A"/>
    <n v="0.87465083333333327"/>
    <n v="0.69972066666666666"/>
    <x v="0"/>
    <x v="129"/>
    <x v="1"/>
  </r>
  <r>
    <n v="610"/>
    <s v="M"/>
    <n v="0.35"/>
    <n v="0.26500000000000001"/>
    <n v="0.09"/>
    <n v="0.17749999999999999"/>
    <n v="5.7500000000000002E-2"/>
    <n v="4.2000000000000003E-2"/>
    <n v="6.8000000000000005E-2"/>
    <n v="12"/>
    <n v="4"/>
    <s v="Nate"/>
    <s v="Craig"/>
    <s v="NOAA Fisheries"/>
    <n v="2"/>
    <x v="1"/>
    <n v="18"/>
    <s v="Category 2"/>
    <e v="#N/A"/>
    <s v="Yes"/>
    <e v="#N/A"/>
    <n v="0.89582916666666657"/>
    <n v="0.71666333333333332"/>
    <x v="0"/>
    <x v="130"/>
    <x v="1"/>
  </r>
  <r>
    <n v="3275"/>
    <s v="F"/>
    <n v="0.5"/>
    <n v="0.40500000000000003"/>
    <n v="0.14000000000000001"/>
    <n v="0.67349999999999999"/>
    <n v="0.26500000000000001"/>
    <n v="0.124"/>
    <n v="0.25"/>
    <n v="18"/>
    <n v="7"/>
    <s v="Iona"/>
    <s v="Connolly"/>
    <s v="Florida Atlantic University"/>
    <n v="6"/>
    <x v="8"/>
    <n v="14.1"/>
    <s v="Category 2"/>
    <e v="#N/A"/>
    <s v="Yes"/>
    <e v="#N/A"/>
    <n v="0.97248166666666669"/>
    <n v="0.77798533333333342"/>
    <x v="0"/>
    <x v="131"/>
    <x v="1"/>
  </r>
  <r>
    <n v="1331"/>
    <s v="F"/>
    <n v="0.56999999999999995"/>
    <n v="0.46"/>
    <n v="0.13500000000000001"/>
    <n v="0.97950000000000004"/>
    <n v="0.39700000000000002"/>
    <n v="0.2525"/>
    <n v="0.26550000000000001"/>
    <n v="9"/>
    <n v="9"/>
    <s v="Danica"/>
    <s v="Tyler"/>
    <s v="University of Florida_x0009_"/>
    <n v="2"/>
    <x v="1"/>
    <n v="18"/>
    <s v="Category 2"/>
    <e v="#N/A"/>
    <s v="Yes"/>
    <e v="#N/A"/>
    <n v="1.0000720833333334"/>
    <n v="0.80005766666666678"/>
    <x v="0"/>
    <x v="132"/>
    <x v="1"/>
  </r>
  <r>
    <n v="1483"/>
    <s v="M"/>
    <n v="0.58499999999999996"/>
    <n v="0.45500000000000002"/>
    <n v="0.15"/>
    <n v="0.90600000000000003"/>
    <n v="0.40949999999999998"/>
    <n v="0.23"/>
    <n v="0.23350000000000001"/>
    <n v="8"/>
    <n v="15"/>
    <s v="Conan"/>
    <s v="Dalton"/>
    <s v="University of Houston"/>
    <n v="1"/>
    <x v="0"/>
    <n v="22.1"/>
    <s v="Category 3"/>
    <e v="#N/A"/>
    <e v="#N/A"/>
    <s v="Yes"/>
    <n v="1.0089166666666667"/>
    <n v="1.0089166666666667"/>
    <x v="0"/>
    <x v="0"/>
    <x v="100"/>
  </r>
  <r>
    <n v="1758"/>
    <s v="F"/>
    <n v="0.73"/>
    <n v="0.56000000000000005"/>
    <n v="0.19"/>
    <n v="1.9424999999999999"/>
    <n v="0.79900000000000004"/>
    <n v="0.51949999999999996"/>
    <n v="0.5655"/>
    <n v="11"/>
    <n v="7"/>
    <s v="Iona"/>
    <s v="Connolly"/>
    <s v="Florida Atlantic University"/>
    <n v="10"/>
    <x v="5"/>
    <n v="24.1"/>
    <s v="Category 3"/>
    <e v="#N/A"/>
    <e v="#N/A"/>
    <s v="Yes"/>
    <n v="1.0620124999999998"/>
    <n v="1.0620124999999998"/>
    <x v="0"/>
    <x v="0"/>
    <x v="101"/>
  </r>
  <r>
    <n v="3869"/>
    <s v="F"/>
    <n v="0.44"/>
    <n v="0.34"/>
    <n v="0.13500000000000001"/>
    <n v="0.39750000000000002"/>
    <n v="0.15049999999999999"/>
    <n v="9.4500000000000001E-2"/>
    <n v="0.13500000000000001"/>
    <n v="8"/>
    <n v="4"/>
    <s v="Nate"/>
    <s v="Craig"/>
    <s v="NOAA Fisheries"/>
    <n v="8"/>
    <x v="4"/>
    <n v="12.3"/>
    <s v="Category 2"/>
    <e v="#N/A"/>
    <s v="Yes"/>
    <e v="#N/A"/>
    <n v="0.94244374999999991"/>
    <n v="0.75395499999999993"/>
    <x v="0"/>
    <x v="133"/>
    <x v="1"/>
  </r>
  <r>
    <n v="4002"/>
    <s v="I"/>
    <n v="0.48"/>
    <n v="0.35"/>
    <n v="0.105"/>
    <n v="0.63500000000000001"/>
    <n v="0.35199999999999998"/>
    <n v="0.127"/>
    <n v="0.13500000000000001"/>
    <n v="6"/>
    <n v="8"/>
    <s v="Kali"/>
    <s v="Metcalfe"/>
    <s v="Mote Marine Laboratory"/>
    <n v="4"/>
    <x v="2"/>
    <n v="6.1"/>
    <s v="Category 2"/>
    <e v="#N/A"/>
    <s v="Yes"/>
    <e v="#N/A"/>
    <n v="0.94544583333333321"/>
    <n v="0.75635666666666657"/>
    <x v="0"/>
    <x v="134"/>
    <x v="1"/>
  </r>
  <r>
    <n v="258"/>
    <s v="M"/>
    <n v="0.54500000000000004"/>
    <n v="0.46"/>
    <n v="0.16"/>
    <n v="0.89749999999999996"/>
    <n v="0.34100000000000003"/>
    <n v="0.16550000000000001"/>
    <n v="0.34499999999999997"/>
    <n v="10"/>
    <n v="6"/>
    <s v="Martin"/>
    <s v="Gaines"/>
    <s v="San Diego State University"/>
    <n v="6"/>
    <x v="8"/>
    <n v="14.1"/>
    <s v="Category 2"/>
    <e v="#N/A"/>
    <s v="Yes"/>
    <e v="#N/A"/>
    <n v="0.9991000000000001"/>
    <n v="0.7992800000000001"/>
    <x v="0"/>
    <x v="135"/>
    <x v="1"/>
  </r>
  <r>
    <n v="4158"/>
    <s v="M"/>
    <n v="0.47499999999999998"/>
    <n v="0.36"/>
    <n v="0.14000000000000001"/>
    <n v="0.51349999999999996"/>
    <n v="0.24099999999999999"/>
    <n v="0.1045"/>
    <n v="0.155"/>
    <n v="8"/>
    <n v="5"/>
    <s v="Haniya"/>
    <s v="Talley"/>
    <s v="Prince William Sound Science Center"/>
    <n v="3"/>
    <x v="9"/>
    <n v="3.6"/>
    <s v="Category 2"/>
    <e v="#N/A"/>
    <s v="Yes"/>
    <e v="#N/A"/>
    <n v="0.95608166666666672"/>
    <n v="0.7648653333333334"/>
    <x v="0"/>
    <x v="136"/>
    <x v="1"/>
  </r>
  <r>
    <n v="3745"/>
    <s v="I"/>
    <n v="0.27500000000000002"/>
    <n v="0.20499999999999999"/>
    <n v="6.5000000000000002E-2"/>
    <n v="0.10100000000000001"/>
    <n v="4.1000000000000002E-2"/>
    <n v="2.1000000000000001E-2"/>
    <n v="3.4000000000000002E-2"/>
    <n v="5"/>
    <n v="5"/>
    <s v="Haniya"/>
    <s v="Talley"/>
    <s v="Prince William Sound Science Center"/>
    <n v="8"/>
    <x v="4"/>
    <n v="12.3"/>
    <s v="Category 2"/>
    <e v="#N/A"/>
    <s v="Yes"/>
    <e v="#N/A"/>
    <n v="0.85436083333333346"/>
    <n v="0.68348866666666686"/>
    <x v="0"/>
    <x v="137"/>
    <x v="1"/>
  </r>
  <r>
    <n v="753"/>
    <s v="F"/>
    <n v="0.60499999999999998"/>
    <n v="0.46"/>
    <n v="0.17"/>
    <n v="1.1220000000000001"/>
    <n v="0.34699999999999998"/>
    <n v="0.30449999999999999"/>
    <n v="0.315"/>
    <n v="13"/>
    <n v="15"/>
    <s v="Conan"/>
    <s v="Dalton"/>
    <s v="University of Houston"/>
    <n v="4"/>
    <x v="2"/>
    <n v="6.1"/>
    <s v="Category 2"/>
    <e v="#N/A"/>
    <s v="Yes"/>
    <e v="#N/A"/>
    <n v="1.0119899999999999"/>
    <n v="0.80959199999999998"/>
    <x v="0"/>
    <x v="138"/>
    <x v="1"/>
  </r>
  <r>
    <n v="1632"/>
    <s v="I"/>
    <n v="0.56999999999999995"/>
    <n v="0.44500000000000001"/>
    <n v="0.14499999999999999"/>
    <n v="0.74050000000000005"/>
    <n v="0.30599999999999999"/>
    <n v="0.17199999999999999"/>
    <n v="0.1825"/>
    <n v="12"/>
    <n v="9"/>
    <s v="Danica"/>
    <s v="Tyler"/>
    <s v="University of Florida_x0009_"/>
    <n v="8"/>
    <x v="4"/>
    <n v="12.3"/>
    <s v="Category 2"/>
    <e v="#N/A"/>
    <s v="Yes"/>
    <e v="#N/A"/>
    <n v="1.0068620833333333"/>
    <n v="0.80548966666666666"/>
    <x v="0"/>
    <x v="139"/>
    <x v="1"/>
  </r>
  <r>
    <n v="1911"/>
    <s v="F"/>
    <n v="0.57999999999999996"/>
    <n v="0.5"/>
    <n v="0.16500000000000001"/>
    <n v="0.92500000000000004"/>
    <n v="0.37"/>
    <n v="0.185"/>
    <n v="0.30049999999999999"/>
    <n v="10"/>
    <n v="13"/>
    <s v="Betty"/>
    <s v="Berg"/>
    <s v="University of Houston"/>
    <n v="2"/>
    <x v="1"/>
    <n v="18"/>
    <s v="Category 2"/>
    <e v="#N/A"/>
    <s v="Yes"/>
    <e v="#N/A"/>
    <n v="1.0237708333333333"/>
    <n v="0.81901666666666673"/>
    <x v="0"/>
    <x v="140"/>
    <x v="1"/>
  </r>
  <r>
    <n v="1072"/>
    <s v="I"/>
    <n v="0.38500000000000001"/>
    <n v="0.28999999999999998"/>
    <n v="0.08"/>
    <n v="0.2485"/>
    <n v="0.122"/>
    <n v="4.9500000000000002E-2"/>
    <n v="6.5000000000000002E-2"/>
    <n v="7"/>
    <n v="13"/>
    <s v="Betty"/>
    <s v="Berg"/>
    <s v="University of Houston"/>
    <n v="8"/>
    <x v="4"/>
    <n v="12.3"/>
    <s v="Category 2"/>
    <e v="#N/A"/>
    <s v="Yes"/>
    <e v="#N/A"/>
    <n v="0.91174666666666671"/>
    <n v="0.72939733333333345"/>
    <x v="0"/>
    <x v="141"/>
    <x v="1"/>
  </r>
  <r>
    <n v="555"/>
    <s v="I"/>
    <n v="0.48499999999999999"/>
    <n v="0.39"/>
    <n v="0.125"/>
    <n v="0.59099999999999997"/>
    <n v="0.28699999999999998"/>
    <n v="0.14099999999999999"/>
    <n v="0.12"/>
    <n v="9"/>
    <n v="6"/>
    <s v="Martin"/>
    <s v="Gaines"/>
    <s v="San Diego State University"/>
    <n v="9"/>
    <x v="7"/>
    <n v="1.9"/>
    <s v="Category 2"/>
    <e v="#N/A"/>
    <s v="Yes"/>
    <e v="#N/A"/>
    <n v="0.96457916666666665"/>
    <n v="0.77166333333333337"/>
    <x v="0"/>
    <x v="142"/>
    <x v="1"/>
  </r>
  <r>
    <n v="2339"/>
    <s v="M"/>
    <n v="0.65500000000000003"/>
    <n v="0.48499999999999999"/>
    <n v="0.19500000000000001"/>
    <n v="1.62"/>
    <n v="0.62749999999999995"/>
    <n v="0.35799999999999998"/>
    <n v="0.48499999999999999"/>
    <n v="17"/>
    <n v="11"/>
    <s v="Naima"/>
    <s v="Reyes"/>
    <s v="University of Houston"/>
    <n v="7"/>
    <x v="6"/>
    <n v="2.5"/>
    <s v="Category 2"/>
    <e v="#N/A"/>
    <s v="Yes"/>
    <e v="#N/A"/>
    <n v="1.0246500000000001"/>
    <n v="0.81972000000000012"/>
    <x v="0"/>
    <x v="143"/>
    <x v="1"/>
  </r>
  <r>
    <n v="2281"/>
    <s v="M"/>
    <n v="0.44"/>
    <n v="0.375"/>
    <n v="0.13"/>
    <n v="0.48699999999999999"/>
    <n v="0.22600000000000001"/>
    <n v="9.6500000000000002E-2"/>
    <n v="0.155"/>
    <n v="9"/>
    <n v="11"/>
    <s v="Naima"/>
    <s v="Reyes"/>
    <s v="University of Houston"/>
    <n v="9"/>
    <x v="7"/>
    <n v="1.9"/>
    <s v="Category 2"/>
    <e v="#N/A"/>
    <s v="Yes"/>
    <e v="#N/A"/>
    <n v="0.94975166666666666"/>
    <n v="0.75980133333333333"/>
    <x v="0"/>
    <x v="144"/>
    <x v="1"/>
  </r>
  <r>
    <n v="1554"/>
    <s v="I"/>
    <n v="0.39"/>
    <n v="0.28999999999999998"/>
    <n v="0.1"/>
    <n v="0.2225"/>
    <n v="9.5000000000000001E-2"/>
    <n v="4.65E-2"/>
    <n v="7.2999999999999995E-2"/>
    <n v="7"/>
    <n v="8"/>
    <s v="Kali"/>
    <s v="Metcalfe"/>
    <s v="Mote Marine Laboratory"/>
    <n v="7"/>
    <x v="6"/>
    <n v="2.5"/>
    <s v="Category 2"/>
    <e v="#N/A"/>
    <s v="Yes"/>
    <e v="#N/A"/>
    <n v="0.9155416666666667"/>
    <n v="0.73243333333333338"/>
    <x v="0"/>
    <x v="145"/>
    <x v="1"/>
  </r>
  <r>
    <n v="2403"/>
    <s v="I"/>
    <n v="0.44"/>
    <n v="0.35499999999999998"/>
    <n v="0.16500000000000001"/>
    <n v="0.435"/>
    <n v="0.159"/>
    <n v="0.105"/>
    <n v="0.14000000000000001"/>
    <n v="16"/>
    <n v="5"/>
    <s v="Haniya"/>
    <s v="Talley"/>
    <s v="Prince William Sound Science Center"/>
    <n v="10"/>
    <x v="5"/>
    <n v="24.1"/>
    <s v="Category 1"/>
    <s v="Yes"/>
    <e v="#N/A"/>
    <e v="#N/A"/>
    <n v="0.94796249999999993"/>
    <n v="1.4219437499999998"/>
    <x v="3"/>
    <x v="0"/>
    <x v="1"/>
  </r>
  <r>
    <n v="1566"/>
    <s v="I"/>
    <n v="0.46"/>
    <n v="0.35499999999999998"/>
    <n v="0.11"/>
    <n v="0.42549999999999999"/>
    <n v="0.20150000000000001"/>
    <n v="8.1000000000000003E-2"/>
    <n v="0.13"/>
    <n v="7"/>
    <n v="4"/>
    <s v="Nate"/>
    <s v="Craig"/>
    <s v="NOAA Fisheries"/>
    <n v="7"/>
    <x v="6"/>
    <n v="2.5"/>
    <s v="Category 2"/>
    <e v="#N/A"/>
    <s v="Yes"/>
    <e v="#N/A"/>
    <n v="0.9511008333333334"/>
    <n v="0.76088066666666676"/>
    <x v="0"/>
    <x v="146"/>
    <x v="1"/>
  </r>
  <r>
    <n v="3624"/>
    <s v="M"/>
    <n v="0.66"/>
    <n v="0.53"/>
    <n v="0.17499999999999999"/>
    <n v="1.583"/>
    <n v="0.73950000000000005"/>
    <n v="0.35049999999999998"/>
    <n v="0.40500000000000003"/>
    <n v="10"/>
    <n v="2"/>
    <s v="Tiegan"/>
    <s v="Davie"/>
    <s v="University of California, Davis"/>
    <n v="2"/>
    <x v="1"/>
    <n v="18"/>
    <s v="Category 3"/>
    <e v="#N/A"/>
    <e v="#N/A"/>
    <s v="Yes"/>
    <n v="1.0373041666666667"/>
    <n v="1.0373041666666667"/>
    <x v="0"/>
    <x v="0"/>
    <x v="102"/>
  </r>
  <r>
    <n v="501"/>
    <s v="F"/>
    <n v="0.57999999999999996"/>
    <n v="0.44"/>
    <n v="0.18"/>
    <n v="0.85399999999999998"/>
    <n v="0.36649999999999999"/>
    <n v="0.16350000000000001"/>
    <n v="0.245"/>
    <n v="12"/>
    <n v="3"/>
    <s v="Inaya"/>
    <s v="Bernard"/>
    <s v="Stanford University"/>
    <n v="2"/>
    <x v="1"/>
    <n v="18"/>
    <s v="Category 2"/>
    <e v="#N/A"/>
    <s v="Yes"/>
    <e v="#N/A"/>
    <n v="1.0086866666666667"/>
    <n v="0.80694933333333341"/>
    <x v="0"/>
    <x v="147"/>
    <x v="1"/>
  </r>
  <r>
    <n v="4148"/>
    <s v="M"/>
    <n v="0.69499999999999995"/>
    <n v="0.55000000000000004"/>
    <n v="0.19500000000000001"/>
    <n v="1.6645000000000001"/>
    <n v="0.72699999999999998"/>
    <n v="0.36"/>
    <n v="0.44500000000000001"/>
    <n v="11"/>
    <n v="2"/>
    <s v="Tiegan"/>
    <s v="Davie"/>
    <s v="University of California, Davis"/>
    <n v="8"/>
    <x v="4"/>
    <n v="12.3"/>
    <s v="Category 3"/>
    <e v="#N/A"/>
    <e v="#N/A"/>
    <s v="Yes"/>
    <n v="1.0581295833333333"/>
    <n v="1.0581295833333333"/>
    <x v="0"/>
    <x v="0"/>
    <x v="103"/>
  </r>
  <r>
    <n v="2358"/>
    <s v="M"/>
    <n v="0.58499999999999996"/>
    <n v="0.45500000000000002"/>
    <n v="0.125"/>
    <n v="1.0269999999999999"/>
    <n v="0.39100000000000001"/>
    <n v="0.21199999999999999"/>
    <n v="0.25"/>
    <n v="17"/>
    <n v="1"/>
    <s v="Jan"/>
    <s v="Odom"/>
    <s v="University of Houston"/>
    <n v="1"/>
    <x v="0"/>
    <n v="22.1"/>
    <s v="Category 2"/>
    <e v="#N/A"/>
    <s v="Yes"/>
    <e v="#N/A"/>
    <n v="0.99959583333333335"/>
    <n v="0.7996766666666667"/>
    <x v="0"/>
    <x v="148"/>
    <x v="1"/>
  </r>
  <r>
    <n v="2856"/>
    <s v="F"/>
    <n v="0.65500000000000003"/>
    <n v="0.51500000000000001"/>
    <n v="0.155"/>
    <n v="1.3089999999999999"/>
    <n v="0.52400000000000002"/>
    <n v="0.34599999999999997"/>
    <n v="0.38500000000000001"/>
    <n v="11"/>
    <n v="9"/>
    <s v="Danica"/>
    <s v="Tyler"/>
    <s v="University of Florida_x0009_"/>
    <n v="7"/>
    <x v="6"/>
    <n v="2.5"/>
    <s v="Category 3"/>
    <e v="#N/A"/>
    <e v="#N/A"/>
    <s v="Yes"/>
    <n v="1.0365491666666669"/>
    <n v="1.0365491666666669"/>
    <x v="0"/>
    <x v="0"/>
    <x v="104"/>
  </r>
  <r>
    <n v="1471"/>
    <s v="I"/>
    <n v="0.53"/>
    <n v="0.43"/>
    <n v="0.13"/>
    <n v="0.70450000000000002"/>
    <n v="0.34599999999999997"/>
    <n v="0.14149999999999999"/>
    <n v="0.189"/>
    <n v="9"/>
    <n v="11"/>
    <s v="Naima"/>
    <s v="Reyes"/>
    <s v="University of Houston"/>
    <n v="8"/>
    <x v="4"/>
    <n v="12.3"/>
    <s v="Category 2"/>
    <e v="#N/A"/>
    <s v="Yes"/>
    <e v="#N/A"/>
    <n v="0.98829750000000005"/>
    <n v="0.79063800000000006"/>
    <x v="0"/>
    <x v="149"/>
    <x v="1"/>
  </r>
  <r>
    <n v="1658"/>
    <s v="M"/>
    <n v="0.6"/>
    <n v="0.48"/>
    <n v="0.16500000000000001"/>
    <n v="0.91649999999999998"/>
    <n v="0.41349999999999998"/>
    <n v="0.19650000000000001"/>
    <n v="0.27250000000000002"/>
    <n v="9"/>
    <n v="14"/>
    <s v="Santiago"/>
    <s v="Vaughan"/>
    <s v="Ohio State University_x0009_"/>
    <n v="2"/>
    <x v="1"/>
    <n v="18"/>
    <s v="Category 3"/>
    <e v="#N/A"/>
    <e v="#N/A"/>
    <s v="Yes"/>
    <n v="1.0241037499999999"/>
    <n v="1.0241037499999999"/>
    <x v="0"/>
    <x v="0"/>
    <x v="105"/>
  </r>
  <r>
    <n v="4064"/>
    <s v="F"/>
    <n v="0.63"/>
    <n v="0.51500000000000001"/>
    <n v="0.16"/>
    <n v="1.3360000000000001"/>
    <n v="0.55300000000000005"/>
    <n v="0.32050000000000001"/>
    <n v="0.35"/>
    <n v="11"/>
    <n v="4"/>
    <s v="Nate"/>
    <s v="Craig"/>
    <s v="NOAA Fisheries"/>
    <n v="6"/>
    <x v="8"/>
    <n v="14.1"/>
    <s v="Category 3"/>
    <e v="#N/A"/>
    <e v="#N/A"/>
    <s v="Yes"/>
    <n v="1.0282266666666668"/>
    <n v="1.0282266666666668"/>
    <x v="0"/>
    <x v="0"/>
    <x v="106"/>
  </r>
  <r>
    <n v="1336"/>
    <s v="F"/>
    <n v="0.57499999999999996"/>
    <n v="0.48"/>
    <n v="0.16500000000000001"/>
    <n v="1.0780000000000001"/>
    <n v="0.51100000000000001"/>
    <n v="0.20949999999999999"/>
    <n v="0.30599999999999999"/>
    <n v="9"/>
    <n v="7"/>
    <s v="Iona"/>
    <s v="Connolly"/>
    <s v="Florida Atlantic University"/>
    <n v="3"/>
    <x v="9"/>
    <n v="3.6"/>
    <s v="Category 3"/>
    <e v="#N/A"/>
    <e v="#N/A"/>
    <s v="Yes"/>
    <n v="1.0094449999999999"/>
    <n v="1.0094449999999999"/>
    <x v="0"/>
    <x v="0"/>
    <x v="107"/>
  </r>
  <r>
    <n v="3828"/>
    <s v="M"/>
    <n v="0.68"/>
    <n v="0.54"/>
    <n v="0.19500000000000001"/>
    <n v="1.7825"/>
    <n v="0.55649999999999999"/>
    <n v="0.32350000000000001"/>
    <n v="0.42849999999999999"/>
    <n v="11"/>
    <n v="5"/>
    <s v="Haniya"/>
    <s v="Talley"/>
    <s v="Prince William Sound Science Center"/>
    <n v="1"/>
    <x v="0"/>
    <n v="22.1"/>
    <s v="Category 3"/>
    <e v="#N/A"/>
    <e v="#N/A"/>
    <s v="Yes"/>
    <n v="1.0457645833333333"/>
    <n v="1.0457645833333333"/>
    <x v="0"/>
    <x v="0"/>
    <x v="108"/>
  </r>
  <r>
    <n v="2173"/>
    <s v="I"/>
    <n v="0.215"/>
    <n v="0.15"/>
    <n v="0.03"/>
    <n v="3.85E-2"/>
    <n v="1.15E-2"/>
    <n v="5.0000000000000001E-3"/>
    <n v="0.01"/>
    <n v="5"/>
    <n v="4"/>
    <s v="Nate"/>
    <s v="Craig"/>
    <s v="NOAA Fisheries"/>
    <n v="4"/>
    <x v="2"/>
    <n v="6.1"/>
    <s v="Category 2"/>
    <e v="#N/A"/>
    <s v="Yes"/>
    <e v="#N/A"/>
    <n v="0.81929249999999998"/>
    <n v="0.65543400000000007"/>
    <x v="0"/>
    <x v="150"/>
    <x v="1"/>
  </r>
  <r>
    <n v="2008"/>
    <s v="I"/>
    <n v="0.41499999999999998"/>
    <n v="0.32500000000000001"/>
    <n v="0.11"/>
    <n v="0.316"/>
    <n v="0.13850000000000001"/>
    <n v="7.9500000000000001E-2"/>
    <n v="9.2499999999999999E-2"/>
    <n v="8"/>
    <n v="2"/>
    <s v="Tiegan"/>
    <s v="Davie"/>
    <s v="University of California, Davis"/>
    <n v="1"/>
    <x v="0"/>
    <n v="22.1"/>
    <s v="Category 2"/>
    <e v="#N/A"/>
    <s v="Yes"/>
    <e v="#N/A"/>
    <n v="0.9313933333333333"/>
    <n v="0.7451146666666667"/>
    <x v="0"/>
    <x v="151"/>
    <x v="1"/>
  </r>
  <r>
    <n v="75"/>
    <s v="F"/>
    <n v="0.60499999999999998"/>
    <n v="0.45"/>
    <n v="0.19500000000000001"/>
    <n v="1.0980000000000001"/>
    <n v="0.48099999999999998"/>
    <n v="0.28949999999999998"/>
    <n v="0.315"/>
    <n v="13"/>
    <n v="5"/>
    <s v="Haniya"/>
    <s v="Talley"/>
    <s v="Prince William Sound Science Center"/>
    <n v="3"/>
    <x v="9"/>
    <n v="3.6"/>
    <s v="Category 3"/>
    <e v="#N/A"/>
    <e v="#N/A"/>
    <s v="Yes"/>
    <n v="1.0141516666666666"/>
    <n v="1.0141516666666666"/>
    <x v="0"/>
    <x v="0"/>
    <x v="109"/>
  </r>
  <r>
    <n v="1440"/>
    <s v="I"/>
    <n v="0.40500000000000003"/>
    <n v="0.31"/>
    <n v="9.5000000000000001E-2"/>
    <n v="0.34250000000000003"/>
    <n v="0.17849999999999999"/>
    <n v="6.4000000000000001E-2"/>
    <n v="8.5500000000000007E-2"/>
    <n v="8"/>
    <n v="1"/>
    <s v="Jan"/>
    <s v="Odom"/>
    <s v="University of Houston"/>
    <n v="4"/>
    <x v="2"/>
    <n v="6.1"/>
    <s v="Category 2"/>
    <e v="#N/A"/>
    <s v="Yes"/>
    <e v="#N/A"/>
    <n v="0.9209229166666667"/>
    <n v="0.73673833333333338"/>
    <x v="0"/>
    <x v="152"/>
    <x v="1"/>
  </r>
  <r>
    <n v="3151"/>
    <s v="F"/>
    <n v="0.65500000000000003"/>
    <n v="0.505"/>
    <n v="0.16500000000000001"/>
    <n v="1.367"/>
    <n v="0.58350000000000002"/>
    <n v="0.35149999999999998"/>
    <n v="0.39600000000000002"/>
    <n v="10"/>
    <n v="6"/>
    <s v="Martin"/>
    <s v="Gaines"/>
    <s v="San Diego State University"/>
    <n v="10"/>
    <x v="5"/>
    <n v="24.1"/>
    <s v="Category 3"/>
    <e v="#N/A"/>
    <e v="#N/A"/>
    <s v="Yes"/>
    <n v="1.0331258333333333"/>
    <n v="1.0331258333333333"/>
    <x v="0"/>
    <x v="0"/>
    <x v="110"/>
  </r>
  <r>
    <n v="1685"/>
    <s v="I"/>
    <n v="0.62"/>
    <n v="0.47"/>
    <n v="0.14000000000000001"/>
    <n v="0.85650000000000004"/>
    <n v="0.35949999999999999"/>
    <n v="0.16"/>
    <n v="0.29499999999999998"/>
    <n v="9"/>
    <n v="8"/>
    <s v="Kali"/>
    <s v="Metcalfe"/>
    <s v="Mote Marine Laboratory"/>
    <n v="6"/>
    <x v="8"/>
    <n v="14.1"/>
    <s v="Category 2"/>
    <e v="#N/A"/>
    <s v="Yes"/>
    <e v="#N/A"/>
    <n v="1.0262183333333335"/>
    <n v="0.82097466666666685"/>
    <x v="0"/>
    <x v="153"/>
    <x v="1"/>
  </r>
  <r>
    <n v="3560"/>
    <s v="F"/>
    <n v="0.56499999999999995"/>
    <n v="0.45"/>
    <n v="0.17499999999999999"/>
    <n v="1.2364999999999999"/>
    <n v="0.53049999999999997"/>
    <n v="0.2455"/>
    <n v="0.308"/>
    <n v="10"/>
    <n v="4"/>
    <s v="Nate"/>
    <s v="Craig"/>
    <s v="NOAA Fisheries"/>
    <n v="7"/>
    <x v="6"/>
    <n v="2.5"/>
    <s v="Category 3"/>
    <e v="#N/A"/>
    <e v="#N/A"/>
    <s v="Yes"/>
    <n v="0.99196458333333337"/>
    <n v="0.99196458333333337"/>
    <x v="0"/>
    <x v="0"/>
    <x v="111"/>
  </r>
  <r>
    <n v="3054"/>
    <s v="F"/>
    <n v="0.6"/>
    <n v="0.45"/>
    <n v="0.14000000000000001"/>
    <n v="0.86899999999999999"/>
    <n v="0.34250000000000003"/>
    <n v="0.19500000000000001"/>
    <n v="0.29099999999999998"/>
    <n v="11"/>
    <n v="5"/>
    <s v="Haniya"/>
    <s v="Talley"/>
    <s v="Prince William Sound Science Center"/>
    <n v="7"/>
    <x v="6"/>
    <n v="2.5"/>
    <s v="Category 2"/>
    <e v="#N/A"/>
    <s v="Yes"/>
    <e v="#N/A"/>
    <n v="1.0123433333333332"/>
    <n v="0.80987466666666652"/>
    <x v="0"/>
    <x v="154"/>
    <x v="1"/>
  </r>
  <r>
    <n v="1194"/>
    <s v="M"/>
    <n v="0.7"/>
    <n v="0.57499999999999996"/>
    <n v="0.19"/>
    <n v="2.2730000000000001"/>
    <n v="1.095"/>
    <n v="0.41799999999999998"/>
    <n v="0.63800000000000001"/>
    <n v="12"/>
    <n v="1"/>
    <s v="Jan"/>
    <s v="Odom"/>
    <s v="University of Houston"/>
    <n v="7"/>
    <x v="6"/>
    <n v="2.5"/>
    <s v="Category 3"/>
    <e v="#N/A"/>
    <e v="#N/A"/>
    <s v="Yes"/>
    <n v="1.045445"/>
    <n v="1.045445"/>
    <x v="0"/>
    <x v="0"/>
    <x v="112"/>
  </r>
  <r>
    <n v="85"/>
    <s v="M"/>
    <n v="0.57999999999999996"/>
    <n v="0.45"/>
    <n v="0.14000000000000001"/>
    <n v="1.0129999999999999"/>
    <n v="0.38"/>
    <n v="0.216"/>
    <n v="0.36"/>
    <n v="14"/>
    <n v="14"/>
    <s v="Santiago"/>
    <s v="Vaughan"/>
    <s v="Ohio State University_x0009_"/>
    <n v="4"/>
    <x v="2"/>
    <n v="6.1"/>
    <s v="Category 2"/>
    <e v="#N/A"/>
    <s v="Yes"/>
    <e v="#N/A"/>
    <n v="0.99943666666666653"/>
    <n v="0.79954933333333322"/>
    <x v="0"/>
    <x v="155"/>
    <x v="1"/>
  </r>
  <r>
    <n v="2110"/>
    <s v="M"/>
    <n v="0.62"/>
    <n v="0.49"/>
    <n v="0.17"/>
    <n v="1.2104999999999999"/>
    <n v="0.51849999999999996"/>
    <n v="0.2555"/>
    <n v="0.33500000000000002"/>
    <n v="13"/>
    <n v="8"/>
    <s v="Kali"/>
    <s v="Metcalfe"/>
    <s v="Mote Marine Laboratory"/>
    <n v="8"/>
    <x v="4"/>
    <n v="12.3"/>
    <s v="Category 3"/>
    <e v="#N/A"/>
    <e v="#N/A"/>
    <s v="Yes"/>
    <n v="1.0235975000000002"/>
    <n v="1.0235975000000002"/>
    <x v="0"/>
    <x v="0"/>
    <x v="113"/>
  </r>
  <r>
    <n v="3713"/>
    <s v="F"/>
    <n v="0.70499999999999996"/>
    <n v="0.53"/>
    <n v="0.17"/>
    <n v="1.5640000000000001"/>
    <n v="0.61199999999999999"/>
    <n v="0.39400000000000002"/>
    <n v="0.44"/>
    <n v="10"/>
    <n v="13"/>
    <s v="Betty"/>
    <s v="Berg"/>
    <s v="University of Houston"/>
    <n v="5"/>
    <x v="3"/>
    <n v="12.8"/>
    <s v="Category 3"/>
    <e v="#N/A"/>
    <e v="#N/A"/>
    <s v="Yes"/>
    <n v="1.0517133333333335"/>
    <n v="1.0517133333333335"/>
    <x v="0"/>
    <x v="0"/>
    <x v="114"/>
  </r>
  <r>
    <n v="2185"/>
    <s v="I"/>
    <n v="0.32"/>
    <n v="0.23499999999999999"/>
    <n v="0.08"/>
    <n v="0.14849999999999999"/>
    <n v="6.4000000000000001E-2"/>
    <n v="3.1E-2"/>
    <n v="4.4999999999999998E-2"/>
    <n v="6"/>
    <n v="3"/>
    <s v="Inaya"/>
    <s v="Bernard"/>
    <s v="Stanford University"/>
    <n v="7"/>
    <x v="6"/>
    <n v="2.5"/>
    <s v="Category 2"/>
    <e v="#N/A"/>
    <s v="Yes"/>
    <e v="#N/A"/>
    <n v="0.87707999999999986"/>
    <n v="0.70166399999999995"/>
    <x v="0"/>
    <x v="156"/>
    <x v="1"/>
  </r>
  <r>
    <n v="2725"/>
    <s v="I"/>
    <n v="0.38500000000000001"/>
    <n v="0.28499999999999998"/>
    <n v="8.5000000000000006E-2"/>
    <n v="0.24399999999999999"/>
    <n v="0.1215"/>
    <n v="4.4499999999999998E-2"/>
    <n v="6.8000000000000005E-2"/>
    <n v="8"/>
    <n v="5"/>
    <s v="Haniya"/>
    <s v="Talley"/>
    <s v="Prince William Sound Science Center"/>
    <n v="2"/>
    <x v="1"/>
    <n v="18"/>
    <s v="Category 2"/>
    <e v="#N/A"/>
    <s v="Yes"/>
    <e v="#N/A"/>
    <n v="0.91052333333333335"/>
    <n v="0.72841866666666677"/>
    <x v="0"/>
    <x v="157"/>
    <x v="1"/>
  </r>
  <r>
    <n v="3095"/>
    <s v="M"/>
    <n v="0.52500000000000002"/>
    <n v="0.4"/>
    <n v="0.13"/>
    <n v="0.622"/>
    <n v="0.26550000000000001"/>
    <n v="0.14699999999999999"/>
    <n v="0.184"/>
    <n v="9"/>
    <n v="1"/>
    <s v="Jan"/>
    <s v="Odom"/>
    <s v="University of Houston"/>
    <n v="1"/>
    <x v="0"/>
    <n v="22.1"/>
    <s v="Category 2"/>
    <e v="#N/A"/>
    <s v="Yes"/>
    <e v="#N/A"/>
    <n v="0.98034333333333334"/>
    <n v="0.78427466666666668"/>
    <x v="0"/>
    <x v="158"/>
    <x v="1"/>
  </r>
  <r>
    <n v="2657"/>
    <s v="M"/>
    <n v="0.54500000000000004"/>
    <n v="0.42"/>
    <n v="0.12"/>
    <n v="0.78649999999999998"/>
    <n v="0.40300000000000002"/>
    <n v="0.185"/>
    <n v="0.17"/>
    <n v="7"/>
    <n v="13"/>
    <s v="Betty"/>
    <s v="Berg"/>
    <s v="University of Houston"/>
    <n v="5"/>
    <x v="3"/>
    <n v="12.8"/>
    <s v="Category 3"/>
    <e v="#N/A"/>
    <e v="#N/A"/>
    <s v="Yes"/>
    <n v="0.98496333333333341"/>
    <n v="0.98496333333333341"/>
    <x v="0"/>
    <x v="0"/>
    <x v="115"/>
  </r>
  <r>
    <n v="4013"/>
    <s v="F"/>
    <n v="0.62"/>
    <n v="0.46500000000000002"/>
    <n v="0.14000000000000001"/>
    <n v="1.0109999999999999"/>
    <n v="0.47899999999999998"/>
    <n v="0.23849999999999999"/>
    <n v="0.255"/>
    <n v="8"/>
    <n v="2"/>
    <s v="Tiegan"/>
    <s v="Davie"/>
    <s v="University of California, Davis"/>
    <n v="5"/>
    <x v="3"/>
    <n v="12.8"/>
    <s v="Category 3"/>
    <e v="#N/A"/>
    <e v="#N/A"/>
    <s v="Yes"/>
    <n v="1.0178566666666669"/>
    <n v="1.0178566666666669"/>
    <x v="0"/>
    <x v="0"/>
    <x v="116"/>
  </r>
  <r>
    <n v="3577"/>
    <s v="F"/>
    <n v="0.6"/>
    <n v="0.47499999999999998"/>
    <n v="0.155"/>
    <n v="1.0589999999999999"/>
    <n v="0.441"/>
    <n v="0.19"/>
    <n v="0.39"/>
    <n v="11"/>
    <n v="11"/>
    <s v="Naima"/>
    <s v="Reyes"/>
    <s v="University of Houston"/>
    <n v="1"/>
    <x v="0"/>
    <n v="22.1"/>
    <s v="Category 3"/>
    <e v="#N/A"/>
    <e v="#N/A"/>
    <s v="Yes"/>
    <n v="1.0150908333333331"/>
    <n v="1.0150908333333331"/>
    <x v="0"/>
    <x v="0"/>
    <x v="117"/>
  </r>
  <r>
    <n v="3053"/>
    <s v="F"/>
    <n v="0.59499999999999997"/>
    <n v="0.46"/>
    <n v="0.16"/>
    <n v="0.92100000000000004"/>
    <n v="0.40050000000000002"/>
    <n v="0.20250000000000001"/>
    <n v="0.28749999999999998"/>
    <n v="9"/>
    <n v="2"/>
    <s v="Tiegan"/>
    <s v="Davie"/>
    <s v="University of California, Davis"/>
    <n v="6"/>
    <x v="8"/>
    <n v="14.1"/>
    <s v="Category 3"/>
    <e v="#N/A"/>
    <e v="#N/A"/>
    <s v="Yes"/>
    <n v="1.0148266666666668"/>
    <n v="1.0148266666666668"/>
    <x v="0"/>
    <x v="0"/>
    <x v="118"/>
  </r>
  <r>
    <n v="1975"/>
    <s v="M"/>
    <n v="0.68500000000000005"/>
    <n v="0.53500000000000003"/>
    <n v="0.155"/>
    <n v="1.3845000000000001"/>
    <n v="0.66149999999999998"/>
    <n v="0.2145"/>
    <n v="0.40749999999999997"/>
    <n v="10"/>
    <n v="14"/>
    <s v="Santiago"/>
    <s v="Vaughan"/>
    <s v="Ohio State University_x0009_"/>
    <n v="4"/>
    <x v="2"/>
    <n v="6.1"/>
    <s v="Category 3"/>
    <e v="#N/A"/>
    <e v="#N/A"/>
    <s v="Yes"/>
    <n v="1.0501329166666666"/>
    <n v="1.0501329166666666"/>
    <x v="0"/>
    <x v="0"/>
    <x v="119"/>
  </r>
  <r>
    <n v="671"/>
    <s v="M"/>
    <n v="0.47499999999999998"/>
    <n v="0.38500000000000001"/>
    <n v="0.14499999999999999"/>
    <n v="0.61750000000000005"/>
    <n v="0.23499999999999999"/>
    <n v="0.108"/>
    <n v="0.215"/>
    <n v="14"/>
    <n v="13"/>
    <s v="Betty"/>
    <s v="Berg"/>
    <s v="University of Houston"/>
    <n v="4"/>
    <x v="2"/>
    <n v="6.1"/>
    <s v="Category 2"/>
    <e v="#N/A"/>
    <s v="Yes"/>
    <e v="#N/A"/>
    <n v="0.96042291666666668"/>
    <n v="0.76833833333333335"/>
    <x v="0"/>
    <x v="159"/>
    <x v="1"/>
  </r>
  <r>
    <n v="479"/>
    <s v="M"/>
    <n v="0.73499999999999999"/>
    <n v="0.59"/>
    <n v="0.22500000000000001"/>
    <n v="1.756"/>
    <n v="0.63700000000000001"/>
    <n v="0.34050000000000002"/>
    <n v="0.57999999999999996"/>
    <n v="21"/>
    <n v="4"/>
    <s v="Nate"/>
    <s v="Craig"/>
    <s v="NOAA Fisheries"/>
    <n v="7"/>
    <x v="6"/>
    <n v="2.5"/>
    <s v="Category 2"/>
    <e v="#N/A"/>
    <s v="Yes"/>
    <e v="#N/A"/>
    <n v="1.0904499999999999"/>
    <n v="0.87236000000000002"/>
    <x v="0"/>
    <x v="160"/>
    <x v="1"/>
  </r>
  <r>
    <n v="3402"/>
    <s v="M"/>
    <n v="0.48"/>
    <n v="0.39500000000000002"/>
    <n v="0.15"/>
    <n v="0.68149999999999999"/>
    <n v="0.2145"/>
    <n v="0.14050000000000001"/>
    <n v="0.2495"/>
    <n v="18"/>
    <n v="9"/>
    <s v="Danica"/>
    <s v="Tyler"/>
    <s v="University of Florida_x0009_"/>
    <n v="6"/>
    <x v="8"/>
    <n v="14.1"/>
    <s v="Category 2"/>
    <e v="#N/A"/>
    <s v="Yes"/>
    <e v="#N/A"/>
    <n v="0.9632708333333333"/>
    <n v="0.77061666666666673"/>
    <x v="0"/>
    <x v="161"/>
    <x v="1"/>
  </r>
  <r>
    <n v="2446"/>
    <s v="M"/>
    <n v="0.5"/>
    <n v="0.38"/>
    <n v="0.13500000000000001"/>
    <n v="0.58350000000000002"/>
    <n v="0.22950000000000001"/>
    <n v="0.1265"/>
    <n v="0.18"/>
    <n v="12"/>
    <n v="11"/>
    <s v="Naima"/>
    <s v="Reyes"/>
    <s v="University of Houston"/>
    <n v="6"/>
    <x v="8"/>
    <n v="14.1"/>
    <s v="Category 2"/>
    <e v="#N/A"/>
    <s v="Yes"/>
    <e v="#N/A"/>
    <n v="0.96756208333333327"/>
    <n v="0.77404966666666664"/>
    <x v="0"/>
    <x v="162"/>
    <x v="1"/>
  </r>
  <r>
    <n v="1394"/>
    <s v="M"/>
    <n v="0.63500000000000001"/>
    <n v="0.51"/>
    <n v="0.155"/>
    <n v="0.98599999999999999"/>
    <n v="0.40500000000000003"/>
    <n v="0.22550000000000001"/>
    <n v="0.31"/>
    <n v="10"/>
    <n v="3"/>
    <s v="Inaya"/>
    <s v="Bernard"/>
    <s v="Stanford University"/>
    <n v="7"/>
    <x v="6"/>
    <n v="2.5"/>
    <s v="Category 3"/>
    <e v="#N/A"/>
    <e v="#N/A"/>
    <s v="Yes"/>
    <n v="1.0414049999999999"/>
    <n v="1.0414049999999999"/>
    <x v="0"/>
    <x v="0"/>
    <x v="120"/>
  </r>
  <r>
    <n v="3363"/>
    <s v="M"/>
    <n v="0.41"/>
    <n v="0.3"/>
    <n v="0.1"/>
    <n v="0.30099999999999999"/>
    <n v="0.124"/>
    <n v="6.9000000000000006E-2"/>
    <n v="0.09"/>
    <n v="9"/>
    <n v="10"/>
    <s v="Hazel"/>
    <s v="Villa"/>
    <s v="University of Minnesota"/>
    <n v="7"/>
    <x v="6"/>
    <n v="2.5"/>
    <s v="Category 2"/>
    <e v="#N/A"/>
    <s v="Yes"/>
    <e v="#N/A"/>
    <n v="0.92161666666666664"/>
    <n v="0.73729333333333336"/>
    <x v="0"/>
    <x v="163"/>
    <x v="1"/>
  </r>
  <r>
    <n v="1069"/>
    <s v="I"/>
    <n v="0.37"/>
    <n v="0.28000000000000003"/>
    <n v="0.1"/>
    <n v="0.221"/>
    <n v="0.11650000000000001"/>
    <n v="2.6499999999999999E-2"/>
    <n v="6.3500000000000001E-2"/>
    <n v="6"/>
    <n v="7"/>
    <s v="Iona"/>
    <s v="Connolly"/>
    <s v="Florida Atlantic University"/>
    <n v="5"/>
    <x v="3"/>
    <n v="12.8"/>
    <s v="Category 2"/>
    <e v="#N/A"/>
    <s v="Yes"/>
    <e v="#N/A"/>
    <n v="0.90561666666666663"/>
    <n v="0.72449333333333332"/>
    <x v="0"/>
    <x v="164"/>
    <x v="1"/>
  </r>
  <r>
    <n v="509"/>
    <s v="M"/>
    <n v="0.56000000000000005"/>
    <n v="0.435"/>
    <n v="0.18"/>
    <n v="0.88900000000000001"/>
    <n v="0.36"/>
    <n v="0.20399999999999999"/>
    <n v="0.25"/>
    <n v="11"/>
    <n v="5"/>
    <s v="Haniya"/>
    <s v="Talley"/>
    <s v="Prince William Sound Science Center"/>
    <n v="9"/>
    <x v="7"/>
    <n v="1.9"/>
    <s v="Category 2"/>
    <e v="#N/A"/>
    <s v="Yes"/>
    <e v="#N/A"/>
    <n v="0.99907000000000001"/>
    <n v="0.79925600000000008"/>
    <x v="0"/>
    <x v="165"/>
    <x v="1"/>
  </r>
  <r>
    <n v="1206"/>
    <s v="M"/>
    <n v="0.745"/>
    <n v="0.56499999999999995"/>
    <n v="0.215"/>
    <n v="1.931"/>
    <n v="0.89600000000000002"/>
    <n v="0.45850000000000002"/>
    <n v="0.5"/>
    <n v="11"/>
    <n v="15"/>
    <s v="Conan"/>
    <s v="Dalton"/>
    <s v="University of Houston"/>
    <n v="4"/>
    <x v="2"/>
    <n v="6.1"/>
    <s v="Category 3"/>
    <e v="#N/A"/>
    <e v="#N/A"/>
    <s v="Yes"/>
    <n v="1.0771274999999998"/>
    <n v="1.0771274999999998"/>
    <x v="0"/>
    <x v="0"/>
    <x v="121"/>
  </r>
  <r>
    <n v="2919"/>
    <s v="I"/>
    <n v="0.6"/>
    <n v="0.44500000000000001"/>
    <n v="0.13500000000000001"/>
    <n v="0.92049999999999998"/>
    <n v="0.44500000000000001"/>
    <n v="0.20349999999999999"/>
    <n v="0.253"/>
    <n v="9"/>
    <n v="6"/>
    <s v="Martin"/>
    <s v="Gaines"/>
    <s v="San Diego State University"/>
    <n v="6"/>
    <x v="8"/>
    <n v="14.1"/>
    <s v="Category 3"/>
    <e v="#N/A"/>
    <e v="#N/A"/>
    <s v="Yes"/>
    <n v="1.0076779166666665"/>
    <n v="1.0076779166666665"/>
    <x v="0"/>
    <x v="0"/>
    <x v="122"/>
  </r>
  <r>
    <n v="2264"/>
    <s v="F"/>
    <n v="0.62"/>
    <n v="0.51"/>
    <n v="0.15"/>
    <n v="1.456"/>
    <n v="0.58099999999999996"/>
    <n v="0.28749999999999998"/>
    <n v="0.32"/>
    <n v="13"/>
    <n v="10"/>
    <s v="Hazel"/>
    <s v="Villa"/>
    <s v="University of Minnesota"/>
    <n v="6"/>
    <x v="8"/>
    <n v="14.1"/>
    <s v="Category 3"/>
    <e v="#N/A"/>
    <e v="#N/A"/>
    <s v="Yes"/>
    <n v="1.016"/>
    <n v="1.016"/>
    <x v="0"/>
    <x v="0"/>
    <x v="123"/>
  </r>
  <r>
    <n v="1203"/>
    <s v="M"/>
    <n v="0.72499999999999998"/>
    <n v="0.505"/>
    <n v="0.185"/>
    <n v="1.978"/>
    <n v="1.026"/>
    <n v="0.42549999999999999"/>
    <n v="0.45050000000000001"/>
    <n v="12"/>
    <n v="11"/>
    <s v="Naima"/>
    <s v="Reyes"/>
    <s v="University of Houston"/>
    <n v="2"/>
    <x v="1"/>
    <n v="18"/>
    <s v="Category 3"/>
    <e v="#N/A"/>
    <e v="#N/A"/>
    <s v="Yes"/>
    <n v="1.0391216666666665"/>
    <n v="1.0391216666666665"/>
    <x v="0"/>
    <x v="0"/>
    <x v="124"/>
  </r>
  <r>
    <n v="2117"/>
    <s v="I"/>
    <n v="0.31"/>
    <n v="0.22500000000000001"/>
    <n v="0.05"/>
    <n v="0.14449999999999999"/>
    <n v="6.7500000000000004E-2"/>
    <n v="3.85E-2"/>
    <n v="4.4999999999999998E-2"/>
    <n v="6"/>
    <n v="14"/>
    <s v="Santiago"/>
    <s v="Vaughan"/>
    <s v="Ohio State University_x0009_"/>
    <n v="9"/>
    <x v="7"/>
    <n v="1.9"/>
    <s v="Category 2"/>
    <e v="#N/A"/>
    <s v="Yes"/>
    <e v="#N/A"/>
    <n v="0.86990416666666659"/>
    <n v="0.69592333333333334"/>
    <x v="0"/>
    <x v="166"/>
    <x v="1"/>
  </r>
  <r>
    <n v="2833"/>
    <s v="F"/>
    <n v="0.54"/>
    <n v="0.42"/>
    <n v="0.14000000000000001"/>
    <n v="0.80349999999999999"/>
    <n v="0.38"/>
    <n v="0.18049999999999999"/>
    <n v="0.21"/>
    <n v="9"/>
    <n v="13"/>
    <s v="Betty"/>
    <s v="Berg"/>
    <s v="University of Houston"/>
    <n v="6"/>
    <x v="8"/>
    <n v="14.1"/>
    <s v="Category 2"/>
    <e v="#N/A"/>
    <s v="Yes"/>
    <e v="#N/A"/>
    <n v="0.98518166666666673"/>
    <n v="0.78814533333333348"/>
    <x v="0"/>
    <x v="167"/>
    <x v="1"/>
  </r>
  <r>
    <n v="958"/>
    <s v="M"/>
    <n v="0.5"/>
    <n v="0.39"/>
    <n v="0.13500000000000001"/>
    <n v="0.65949999999999998"/>
    <n v="0.3145"/>
    <n v="0.1535"/>
    <n v="0.1565"/>
    <n v="6"/>
    <n v="12"/>
    <s v="Rebecca"/>
    <s v="Bennett"/>
    <s v="University of Houston"/>
    <n v="10"/>
    <x v="5"/>
    <n v="24.1"/>
    <s v="Category 2"/>
    <e v="#N/A"/>
    <s v="Yes"/>
    <e v="#N/A"/>
    <n v="0.96753875"/>
    <n v="0.77403100000000002"/>
    <x v="0"/>
    <x v="168"/>
    <x v="1"/>
  </r>
  <r>
    <n v="3200"/>
    <s v="F"/>
    <n v="0.49"/>
    <n v="0.38"/>
    <n v="0.155"/>
    <n v="0.57799999999999996"/>
    <n v="0.23949999999999999"/>
    <n v="0.1255"/>
    <n v="0.18"/>
    <n v="9"/>
    <n v="12"/>
    <s v="Rebecca"/>
    <s v="Bennett"/>
    <s v="University of Houston"/>
    <n v="1"/>
    <x v="0"/>
    <n v="22.1"/>
    <s v="Category 2"/>
    <e v="#N/A"/>
    <s v="Yes"/>
    <e v="#N/A"/>
    <n v="0.96639833333333336"/>
    <n v="0.77311866666666673"/>
    <x v="0"/>
    <x v="169"/>
    <x v="1"/>
  </r>
  <r>
    <n v="284"/>
    <s v="M"/>
    <n v="0.48499999999999999"/>
    <n v="0.39500000000000002"/>
    <n v="0.14000000000000001"/>
    <n v="0.62949999999999995"/>
    <n v="0.22850000000000001"/>
    <n v="0.127"/>
    <n v="0.22500000000000001"/>
    <n v="14"/>
    <n v="5"/>
    <s v="Haniya"/>
    <s v="Talley"/>
    <s v="Prince William Sound Science Center"/>
    <n v="9"/>
    <x v="7"/>
    <n v="1.9"/>
    <s v="Category 2"/>
    <e v="#N/A"/>
    <s v="Yes"/>
    <e v="#N/A"/>
    <n v="0.966055"/>
    <n v="0.77284400000000009"/>
    <x v="0"/>
    <x v="170"/>
    <x v="1"/>
  </r>
  <r>
    <n v="1697"/>
    <s v="M"/>
    <n v="0.63"/>
    <n v="0.49"/>
    <n v="0.17"/>
    <n v="1.1745000000000001"/>
    <n v="0.52549999999999997"/>
    <n v="0.27300000000000002"/>
    <n v="0.33900000000000002"/>
    <n v="11"/>
    <n v="14"/>
    <s v="Santiago"/>
    <s v="Vaughan"/>
    <s v="Ohio State University_x0009_"/>
    <n v="1"/>
    <x v="0"/>
    <n v="22.1"/>
    <s v="Category 3"/>
    <e v="#N/A"/>
    <e v="#N/A"/>
    <s v="Yes"/>
    <n v="1.0283108333333335"/>
    <n v="1.0283108333333335"/>
    <x v="0"/>
    <x v="0"/>
    <x v="125"/>
  </r>
  <r>
    <n v="2188"/>
    <s v="M"/>
    <n v="0.495"/>
    <n v="0.38500000000000001"/>
    <n v="0.13500000000000001"/>
    <n v="0.63349999999999995"/>
    <n v="0.2"/>
    <n v="0.1225"/>
    <n v="0.26"/>
    <n v="14"/>
    <n v="11"/>
    <s v="Naima"/>
    <s v="Reyes"/>
    <s v="University of Houston"/>
    <n v="8"/>
    <x v="4"/>
    <n v="12.3"/>
    <s v="Category 2"/>
    <e v="#N/A"/>
    <s v="Yes"/>
    <e v="#N/A"/>
    <n v="0.96535375000000001"/>
    <n v="0.77228300000000005"/>
    <x v="0"/>
    <x v="171"/>
    <x v="1"/>
  </r>
  <r>
    <n v="4108"/>
    <s v="I"/>
    <n v="0.42"/>
    <n v="0.30499999999999999"/>
    <n v="0.1"/>
    <n v="0.34150000000000003"/>
    <n v="0.16450000000000001"/>
    <n v="7.7499999999999999E-2"/>
    <n v="8.5999999999999993E-2"/>
    <n v="7"/>
    <n v="3"/>
    <s v="Inaya"/>
    <s v="Bernard"/>
    <s v="Stanford University"/>
    <n v="9"/>
    <x v="7"/>
    <n v="1.9"/>
    <s v="Category 2"/>
    <e v="#N/A"/>
    <s v="Yes"/>
    <e v="#N/A"/>
    <n v="0.9245916666666667"/>
    <n v="0.7396733333333334"/>
    <x v="0"/>
    <x v="172"/>
    <x v="1"/>
  </r>
  <r>
    <n v="3277"/>
    <s v="M"/>
    <n v="0.48499999999999999"/>
    <n v="0.38500000000000001"/>
    <n v="0.125"/>
    <n v="0.47749999999999998"/>
    <n v="0.2"/>
    <n v="7.85E-2"/>
    <n v="0.17"/>
    <n v="12"/>
    <n v="11"/>
    <s v="Naima"/>
    <s v="Reyes"/>
    <s v="University of Houston"/>
    <n v="7"/>
    <x v="6"/>
    <n v="2.5"/>
    <s v="Category 2"/>
    <e v="#N/A"/>
    <s v="Yes"/>
    <e v="#N/A"/>
    <n v="0.96811458333333333"/>
    <n v="0.77449166666666669"/>
    <x v="0"/>
    <x v="173"/>
    <x v="1"/>
  </r>
  <r>
    <n v="762"/>
    <s v="F"/>
    <n v="0.55000000000000004"/>
    <n v="0.44"/>
    <n v="0.155"/>
    <n v="0.94599999999999995"/>
    <n v="0.313"/>
    <n v="0.1825"/>
    <n v="0.33500000000000002"/>
    <n v="16"/>
    <n v="7"/>
    <s v="Iona"/>
    <s v="Connolly"/>
    <s v="Florida Atlantic University"/>
    <n v="8"/>
    <x v="4"/>
    <n v="12.3"/>
    <s v="Category 2"/>
    <e v="#N/A"/>
    <s v="Yes"/>
    <e v="#N/A"/>
    <n v="0.99137166666666665"/>
    <n v="0.79309733333333332"/>
    <x v="0"/>
    <x v="174"/>
    <x v="1"/>
  </r>
  <r>
    <n v="4105"/>
    <s v="F"/>
    <n v="0.71"/>
    <n v="0.54500000000000004"/>
    <n v="0.17499999999999999"/>
    <n v="1.907"/>
    <n v="0.87250000000000005"/>
    <n v="0.45650000000000002"/>
    <n v="0.47499999999999998"/>
    <n v="11"/>
    <n v="5"/>
    <s v="Haniya"/>
    <s v="Talley"/>
    <s v="Prince William Sound Science Center"/>
    <n v="8"/>
    <x v="4"/>
    <n v="12.3"/>
    <s v="Category 3"/>
    <e v="#N/A"/>
    <e v="#N/A"/>
    <s v="Yes"/>
    <n v="1.0468208333333333"/>
    <n v="1.0468208333333333"/>
    <x v="0"/>
    <x v="0"/>
    <x v="126"/>
  </r>
  <r>
    <n v="2749"/>
    <s v="I"/>
    <n v="0.505"/>
    <n v="0.38500000000000001"/>
    <n v="0.125"/>
    <n v="0.59599999999999997"/>
    <n v="0.245"/>
    <n v="9.7000000000000003E-2"/>
    <n v="0.21"/>
    <n v="9"/>
    <n v="1"/>
    <s v="Jan"/>
    <s v="Odom"/>
    <s v="University of Houston"/>
    <n v="6"/>
    <x v="8"/>
    <n v="14.1"/>
    <s v="Category 2"/>
    <e v="#N/A"/>
    <s v="Yes"/>
    <e v="#N/A"/>
    <n v="0.96935000000000004"/>
    <n v="0.77548000000000006"/>
    <x v="0"/>
    <x v="175"/>
    <x v="1"/>
  </r>
  <r>
    <n v="3207"/>
    <s v="I"/>
    <n v="0.29499999999999998"/>
    <n v="0.215"/>
    <n v="7.4999999999999997E-2"/>
    <n v="0.11600000000000001"/>
    <n v="3.6999999999999998E-2"/>
    <n v="2.9499999999999998E-2"/>
    <n v="0.04"/>
    <n v="8"/>
    <n v="14"/>
    <s v="Santiago"/>
    <s v="Vaughan"/>
    <s v="Ohio State University_x0009_"/>
    <n v="3"/>
    <x v="9"/>
    <n v="3.6"/>
    <s v="Category 2"/>
    <e v="#N/A"/>
    <s v="Yes"/>
    <e v="#N/A"/>
    <n v="0.86371666666666669"/>
    <n v="0.69097333333333344"/>
    <x v="0"/>
    <x v="176"/>
    <x v="1"/>
  </r>
  <r>
    <n v="3135"/>
    <s v="M"/>
    <n v="0.46"/>
    <n v="0.36"/>
    <n v="0.125"/>
    <n v="0.54700000000000004"/>
    <n v="0.2165"/>
    <n v="0.1105"/>
    <n v="0.19"/>
    <n v="8"/>
    <n v="15"/>
    <s v="Conan"/>
    <s v="Dalton"/>
    <s v="University of Houston"/>
    <n v="9"/>
    <x v="7"/>
    <n v="1.9"/>
    <s v="Category 2"/>
    <e v="#N/A"/>
    <s v="Yes"/>
    <e v="#N/A"/>
    <n v="0.94826250000000001"/>
    <n v="0.75861000000000001"/>
    <x v="0"/>
    <x v="177"/>
    <x v="1"/>
  </r>
  <r>
    <n v="3266"/>
    <s v="M"/>
    <n v="0.48"/>
    <n v="0.38"/>
    <n v="0.13500000000000001"/>
    <n v="0.52800000000000002"/>
    <n v="0.2"/>
    <n v="0.13950000000000001"/>
    <n v="0.16"/>
    <n v="14"/>
    <n v="1"/>
    <s v="Jan"/>
    <s v="Odom"/>
    <s v="University of Houston"/>
    <n v="7"/>
    <x v="6"/>
    <n v="2.5"/>
    <s v="Category 2"/>
    <e v="#N/A"/>
    <s v="Yes"/>
    <e v="#N/A"/>
    <n v="0.96334666666666657"/>
    <n v="0.77067733333333333"/>
    <x v="0"/>
    <x v="178"/>
    <x v="1"/>
  </r>
  <r>
    <n v="1952"/>
    <s v="F"/>
    <n v="0.64"/>
    <n v="0.51500000000000001"/>
    <n v="0.16500000000000001"/>
    <n v="1.3115000000000001"/>
    <n v="0.4945"/>
    <n v="0.2555"/>
    <n v="0.41"/>
    <n v="10"/>
    <n v="12"/>
    <s v="Rebecca"/>
    <s v="Bennett"/>
    <s v="University of Houston"/>
    <n v="6"/>
    <x v="8"/>
    <n v="14.1"/>
    <s v="Category 3"/>
    <e v="#N/A"/>
    <e v="#N/A"/>
    <s v="Yes"/>
    <n v="1.0336329166666667"/>
    <n v="1.0336329166666667"/>
    <x v="0"/>
    <x v="0"/>
    <x v="127"/>
  </r>
  <r>
    <n v="1661"/>
    <s v="M"/>
    <n v="0.6"/>
    <n v="0.47"/>
    <n v="0.16500000000000001"/>
    <n v="1.0589999999999999"/>
    <n v="0.504"/>
    <n v="0.24099999999999999"/>
    <n v="0.27500000000000002"/>
    <n v="9"/>
    <n v="8"/>
    <s v="Kali"/>
    <s v="Metcalfe"/>
    <s v="Mote Marine Laboratory"/>
    <n v="10"/>
    <x v="5"/>
    <n v="24.1"/>
    <s v="Category 3"/>
    <e v="#N/A"/>
    <e v="#N/A"/>
    <s v="Yes"/>
    <n v="1.0151891666666666"/>
    <n v="1.0151891666666666"/>
    <x v="0"/>
    <x v="0"/>
    <x v="128"/>
  </r>
  <r>
    <n v="2389"/>
    <s v="I"/>
    <n v="0.51500000000000001"/>
    <n v="0.375"/>
    <n v="0.14000000000000001"/>
    <n v="0.65049999999999997"/>
    <n v="0.2495"/>
    <n v="0.14099999999999999"/>
    <n v="0.2215"/>
    <n v="10"/>
    <n v="7"/>
    <s v="Iona"/>
    <s v="Connolly"/>
    <s v="Florida Atlantic University"/>
    <n v="9"/>
    <x v="7"/>
    <n v="1.9"/>
    <s v="Category 2"/>
    <e v="#N/A"/>
    <s v="Yes"/>
    <e v="#N/A"/>
    <n v="0.96847833333333322"/>
    <n v="0.77478266666666662"/>
    <x v="0"/>
    <x v="179"/>
    <x v="1"/>
  </r>
  <r>
    <n v="2726"/>
    <s v="I"/>
    <n v="0.39500000000000002"/>
    <n v="0.32"/>
    <n v="0.1"/>
    <n v="0.3075"/>
    <n v="0.14899999999999999"/>
    <n v="5.3499999999999999E-2"/>
    <n v="0.09"/>
    <n v="8"/>
    <n v="10"/>
    <s v="Hazel"/>
    <s v="Villa"/>
    <s v="University of Minnesota"/>
    <n v="6"/>
    <x v="8"/>
    <n v="14.1"/>
    <s v="Category 2"/>
    <e v="#N/A"/>
    <s v="Yes"/>
    <e v="#N/A"/>
    <n v="0.92295833333333321"/>
    <n v="0.73836666666666662"/>
    <x v="0"/>
    <x v="180"/>
    <x v="1"/>
  </r>
  <r>
    <n v="3749"/>
    <s v="I"/>
    <n v="0.4"/>
    <n v="0.315"/>
    <n v="0.1"/>
    <n v="0.32250000000000001"/>
    <n v="0.14299999999999999"/>
    <n v="7.3499999999999996E-2"/>
    <n v="9.0999999999999998E-2"/>
    <n v="6"/>
    <n v="13"/>
    <s v="Betty"/>
    <s v="Berg"/>
    <s v="University of Houston"/>
    <n v="6"/>
    <x v="8"/>
    <n v="14.1"/>
    <s v="Category 2"/>
    <e v="#N/A"/>
    <s v="Yes"/>
    <e v="#N/A"/>
    <n v="0.9222083333333333"/>
    <n v="0.73776666666666668"/>
    <x v="0"/>
    <x v="181"/>
    <x v="1"/>
  </r>
  <r>
    <n v="2872"/>
    <s v="I"/>
    <n v="0.375"/>
    <n v="0.28000000000000003"/>
    <n v="8.5000000000000006E-2"/>
    <n v="0.2145"/>
    <n v="8.5500000000000007E-2"/>
    <n v="4.8500000000000001E-2"/>
    <n v="7.1999999999999995E-2"/>
    <n v="7"/>
    <n v="1"/>
    <s v="Jan"/>
    <s v="Odom"/>
    <s v="University of Houston"/>
    <n v="1"/>
    <x v="0"/>
    <n v="22.1"/>
    <s v="Category 2"/>
    <e v="#N/A"/>
    <s v="Yes"/>
    <e v="#N/A"/>
    <n v="0.90707208333333333"/>
    <n v="0.72565766666666676"/>
    <x v="0"/>
    <x v="182"/>
    <x v="1"/>
  </r>
  <r>
    <n v="2024"/>
    <s v="F"/>
    <n v="0.53"/>
    <n v="0.40500000000000003"/>
    <n v="0.13"/>
    <n v="0.63549999999999995"/>
    <n v="0.26350000000000001"/>
    <n v="0.1565"/>
    <n v="0.185"/>
    <n v="9"/>
    <n v="14"/>
    <s v="Santiago"/>
    <s v="Vaughan"/>
    <s v="Ohio State University_x0009_"/>
    <n v="2"/>
    <x v="1"/>
    <n v="18"/>
    <s v="Category 2"/>
    <e v="#N/A"/>
    <s v="Yes"/>
    <e v="#N/A"/>
    <n v="0.98306916666666666"/>
    <n v="0.7864553333333334"/>
    <x v="0"/>
    <x v="183"/>
    <x v="1"/>
  </r>
  <r>
    <n v="1257"/>
    <s v="I"/>
    <n v="0.42499999999999999"/>
    <n v="0.31"/>
    <n v="0.09"/>
    <n v="0.30099999999999999"/>
    <n v="0.13850000000000001"/>
    <n v="6.5000000000000002E-2"/>
    <n v="0.08"/>
    <n v="7"/>
    <n v="10"/>
    <s v="Hazel"/>
    <s v="Villa"/>
    <s v="University of Minnesota"/>
    <n v="8"/>
    <x v="4"/>
    <n v="12.3"/>
    <s v="Category 2"/>
    <e v="#N/A"/>
    <s v="Yes"/>
    <e v="#N/A"/>
    <n v="0.92944833333333332"/>
    <n v="0.7435586666666667"/>
    <x v="0"/>
    <x v="184"/>
    <x v="1"/>
  </r>
  <r>
    <n v="3241"/>
    <s v="M"/>
    <n v="0.55500000000000005"/>
    <n v="0.435"/>
    <n v="0.13500000000000001"/>
    <n v="0.85799999999999998"/>
    <n v="0.377"/>
    <n v="0.1585"/>
    <n v="0.28999999999999998"/>
    <n v="15"/>
    <n v="9"/>
    <s v="Danica"/>
    <s v="Tyler"/>
    <s v="University of Florida_x0009_"/>
    <n v="2"/>
    <x v="1"/>
    <n v="18"/>
    <s v="Category 2"/>
    <e v="#N/A"/>
    <s v="Yes"/>
    <e v="#N/A"/>
    <n v="0.99210500000000001"/>
    <n v="0.79368400000000006"/>
    <x v="0"/>
    <x v="185"/>
    <x v="1"/>
  </r>
  <r>
    <n v="3357"/>
    <s v="I"/>
    <n v="0.39"/>
    <n v="0.3"/>
    <n v="0.1"/>
    <n v="0.3085"/>
    <n v="0.13850000000000001"/>
    <n v="7.3499999999999996E-2"/>
    <n v="8.5000000000000006E-2"/>
    <n v="6"/>
    <n v="1"/>
    <s v="Jan"/>
    <s v="Odom"/>
    <s v="University of Houston"/>
    <n v="3"/>
    <x v="9"/>
    <n v="3.6"/>
    <s v="Category 2"/>
    <e v="#N/A"/>
    <s v="Yes"/>
    <e v="#N/A"/>
    <n v="0.91457500000000003"/>
    <n v="0.73166000000000009"/>
    <x v="0"/>
    <x v="186"/>
    <x v="1"/>
  </r>
  <r>
    <n v="3758"/>
    <s v="I"/>
    <n v="0.52"/>
    <n v="0.41"/>
    <n v="0.14000000000000001"/>
    <n v="0.69899999999999995"/>
    <n v="0.33950000000000002"/>
    <n v="0.129"/>
    <n v="0.19450000000000001"/>
    <n v="10"/>
    <n v="11"/>
    <s v="Naima"/>
    <s v="Reyes"/>
    <s v="University of Houston"/>
    <n v="10"/>
    <x v="5"/>
    <n v="24.1"/>
    <s v="Category 2"/>
    <e v="#N/A"/>
    <s v="Yes"/>
    <e v="#N/A"/>
    <n v="0.97970999999999997"/>
    <n v="0.78376800000000002"/>
    <x v="0"/>
    <x v="187"/>
    <x v="1"/>
  </r>
  <r>
    <n v="331"/>
    <s v="M"/>
    <n v="0.5"/>
    <n v="0.38"/>
    <n v="0.155"/>
    <n v="0.59550000000000003"/>
    <n v="0.2135"/>
    <n v="0.161"/>
    <n v="0.2"/>
    <n v="12"/>
    <n v="15"/>
    <s v="Conan"/>
    <s v="Dalton"/>
    <s v="University of Houston"/>
    <n v="4"/>
    <x v="2"/>
    <n v="6.1"/>
    <s v="Category 2"/>
    <e v="#N/A"/>
    <s v="Yes"/>
    <e v="#N/A"/>
    <n v="0.96901708333333325"/>
    <n v="0.77521366666666669"/>
    <x v="0"/>
    <x v="188"/>
    <x v="1"/>
  </r>
  <r>
    <n v="3381"/>
    <s v="I"/>
    <n v="0.19"/>
    <n v="0.13"/>
    <n v="4.4999999999999998E-2"/>
    <n v="2.6499999999999999E-2"/>
    <n v="8.9999999999999993E-3"/>
    <n v="5.0000000000000001E-3"/>
    <n v="8.9999999999999993E-3"/>
    <n v="5"/>
    <n v="9"/>
    <s v="Danica"/>
    <s v="Tyler"/>
    <s v="University of Florida_x0009_"/>
    <n v="5"/>
    <x v="3"/>
    <n v="12.8"/>
    <s v="Category 2"/>
    <e v="#N/A"/>
    <s v="Yes"/>
    <e v="#N/A"/>
    <n v="0.80509875000000009"/>
    <n v="0.64407900000000007"/>
    <x v="0"/>
    <x v="189"/>
    <x v="1"/>
  </r>
  <r>
    <n v="347"/>
    <s v="F"/>
    <n v="0.52500000000000002"/>
    <n v="0.42"/>
    <n v="0.16"/>
    <n v="0.75600000000000001"/>
    <n v="0.27450000000000002"/>
    <n v="0.17299999999999999"/>
    <n v="0.27500000000000002"/>
    <n v="9"/>
    <n v="1"/>
    <s v="Jan"/>
    <s v="Odom"/>
    <s v="University of Houston"/>
    <n v="5"/>
    <x v="3"/>
    <n v="12.8"/>
    <s v="Category 2"/>
    <e v="#N/A"/>
    <s v="Yes"/>
    <e v="#N/A"/>
    <n v="0.98475999999999986"/>
    <n v="0.78780799999999995"/>
    <x v="0"/>
    <x v="190"/>
    <x v="1"/>
  </r>
  <r>
    <n v="3239"/>
    <s v="M"/>
    <n v="0.69499999999999995"/>
    <n v="0.53"/>
    <n v="0.15"/>
    <n v="1.4770000000000001"/>
    <n v="0.63749999999999996"/>
    <n v="0.30249999999999999"/>
    <n v="0.43"/>
    <n v="14"/>
    <n v="11"/>
    <s v="Naima"/>
    <s v="Reyes"/>
    <s v="University of Houston"/>
    <n v="3"/>
    <x v="9"/>
    <n v="3.6"/>
    <s v="Category 3"/>
    <e v="#N/A"/>
    <e v="#N/A"/>
    <s v="Yes"/>
    <n v="1.0467916666666668"/>
    <n v="1.0467916666666668"/>
    <x v="0"/>
    <x v="0"/>
    <x v="129"/>
  </r>
  <r>
    <n v="647"/>
    <s v="M"/>
    <n v="0.33"/>
    <n v="0.215"/>
    <n v="7.4999999999999997E-2"/>
    <n v="0.1145"/>
    <n v="4.4999999999999998E-2"/>
    <n v="2.6499999999999999E-2"/>
    <n v="3.5000000000000003E-2"/>
    <n v="6"/>
    <n v="11"/>
    <s v="Naima"/>
    <s v="Reyes"/>
    <s v="University of Houston"/>
    <n v="1"/>
    <x v="0"/>
    <n v="22.1"/>
    <s v="Category 2"/>
    <e v="#N/A"/>
    <s v="Yes"/>
    <e v="#N/A"/>
    <n v="0.87546458333333332"/>
    <n v="0.70037166666666673"/>
    <x v="0"/>
    <x v="191"/>
    <x v="1"/>
  </r>
  <r>
    <n v="39"/>
    <s v="F"/>
    <n v="0.57499999999999996"/>
    <n v="0.44500000000000001"/>
    <n v="0.13500000000000001"/>
    <n v="0.88300000000000001"/>
    <n v="0.38100000000000001"/>
    <n v="0.20349999999999999"/>
    <n v="0.26"/>
    <n v="11"/>
    <n v="14"/>
    <s v="Santiago"/>
    <s v="Vaughan"/>
    <s v="Ohio State University_x0009_"/>
    <n v="10"/>
    <x v="5"/>
    <n v="24.1"/>
    <s v="Category 2"/>
    <e v="#N/A"/>
    <s v="Yes"/>
    <e v="#N/A"/>
    <n v="1.0010008333333331"/>
    <n v="0.80080066666666649"/>
    <x v="0"/>
    <x v="192"/>
    <x v="1"/>
  </r>
  <r>
    <n v="2105"/>
    <s v="F"/>
    <n v="0.49"/>
    <n v="0.38500000000000001"/>
    <n v="0.125"/>
    <n v="0.53949999999999998"/>
    <n v="0.2175"/>
    <n v="0.128"/>
    <n v="0.16500000000000001"/>
    <n v="11"/>
    <n v="12"/>
    <s v="Rebecca"/>
    <s v="Bennett"/>
    <s v="University of Houston"/>
    <n v="6"/>
    <x v="8"/>
    <n v="14.1"/>
    <s v="Category 2"/>
    <e v="#N/A"/>
    <s v="Yes"/>
    <e v="#N/A"/>
    <n v="0.96693958333333341"/>
    <n v="0.77355166666666675"/>
    <x v="0"/>
    <x v="193"/>
    <x v="1"/>
  </r>
  <r>
    <n v="1119"/>
    <s v="I"/>
    <n v="0.53500000000000003"/>
    <n v="0.39"/>
    <n v="0.125"/>
    <n v="0.59899999999999998"/>
    <n v="0.25950000000000001"/>
    <n v="0.14899999999999999"/>
    <n v="0.16900000000000001"/>
    <n v="9"/>
    <n v="2"/>
    <s v="Tiegan"/>
    <s v="Davie"/>
    <s v="University of California, Davis"/>
    <n v="8"/>
    <x v="4"/>
    <n v="12.3"/>
    <s v="Category 2"/>
    <e v="#N/A"/>
    <s v="Yes"/>
    <e v="#N/A"/>
    <n v="0.98087916666666664"/>
    <n v="0.78470333333333331"/>
    <x v="0"/>
    <x v="194"/>
    <x v="1"/>
  </r>
  <r>
    <n v="543"/>
    <s v="M"/>
    <n v="0.42"/>
    <n v="0.32500000000000001"/>
    <n v="0.115"/>
    <n v="0.28849999999999998"/>
    <n v="0.1"/>
    <n v="5.7000000000000002E-2"/>
    <n v="0.1135"/>
    <n v="15"/>
    <n v="1"/>
    <s v="Jan"/>
    <s v="Odom"/>
    <s v="University of Houston"/>
    <n v="9"/>
    <x v="7"/>
    <n v="1.9"/>
    <s v="Category 2"/>
    <e v="#N/A"/>
    <s v="Yes"/>
    <e v="#N/A"/>
    <n v="0.93462958333333335"/>
    <n v="0.74770366666666677"/>
    <x v="0"/>
    <x v="195"/>
    <x v="1"/>
  </r>
  <r>
    <n v="1348"/>
    <s v="I"/>
    <n v="0.59"/>
    <n v="0.44500000000000001"/>
    <n v="0.13500000000000001"/>
    <n v="0.77149999999999996"/>
    <n v="0.32800000000000001"/>
    <n v="0.17449999999999999"/>
    <n v="0.23"/>
    <n v="9"/>
    <n v="15"/>
    <s v="Conan"/>
    <s v="Dalton"/>
    <s v="University of Houston"/>
    <n v="4"/>
    <x v="2"/>
    <n v="6.1"/>
    <s v="Category 2"/>
    <e v="#N/A"/>
    <s v="Yes"/>
    <e v="#N/A"/>
    <n v="1.0109254166666666"/>
    <n v="0.80874033333333328"/>
    <x v="0"/>
    <x v="196"/>
    <x v="1"/>
  </r>
  <r>
    <n v="2158"/>
    <s v="M"/>
    <n v="0.62"/>
    <n v="0.495"/>
    <n v="0.17499999999999999"/>
    <n v="1.806"/>
    <n v="0.64300000000000002"/>
    <n v="0.32850000000000001"/>
    <n v="0.72499999999999998"/>
    <n v="17"/>
    <n v="11"/>
    <s v="Naima"/>
    <s v="Reyes"/>
    <s v="University of Houston"/>
    <n v="3"/>
    <x v="9"/>
    <n v="3.6"/>
    <s v="Category 2"/>
    <e v="#N/A"/>
    <s v="Yes"/>
    <e v="#N/A"/>
    <n v="1.0039416666666667"/>
    <n v="0.80315333333333339"/>
    <x v="0"/>
    <x v="197"/>
    <x v="1"/>
  </r>
  <r>
    <n v="2507"/>
    <s v="I"/>
    <n v="0.375"/>
    <n v="0.3"/>
    <n v="7.4999999999999997E-2"/>
    <n v="0.14399999999999999"/>
    <n v="5.8999999999999997E-2"/>
    <n v="0.03"/>
    <n v="4.3999999999999997E-2"/>
    <n v="7"/>
    <n v="3"/>
    <s v="Inaya"/>
    <s v="Bernard"/>
    <s v="Stanford University"/>
    <n v="8"/>
    <x v="4"/>
    <n v="12.3"/>
    <s v="Category 2"/>
    <e v="#N/A"/>
    <s v="Yes"/>
    <e v="#N/A"/>
    <n v="0.91720000000000002"/>
    <n v="0.73376000000000008"/>
    <x v="0"/>
    <x v="198"/>
    <x v="1"/>
  </r>
  <r>
    <n v="64"/>
    <s v="M"/>
    <n v="0.42499999999999999"/>
    <n v="0.32500000000000001"/>
    <n v="9.5000000000000001E-2"/>
    <n v="0.3785"/>
    <n v="0.17050000000000001"/>
    <n v="0.08"/>
    <n v="0.1"/>
    <n v="7"/>
    <n v="4"/>
    <s v="Nate"/>
    <s v="Craig"/>
    <s v="NOAA Fisheries"/>
    <n v="6"/>
    <x v="8"/>
    <n v="14.1"/>
    <s v="Category 2"/>
    <e v="#N/A"/>
    <s v="Yes"/>
    <e v="#N/A"/>
    <n v="0.93075958333333331"/>
    <n v="0.74460766666666667"/>
    <x v="0"/>
    <x v="199"/>
    <x v="1"/>
  </r>
  <r>
    <n v="2837"/>
    <s v="M"/>
    <n v="0.57999999999999996"/>
    <n v="0.44500000000000001"/>
    <n v="0.16"/>
    <n v="0.98399999999999999"/>
    <n v="0.49"/>
    <n v="0.20100000000000001"/>
    <n v="0.27"/>
    <n v="9"/>
    <n v="5"/>
    <s v="Haniya"/>
    <s v="Talley"/>
    <s v="Prince William Sound Science Center"/>
    <n v="2"/>
    <x v="1"/>
    <n v="18"/>
    <s v="Category 3"/>
    <e v="#N/A"/>
    <e v="#N/A"/>
    <s v="Yes"/>
    <n v="1.0023066666666665"/>
    <n v="1.0023066666666665"/>
    <x v="0"/>
    <x v="0"/>
    <x v="130"/>
  </r>
  <r>
    <n v="2732"/>
    <s v="I"/>
    <n v="0.41"/>
    <n v="0.315"/>
    <n v="0.1"/>
    <n v="0.3"/>
    <n v="0.124"/>
    <n v="5.7500000000000002E-2"/>
    <n v="0.1"/>
    <n v="8"/>
    <n v="10"/>
    <s v="Hazel"/>
    <s v="Villa"/>
    <s v="University of Minnesota"/>
    <n v="2"/>
    <x v="1"/>
    <n v="18"/>
    <s v="Category 2"/>
    <e v="#N/A"/>
    <s v="Yes"/>
    <e v="#N/A"/>
    <n v="0.92666666666666664"/>
    <n v="0.7413333333333334"/>
    <x v="0"/>
    <x v="200"/>
    <x v="1"/>
  </r>
  <r>
    <n v="887"/>
    <s v="F"/>
    <n v="0.67500000000000004"/>
    <n v="0.52500000000000002"/>
    <n v="0.17"/>
    <n v="1.8095000000000001"/>
    <n v="0.78400000000000003"/>
    <n v="0.39100000000000001"/>
    <n v="0.45500000000000002"/>
    <n v="12"/>
    <n v="1"/>
    <s v="Jan"/>
    <s v="Odom"/>
    <s v="University of Houston"/>
    <n v="3"/>
    <x v="9"/>
    <n v="3.6"/>
    <s v="Category 3"/>
    <e v="#N/A"/>
    <e v="#N/A"/>
    <s v="Yes"/>
    <n v="1.0306358333333334"/>
    <n v="1.0306358333333334"/>
    <x v="0"/>
    <x v="0"/>
    <x v="131"/>
  </r>
  <r>
    <n v="3131"/>
    <s v="M"/>
    <n v="0.67"/>
    <n v="0.51500000000000001"/>
    <n v="0.16500000000000001"/>
    <n v="1.1735"/>
    <n v="0.52600000000000002"/>
    <n v="0.28499999999999998"/>
    <n v="0.316"/>
    <n v="11"/>
    <n v="14"/>
    <s v="Santiago"/>
    <s v="Vaughan"/>
    <s v="Ohio State University_x0009_"/>
    <n v="3"/>
    <x v="9"/>
    <n v="3.6"/>
    <s v="Category 3"/>
    <e v="#N/A"/>
    <e v="#N/A"/>
    <s v="Yes"/>
    <n v="1.0490379166666666"/>
    <n v="1.0490379166666666"/>
    <x v="0"/>
    <x v="0"/>
    <x v="132"/>
  </r>
  <r>
    <n v="3172"/>
    <s v="M"/>
    <n v="0.52500000000000002"/>
    <n v="0.40500000000000003"/>
    <n v="0.16"/>
    <n v="0.79200000000000004"/>
    <n v="0.316"/>
    <n v="0.14549999999999999"/>
    <n v="0.28000000000000003"/>
    <n v="13"/>
    <n v="10"/>
    <s v="Hazel"/>
    <s v="Villa"/>
    <s v="University of Minnesota"/>
    <n v="8"/>
    <x v="4"/>
    <n v="12.3"/>
    <s v="Category 2"/>
    <e v="#N/A"/>
    <s v="Yes"/>
    <e v="#N/A"/>
    <n v="0.97831999999999997"/>
    <n v="0.78265600000000002"/>
    <x v="0"/>
    <x v="201"/>
    <x v="1"/>
  </r>
  <r>
    <n v="868"/>
    <s v="F"/>
    <n v="0.61499999999999999"/>
    <n v="0.5"/>
    <n v="0.17499999999999999"/>
    <n v="1.377"/>
    <n v="0.5585"/>
    <n v="0.33"/>
    <n v="0.29199999999999998"/>
    <n v="12"/>
    <n v="13"/>
    <s v="Betty"/>
    <s v="Berg"/>
    <s v="University of Houston"/>
    <n v="1"/>
    <x v="0"/>
    <n v="22.1"/>
    <s v="Category 3"/>
    <e v="#N/A"/>
    <e v="#N/A"/>
    <s v="Yes"/>
    <n v="1.0200291666666668"/>
    <n v="1.0200291666666668"/>
    <x v="0"/>
    <x v="0"/>
    <x v="133"/>
  </r>
  <r>
    <n v="721"/>
    <s v="I"/>
    <n v="0.16"/>
    <n v="0.11"/>
    <n v="2.5000000000000001E-2"/>
    <n v="1.7999999999999999E-2"/>
    <n v="6.4999999999999997E-3"/>
    <n v="5.4999999999999997E-3"/>
    <n v="5.0000000000000001E-3"/>
    <n v="3"/>
    <n v="2"/>
    <s v="Tiegan"/>
    <s v="Davie"/>
    <s v="University of California, Davis"/>
    <n v="7"/>
    <x v="6"/>
    <n v="2.5"/>
    <s v="Category 2"/>
    <e v="#N/A"/>
    <s v="Yes"/>
    <e v="#N/A"/>
    <n v="0.78887499999999999"/>
    <n v="0.63109999999999999"/>
    <x v="0"/>
    <x v="202"/>
    <x v="1"/>
  </r>
  <r>
    <n v="1408"/>
    <s v="M"/>
    <n v="0.65500000000000003"/>
    <n v="0.49"/>
    <n v="0.17499999999999999"/>
    <n v="1.3585"/>
    <n v="0.63949999999999996"/>
    <n v="0.29399999999999998"/>
    <n v="0.36499999999999999"/>
    <n v="10"/>
    <n v="2"/>
    <s v="Tiegan"/>
    <s v="Davie"/>
    <s v="University of California, Davis"/>
    <n v="4"/>
    <x v="2"/>
    <n v="6.1"/>
    <s v="Category 3"/>
    <e v="#N/A"/>
    <e v="#N/A"/>
    <s v="Yes"/>
    <n v="1.0307229166666667"/>
    <n v="1.0307229166666667"/>
    <x v="0"/>
    <x v="0"/>
    <x v="134"/>
  </r>
  <r>
    <n v="928"/>
    <s v="I"/>
    <n v="0.435"/>
    <n v="0.32500000000000001"/>
    <n v="0.12"/>
    <n v="0.39950000000000002"/>
    <n v="0.18149999999999999"/>
    <n v="6.0999999999999999E-2"/>
    <n v="0.1125"/>
    <n v="8"/>
    <n v="2"/>
    <s v="Tiegan"/>
    <s v="Davie"/>
    <s v="University of California, Davis"/>
    <n v="6"/>
    <x v="8"/>
    <n v="14.1"/>
    <s v="Category 2"/>
    <e v="#N/A"/>
    <s v="Yes"/>
    <e v="#N/A"/>
    <n v="0.93468999999999991"/>
    <n v="0.74775199999999997"/>
    <x v="0"/>
    <x v="203"/>
    <x v="1"/>
  </r>
  <r>
    <n v="1699"/>
    <s v="M"/>
    <n v="0.63"/>
    <n v="0.495"/>
    <n v="0.17499999999999999"/>
    <n v="1.2695000000000001"/>
    <n v="0.60499999999999998"/>
    <n v="0.27100000000000002"/>
    <n v="0.32800000000000001"/>
    <n v="11"/>
    <n v="8"/>
    <s v="Kali"/>
    <s v="Metcalfe"/>
    <s v="Mote Marine Laboratory"/>
    <n v="1"/>
    <x v="0"/>
    <n v="22.1"/>
    <s v="Category 3"/>
    <e v="#N/A"/>
    <e v="#N/A"/>
    <s v="Yes"/>
    <n v="1.0273937500000001"/>
    <n v="1.0273937500000001"/>
    <x v="0"/>
    <x v="0"/>
    <x v="135"/>
  </r>
  <r>
    <n v="3445"/>
    <s v="F"/>
    <n v="0.49"/>
    <n v="0.4"/>
    <n v="0.115"/>
    <n v="0.56899999999999995"/>
    <n v="0.25600000000000001"/>
    <n v="0.13250000000000001"/>
    <n v="0.14499999999999999"/>
    <n v="9"/>
    <n v="10"/>
    <s v="Hazel"/>
    <s v="Villa"/>
    <s v="University of Minnesota"/>
    <n v="9"/>
    <x v="7"/>
    <n v="1.9"/>
    <s v="Category 2"/>
    <e v="#N/A"/>
    <s v="Yes"/>
    <e v="#N/A"/>
    <n v="0.96963916666666672"/>
    <n v="0.77571133333333342"/>
    <x v="0"/>
    <x v="204"/>
    <x v="1"/>
  </r>
  <r>
    <n v="2086"/>
    <s v="F"/>
    <n v="0.70499999999999996"/>
    <n v="0.56999999999999995"/>
    <n v="0.185"/>
    <n v="1.7609999999999999"/>
    <n v="0.747"/>
    <n v="0.3725"/>
    <n v="0.48799999999999999"/>
    <n v="10"/>
    <n v="11"/>
    <s v="Naima"/>
    <s v="Reyes"/>
    <s v="University of Houston"/>
    <n v="6"/>
    <x v="8"/>
    <n v="14.1"/>
    <s v="Category 3"/>
    <e v="#N/A"/>
    <e v="#N/A"/>
    <s v="Yes"/>
    <n v="1.0618974999999999"/>
    <n v="1.0618974999999999"/>
    <x v="0"/>
    <x v="0"/>
    <x v="136"/>
  </r>
  <r>
    <n v="2076"/>
    <s v="M"/>
    <n v="0.59499999999999997"/>
    <n v="0.46500000000000002"/>
    <n v="0.15"/>
    <n v="0.91900000000000004"/>
    <n v="0.4335"/>
    <n v="0.17649999999999999"/>
    <n v="0.26200000000000001"/>
    <n v="9"/>
    <n v="9"/>
    <s v="Danica"/>
    <s v="Tyler"/>
    <s v="University of Florida_x0009_"/>
    <n v="7"/>
    <x v="6"/>
    <n v="2.5"/>
    <s v="Category 3"/>
    <e v="#N/A"/>
    <e v="#N/A"/>
    <s v="Yes"/>
    <n v="1.0150416666666668"/>
    <n v="1.0150416666666668"/>
    <x v="0"/>
    <x v="0"/>
    <x v="137"/>
  </r>
  <r>
    <n v="533"/>
    <s v="I"/>
    <n v="0.47"/>
    <n v="0.37"/>
    <n v="0.12"/>
    <n v="0.47049999999999997"/>
    <n v="0.1845"/>
    <n v="0.1055"/>
    <n v="0.155"/>
    <n v="12"/>
    <n v="12"/>
    <s v="Rebecca"/>
    <s v="Bennett"/>
    <s v="University of Houston"/>
    <n v="3"/>
    <x v="9"/>
    <n v="3.6"/>
    <s v="Category 2"/>
    <e v="#N/A"/>
    <s v="Yes"/>
    <e v="#N/A"/>
    <n v="0.95804333333333336"/>
    <n v="0.76643466666666671"/>
    <x v="0"/>
    <x v="205"/>
    <x v="1"/>
  </r>
  <r>
    <n v="3443"/>
    <s v="M"/>
    <n v="0.48"/>
    <n v="0.37"/>
    <n v="0.13"/>
    <n v="0.64300000000000002"/>
    <n v="0.34899999999999998"/>
    <n v="0.11550000000000001"/>
    <n v="0.13500000000000001"/>
    <n v="8"/>
    <n v="12"/>
    <s v="Rebecca"/>
    <s v="Bennett"/>
    <s v="University of Houston"/>
    <n v="10"/>
    <x v="5"/>
    <n v="24.1"/>
    <s v="Category 2"/>
    <e v="#N/A"/>
    <s v="Yes"/>
    <e v="#N/A"/>
    <n v="0.95439833333333324"/>
    <n v="0.76351866666666668"/>
    <x v="0"/>
    <x v="206"/>
    <x v="1"/>
  </r>
  <r>
    <n v="2496"/>
    <s v="M"/>
    <n v="0.45"/>
    <n v="0.36"/>
    <n v="0.16"/>
    <n v="0.56699999999999995"/>
    <n v="0.17399999999999999"/>
    <n v="0.1245"/>
    <n v="0.22500000000000001"/>
    <n v="12"/>
    <n v="14"/>
    <s v="Santiago"/>
    <s v="Vaughan"/>
    <s v="Ohio State University_x0009_"/>
    <n v="3"/>
    <x v="9"/>
    <n v="3.6"/>
    <s v="Category 2"/>
    <e v="#N/A"/>
    <s v="Yes"/>
    <e v="#N/A"/>
    <n v="0.94732000000000005"/>
    <n v="0.75785600000000009"/>
    <x v="0"/>
    <x v="207"/>
    <x v="1"/>
  </r>
  <r>
    <n v="903"/>
    <s v="I"/>
    <n v="0.30499999999999999"/>
    <n v="0.22"/>
    <n v="7.0000000000000007E-2"/>
    <n v="0.14099999999999999"/>
    <n v="6.2E-2"/>
    <n v="3.1E-2"/>
    <n v="3.6999999999999998E-2"/>
    <n v="5"/>
    <n v="5"/>
    <s v="Haniya"/>
    <s v="Talley"/>
    <s v="Prince William Sound Science Center"/>
    <n v="1"/>
    <x v="0"/>
    <n v="22.1"/>
    <s v="Category 2"/>
    <e v="#N/A"/>
    <s v="Yes"/>
    <e v="#N/A"/>
    <n v="0.86724500000000004"/>
    <n v="0.69379600000000008"/>
    <x v="0"/>
    <x v="208"/>
    <x v="1"/>
  </r>
  <r>
    <n v="3222"/>
    <s v="M"/>
    <n v="0.38500000000000001"/>
    <n v="0.30499999999999999"/>
    <n v="0.09"/>
    <n v="0.27750000000000002"/>
    <n v="0.109"/>
    <n v="5.1499999999999997E-2"/>
    <n v="0.1"/>
    <n v="9"/>
    <n v="5"/>
    <s v="Haniya"/>
    <s v="Talley"/>
    <s v="Prince William Sound Science Center"/>
    <n v="7"/>
    <x v="6"/>
    <n v="2.5"/>
    <s v="Category 2"/>
    <e v="#N/A"/>
    <s v="Yes"/>
    <e v="#N/A"/>
    <n v="0.91566249999999993"/>
    <n v="0.73253000000000001"/>
    <x v="0"/>
    <x v="209"/>
    <x v="1"/>
  </r>
  <r>
    <n v="792"/>
    <s v="F"/>
    <n v="0.48499999999999999"/>
    <n v="0.375"/>
    <n v="0.13500000000000001"/>
    <n v="0.55600000000000005"/>
    <n v="0.1925"/>
    <n v="0.13150000000000001"/>
    <n v="0.16850000000000001"/>
    <n v="10"/>
    <n v="11"/>
    <s v="Naima"/>
    <s v="Reyes"/>
    <s v="University of Houston"/>
    <n v="9"/>
    <x v="7"/>
    <n v="1.9"/>
    <s v="Category 2"/>
    <e v="#N/A"/>
    <s v="Yes"/>
    <e v="#N/A"/>
    <n v="0.96211000000000002"/>
    <n v="0.76968800000000004"/>
    <x v="0"/>
    <x v="210"/>
    <x v="1"/>
  </r>
  <r>
    <n v="376"/>
    <s v="F"/>
    <n v="0.67500000000000004"/>
    <n v="0.54500000000000004"/>
    <n v="0.19500000000000001"/>
    <n v="1.7344999999999999"/>
    <n v="0.6845"/>
    <n v="0.3695"/>
    <n v="0.60499999999999998"/>
    <n v="20"/>
    <n v="5"/>
    <s v="Haniya"/>
    <s v="Talley"/>
    <s v="Prince William Sound Science Center"/>
    <n v="3"/>
    <x v="9"/>
    <n v="3.6"/>
    <s v="Category 2"/>
    <e v="#N/A"/>
    <s v="Yes"/>
    <e v="#N/A"/>
    <n v="1.0474045833333334"/>
    <n v="0.83792366666666673"/>
    <x v="0"/>
    <x v="211"/>
    <x v="1"/>
  </r>
  <r>
    <n v="1984"/>
    <s v="F"/>
    <n v="0.72499999999999998"/>
    <n v="0.56999999999999995"/>
    <n v="0.20499999999999999"/>
    <n v="1.6194999999999999"/>
    <n v="0.74399999999999999"/>
    <n v="0.315"/>
    <n v="0.48799999999999999"/>
    <n v="11"/>
    <n v="3"/>
    <s v="Inaya"/>
    <s v="Bernard"/>
    <s v="Stanford University"/>
    <n v="8"/>
    <x v="4"/>
    <n v="12.3"/>
    <s v="Category 3"/>
    <e v="#N/A"/>
    <e v="#N/A"/>
    <s v="Yes"/>
    <n v="1.0790329166666666"/>
    <n v="1.0790329166666666"/>
    <x v="0"/>
    <x v="0"/>
    <x v="138"/>
  </r>
  <r>
    <n v="3456"/>
    <s v="M"/>
    <n v="0.6"/>
    <n v="0.47499999999999998"/>
    <n v="0.155"/>
    <n v="1.1385000000000001"/>
    <n v="0.502"/>
    <n v="0.22950000000000001"/>
    <n v="0.31"/>
    <n v="9"/>
    <n v="4"/>
    <s v="Nate"/>
    <s v="Craig"/>
    <s v="NOAA Fisheries"/>
    <n v="1"/>
    <x v="0"/>
    <n v="22.1"/>
    <s v="Category 3"/>
    <e v="#N/A"/>
    <e v="#N/A"/>
    <s v="Yes"/>
    <n v="1.0118445833333332"/>
    <n v="1.0118445833333332"/>
    <x v="0"/>
    <x v="0"/>
    <x v="139"/>
  </r>
  <r>
    <n v="3663"/>
    <s v="I"/>
    <n v="0.55000000000000004"/>
    <n v="0.45"/>
    <n v="0.14000000000000001"/>
    <n v="0.753"/>
    <n v="0.34449999999999997"/>
    <n v="0.13250000000000001"/>
    <n v="0.24"/>
    <n v="8"/>
    <n v="15"/>
    <s v="Conan"/>
    <s v="Dalton"/>
    <s v="University of Houston"/>
    <n v="7"/>
    <x v="6"/>
    <n v="2.5"/>
    <s v="Category 2"/>
    <e v="#N/A"/>
    <s v="Yes"/>
    <e v="#N/A"/>
    <n v="1.0007033333333333"/>
    <n v="0.80056266666666664"/>
    <x v="0"/>
    <x v="212"/>
    <x v="1"/>
  </r>
  <r>
    <n v="369"/>
    <s v="M"/>
    <n v="0.63"/>
    <n v="0.49"/>
    <n v="0.18"/>
    <n v="1.1299999999999999"/>
    <n v="0.45800000000000002"/>
    <n v="0.27650000000000002"/>
    <n v="0.315"/>
    <n v="12"/>
    <n v="12"/>
    <s v="Rebecca"/>
    <s v="Bennett"/>
    <s v="University of Houston"/>
    <n v="10"/>
    <x v="5"/>
    <n v="24.1"/>
    <s v="Category 3"/>
    <e v="#N/A"/>
    <e v="#N/A"/>
    <s v="Yes"/>
    <n v="1.0319"/>
    <n v="1.0319"/>
    <x v="0"/>
    <x v="0"/>
    <x v="140"/>
  </r>
  <r>
    <n v="3453"/>
    <s v="F"/>
    <n v="0.55500000000000005"/>
    <n v="0.44"/>
    <n v="0.14499999999999999"/>
    <n v="0.88149999999999995"/>
    <n v="0.43"/>
    <n v="0.19750000000000001"/>
    <n v="0.2155"/>
    <n v="8"/>
    <n v="4"/>
    <s v="Nate"/>
    <s v="Craig"/>
    <s v="NOAA Fisheries"/>
    <n v="6"/>
    <x v="8"/>
    <n v="14.1"/>
    <s v="Category 3"/>
    <e v="#N/A"/>
    <e v="#N/A"/>
    <s v="Yes"/>
    <n v="0.99420291666666671"/>
    <n v="0.99420291666666671"/>
    <x v="0"/>
    <x v="0"/>
    <x v="141"/>
  </r>
  <r>
    <n v="3607"/>
    <s v="F"/>
    <n v="0.51"/>
    <n v="0.375"/>
    <n v="0.11"/>
    <n v="0.58050000000000002"/>
    <n v="0.28649999999999998"/>
    <n v="0.11799999999999999"/>
    <n v="0.14799999999999999"/>
    <n v="7"/>
    <n v="9"/>
    <s v="Danica"/>
    <s v="Tyler"/>
    <s v="University of Florida_x0009_"/>
    <n v="8"/>
    <x v="4"/>
    <n v="12.3"/>
    <s v="Category 2"/>
    <e v="#N/A"/>
    <s v="Yes"/>
    <e v="#N/A"/>
    <n v="0.96694250000000015"/>
    <n v="0.77355400000000019"/>
    <x v="0"/>
    <x v="213"/>
    <x v="1"/>
  </r>
  <r>
    <n v="3686"/>
    <s v="M"/>
    <n v="0.62"/>
    <n v="0.48"/>
    <n v="0.16500000000000001"/>
    <n v="1.0854999999999999"/>
    <n v="0.48099999999999998"/>
    <n v="0.25750000000000001"/>
    <n v="0.30499999999999999"/>
    <n v="10"/>
    <n v="10"/>
    <s v="Hazel"/>
    <s v="Villa"/>
    <s v="University of Minnesota"/>
    <n v="9"/>
    <x v="7"/>
    <n v="1.9"/>
    <s v="Category 3"/>
    <e v="#N/A"/>
    <e v="#N/A"/>
    <s v="Yes"/>
    <n v="1.0241512500000001"/>
    <n v="1.0241512500000001"/>
    <x v="0"/>
    <x v="0"/>
    <x v="142"/>
  </r>
  <r>
    <n v="2977"/>
    <s v="I"/>
    <n v="0.43"/>
    <n v="0.34499999999999997"/>
    <n v="0.115"/>
    <n v="0.42949999999999999"/>
    <n v="0.21199999999999999"/>
    <n v="0.108"/>
    <n v="0.109"/>
    <n v="8"/>
    <n v="6"/>
    <s v="Martin"/>
    <s v="Gaines"/>
    <s v="San Diego State University"/>
    <n v="5"/>
    <x v="3"/>
    <n v="12.8"/>
    <s v="Category 2"/>
    <e v="#N/A"/>
    <s v="Yes"/>
    <e v="#N/A"/>
    <n v="0.93793208333333333"/>
    <n v="0.75034566666666669"/>
    <x v="0"/>
    <x v="214"/>
    <x v="1"/>
  </r>
  <r>
    <n v="3394"/>
    <s v="M"/>
    <n v="0.57499999999999996"/>
    <n v="0.435"/>
    <n v="0.13"/>
    <n v="1.0105"/>
    <n v="0.36799999999999999"/>
    <n v="0.222"/>
    <n v="0.32"/>
    <n v="10"/>
    <n v="4"/>
    <s v="Nate"/>
    <s v="Craig"/>
    <s v="NOAA Fisheries"/>
    <n v="4"/>
    <x v="2"/>
    <n v="6.1"/>
    <s v="Category 2"/>
    <e v="#N/A"/>
    <s v="Yes"/>
    <e v="#N/A"/>
    <n v="0.9911941666666666"/>
    <n v="0.79295533333333335"/>
    <x v="0"/>
    <x v="215"/>
    <x v="1"/>
  </r>
  <r>
    <n v="907"/>
    <s v="I"/>
    <n v="0.32500000000000001"/>
    <n v="0.24"/>
    <n v="7.4999999999999997E-2"/>
    <n v="0.187"/>
    <n v="8.2500000000000004E-2"/>
    <n v="4.4499999999999998E-2"/>
    <n v="0.05"/>
    <n v="6"/>
    <n v="4"/>
    <s v="Nate"/>
    <s v="Craig"/>
    <s v="NOAA Fisheries"/>
    <n v="8"/>
    <x v="4"/>
    <n v="12.3"/>
    <s v="Category 2"/>
    <e v="#N/A"/>
    <s v="Yes"/>
    <e v="#N/A"/>
    <n v="0.87820416666666667"/>
    <n v="0.70256333333333343"/>
    <x v="0"/>
    <x v="216"/>
    <x v="1"/>
  </r>
  <r>
    <n v="522"/>
    <s v="F"/>
    <n v="0.36"/>
    <n v="0.27"/>
    <n v="0.09"/>
    <n v="0.1885"/>
    <n v="8.4500000000000006E-2"/>
    <n v="3.85E-2"/>
    <n v="5.5E-2"/>
    <n v="5"/>
    <n v="13"/>
    <s v="Betty"/>
    <s v="Berg"/>
    <s v="University of Houston"/>
    <n v="5"/>
    <x v="3"/>
    <n v="12.8"/>
    <s v="Category 2"/>
    <e v="#N/A"/>
    <s v="Yes"/>
    <e v="#N/A"/>
    <n v="0.9002608333333334"/>
    <n v="0.72020866666666672"/>
    <x v="0"/>
    <x v="217"/>
    <x v="1"/>
  </r>
  <r>
    <n v="399"/>
    <s v="M"/>
    <n v="0.53500000000000003"/>
    <n v="0.44"/>
    <n v="0.15"/>
    <n v="0.67649999999999999"/>
    <n v="0.25600000000000001"/>
    <n v="0.13900000000000001"/>
    <n v="0.26"/>
    <n v="12"/>
    <n v="5"/>
    <s v="Haniya"/>
    <s v="Talley"/>
    <s v="Prince William Sound Science Center"/>
    <n v="5"/>
    <x v="3"/>
    <n v="12.8"/>
    <s v="Category 2"/>
    <e v="#N/A"/>
    <s v="Yes"/>
    <e v="#N/A"/>
    <n v="0.9968125000000001"/>
    <n v="0.7974500000000001"/>
    <x v="0"/>
    <x v="218"/>
    <x v="1"/>
  </r>
  <r>
    <n v="1919"/>
    <s v="F"/>
    <n v="0.6"/>
    <n v="0.46500000000000002"/>
    <n v="0.16"/>
    <n v="1.133"/>
    <n v="0.46600000000000003"/>
    <n v="0.28849999999999998"/>
    <n v="0.29799999999999999"/>
    <n v="11"/>
    <n v="14"/>
    <s v="Santiago"/>
    <s v="Vaughan"/>
    <s v="Ohio State University_x0009_"/>
    <n v="10"/>
    <x v="5"/>
    <n v="24.1"/>
    <s v="Category 3"/>
    <e v="#N/A"/>
    <e v="#N/A"/>
    <s v="Yes"/>
    <n v="1.0096799999999999"/>
    <n v="1.0096799999999999"/>
    <x v="0"/>
    <x v="0"/>
    <x v="143"/>
  </r>
  <r>
    <n v="1476"/>
    <s v="F"/>
    <n v="0.56000000000000005"/>
    <n v="0.43"/>
    <n v="0.15"/>
    <n v="0.87450000000000006"/>
    <n v="0.45300000000000001"/>
    <n v="0.161"/>
    <n v="0.22"/>
    <n v="8"/>
    <n v="10"/>
    <s v="Hazel"/>
    <s v="Villa"/>
    <s v="University of Minnesota"/>
    <n v="9"/>
    <x v="7"/>
    <n v="1.9"/>
    <s v="Category 3"/>
    <e v="#N/A"/>
    <e v="#N/A"/>
    <s v="Yes"/>
    <n v="0.99356250000000002"/>
    <n v="0.99356250000000002"/>
    <x v="0"/>
    <x v="0"/>
    <x v="144"/>
  </r>
  <r>
    <n v="3495"/>
    <s v="F"/>
    <n v="0.55500000000000005"/>
    <n v="0.43"/>
    <n v="0.13500000000000001"/>
    <n v="0.81200000000000006"/>
    <n v="0.40550000000000003"/>
    <n v="0.16300000000000001"/>
    <n v="0.2215"/>
    <n v="9"/>
    <n v="11"/>
    <s v="Naima"/>
    <s v="Reyes"/>
    <s v="University of Houston"/>
    <n v="7"/>
    <x v="6"/>
    <n v="2.5"/>
    <s v="Category 3"/>
    <e v="#N/A"/>
    <e v="#N/A"/>
    <s v="Yes"/>
    <n v="0.99246999999999996"/>
    <n v="0.99246999999999996"/>
    <x v="0"/>
    <x v="0"/>
    <x v="145"/>
  </r>
  <r>
    <n v="3742"/>
    <s v="F"/>
    <n v="0.67"/>
    <n v="0.52500000000000002"/>
    <n v="0.19500000000000001"/>
    <n v="1.37"/>
    <n v="0.60650000000000004"/>
    <n v="0.29549999999999998"/>
    <n v="0.40699999999999997"/>
    <n v="12"/>
    <n v="5"/>
    <s v="Haniya"/>
    <s v="Talley"/>
    <s v="Prince William Sound Science Center"/>
    <n v="10"/>
    <x v="5"/>
    <n v="24.1"/>
    <s v="Category 3"/>
    <e v="#N/A"/>
    <e v="#N/A"/>
    <s v="Yes"/>
    <n v="1.051525"/>
    <n v="1.051525"/>
    <x v="0"/>
    <x v="0"/>
    <x v="146"/>
  </r>
  <r>
    <n v="2326"/>
    <s v="F"/>
    <n v="0.41499999999999998"/>
    <n v="0.30499999999999999"/>
    <n v="0.105"/>
    <n v="0.36049999999999999"/>
    <n v="0.12"/>
    <n v="8.2000000000000003E-2"/>
    <n v="0.1"/>
    <n v="10"/>
    <n v="13"/>
    <s v="Betty"/>
    <s v="Berg"/>
    <s v="University of Houston"/>
    <n v="2"/>
    <x v="1"/>
    <n v="18"/>
    <s v="Category 2"/>
    <e v="#N/A"/>
    <s v="Yes"/>
    <e v="#N/A"/>
    <n v="0.92227541666666657"/>
    <n v="0.7378203333333333"/>
    <x v="0"/>
    <x v="219"/>
    <x v="1"/>
  </r>
  <r>
    <n v="264"/>
    <s v="I"/>
    <n v="0.245"/>
    <n v="0.19500000000000001"/>
    <n v="0.06"/>
    <n v="9.5000000000000001E-2"/>
    <n v="4.4499999999999998E-2"/>
    <n v="2.4500000000000001E-2"/>
    <n v="2.5999999999999999E-2"/>
    <n v="4"/>
    <n v="10"/>
    <s v="Hazel"/>
    <s v="Villa"/>
    <s v="University of Minnesota"/>
    <n v="5"/>
    <x v="3"/>
    <n v="12.8"/>
    <s v="Category 2"/>
    <e v="#N/A"/>
    <s v="Yes"/>
    <e v="#N/A"/>
    <n v="0.84128333333333338"/>
    <n v="0.67302666666666677"/>
    <x v="0"/>
    <x v="220"/>
    <x v="1"/>
  </r>
  <r>
    <n v="820"/>
    <s v="I"/>
    <n v="0.36"/>
    <n v="0.3"/>
    <n v="8.5000000000000006E-2"/>
    <n v="0.27"/>
    <n v="0.11849999999999999"/>
    <n v="6.4000000000000001E-2"/>
    <n v="7.4499999999999997E-2"/>
    <n v="7"/>
    <n v="10"/>
    <s v="Hazel"/>
    <s v="Villa"/>
    <s v="University of Minnesota"/>
    <n v="3"/>
    <x v="9"/>
    <n v="3.6"/>
    <s v="Category 2"/>
    <e v="#N/A"/>
    <s v="Yes"/>
    <e v="#N/A"/>
    <n v="0.90582499999999999"/>
    <n v="0.72466000000000008"/>
    <x v="0"/>
    <x v="221"/>
    <x v="1"/>
  </r>
  <r>
    <n v="3093"/>
    <s v="M"/>
    <n v="0.51"/>
    <n v="0.39500000000000002"/>
    <n v="0.125"/>
    <n v="0.58050000000000002"/>
    <n v="0.24399999999999999"/>
    <n v="0.13350000000000001"/>
    <n v="0.188"/>
    <n v="11"/>
    <n v="4"/>
    <s v="Nate"/>
    <s v="Craig"/>
    <s v="NOAA Fisheries"/>
    <n v="7"/>
    <x v="6"/>
    <n v="2.5"/>
    <s v="Category 2"/>
    <e v="#N/A"/>
    <s v="Yes"/>
    <e v="#N/A"/>
    <n v="0.97506041666666665"/>
    <n v="0.78004833333333334"/>
    <x v="0"/>
    <x v="222"/>
    <x v="1"/>
  </r>
  <r>
    <n v="246"/>
    <s v="I"/>
    <n v="0.35"/>
    <n v="0.26"/>
    <n v="8.5000000000000006E-2"/>
    <n v="0.17399999999999999"/>
    <n v="7.0499999999999993E-2"/>
    <n v="3.4500000000000003E-2"/>
    <n v="0.06"/>
    <n v="10"/>
    <n v="10"/>
    <s v="Hazel"/>
    <s v="Villa"/>
    <s v="University of Minnesota"/>
    <n v="6"/>
    <x v="8"/>
    <n v="14.1"/>
    <s v="Category 2"/>
    <e v="#N/A"/>
    <s v="Yes"/>
    <e v="#N/A"/>
    <n v="0.89419833333333332"/>
    <n v="0.7153586666666667"/>
    <x v="0"/>
    <x v="223"/>
    <x v="1"/>
  </r>
  <r>
    <n v="1660"/>
    <s v="F"/>
    <n v="0.6"/>
    <n v="0.48"/>
    <n v="0.18"/>
    <n v="1.0645"/>
    <n v="0.44950000000000001"/>
    <n v="0.2455"/>
    <n v="0.32500000000000001"/>
    <n v="10"/>
    <n v="6"/>
    <s v="Martin"/>
    <s v="Gaines"/>
    <s v="San Diego State University"/>
    <n v="4"/>
    <x v="2"/>
    <n v="6.1"/>
    <s v="Category 3"/>
    <e v="#N/A"/>
    <e v="#N/A"/>
    <s v="Yes"/>
    <n v="1.0209683333333333"/>
    <n v="1.0209683333333333"/>
    <x v="0"/>
    <x v="0"/>
    <x v="147"/>
  </r>
  <r>
    <n v="469"/>
    <s v="F"/>
    <n v="0.68"/>
    <n v="0.55000000000000004"/>
    <n v="0.21"/>
    <n v="1.7444999999999999"/>
    <n v="0.59750000000000003"/>
    <n v="0.30499999999999999"/>
    <n v="0.625"/>
    <n v="17"/>
    <n v="8"/>
    <s v="Kali"/>
    <s v="Metcalfe"/>
    <s v="Mote Marine Laboratory"/>
    <n v="7"/>
    <x v="6"/>
    <n v="2.5"/>
    <s v="Category 3"/>
    <e v="#N/A"/>
    <e v="#N/A"/>
    <s v="Yes"/>
    <n v="1.0547575"/>
    <n v="1.0547575"/>
    <x v="0"/>
    <x v="0"/>
    <x v="148"/>
  </r>
  <r>
    <n v="2191"/>
    <s v="M"/>
    <n v="0.57999999999999996"/>
    <n v="0.47"/>
    <n v="0.16500000000000001"/>
    <n v="0.92700000000000005"/>
    <n v="0.32150000000000001"/>
    <n v="0.19850000000000001"/>
    <n v="0.315"/>
    <n v="11"/>
    <n v="3"/>
    <s v="Inaya"/>
    <s v="Bernard"/>
    <s v="Stanford University"/>
    <n v="10"/>
    <x v="5"/>
    <n v="24.1"/>
    <s v="Category 2"/>
    <e v="#N/A"/>
    <s v="Yes"/>
    <e v="#N/A"/>
    <n v="1.0136924999999999"/>
    <n v="0.81095399999999995"/>
    <x v="0"/>
    <x v="224"/>
    <x v="1"/>
  </r>
  <r>
    <n v="3307"/>
    <s v="I"/>
    <n v="0.41"/>
    <n v="0.3"/>
    <n v="0.115"/>
    <n v="0.25950000000000001"/>
    <n v="9.7000000000000003E-2"/>
    <n v="5.1499999999999997E-2"/>
    <n v="0.08"/>
    <n v="10"/>
    <n v="14"/>
    <s v="Santiago"/>
    <s v="Vaughan"/>
    <s v="Ohio State University_x0009_"/>
    <n v="6"/>
    <x v="8"/>
    <n v="14.1"/>
    <s v="Category 2"/>
    <e v="#N/A"/>
    <s v="Yes"/>
    <e v="#N/A"/>
    <n v="0.92434041666666666"/>
    <n v="0.7394723333333334"/>
    <x v="0"/>
    <x v="225"/>
    <x v="1"/>
  </r>
  <r>
    <n v="3414"/>
    <s v="M"/>
    <n v="0.49"/>
    <n v="0.39500000000000002"/>
    <n v="0.12"/>
    <n v="0.67400000000000004"/>
    <n v="0.33250000000000002"/>
    <n v="0.1235"/>
    <n v="0.185"/>
    <n v="9"/>
    <n v="10"/>
    <s v="Hazel"/>
    <s v="Villa"/>
    <s v="University of Minnesota"/>
    <n v="3"/>
    <x v="9"/>
    <n v="3.6"/>
    <s v="Category 2"/>
    <e v="#N/A"/>
    <s v="Yes"/>
    <e v="#N/A"/>
    <n v="0.96354666666666666"/>
    <n v="0.77083733333333337"/>
    <x v="0"/>
    <x v="226"/>
    <x v="1"/>
  </r>
  <r>
    <n v="3926"/>
    <s v="F"/>
    <n v="0.47"/>
    <n v="0.35"/>
    <n v="0.115"/>
    <n v="0.48699999999999999"/>
    <n v="0.19550000000000001"/>
    <n v="0.127"/>
    <n v="0.155"/>
    <n v="8"/>
    <n v="1"/>
    <s v="Jan"/>
    <s v="Odom"/>
    <s v="University of Houston"/>
    <n v="9"/>
    <x v="7"/>
    <n v="1.9"/>
    <s v="Category 2"/>
    <e v="#N/A"/>
    <s v="Yes"/>
    <e v="#N/A"/>
    <n v="0.95020083333333327"/>
    <n v="0.76016066666666671"/>
    <x v="0"/>
    <x v="227"/>
    <x v="1"/>
  </r>
  <r>
    <n v="3477"/>
    <s v="I"/>
    <n v="0.4"/>
    <n v="0.28999999999999998"/>
    <n v="0.1"/>
    <n v="0.25800000000000001"/>
    <n v="0.104"/>
    <n v="5.8999999999999997E-2"/>
    <n v="8.1500000000000003E-2"/>
    <n v="7"/>
    <n v="7"/>
    <s v="Iona"/>
    <s v="Connolly"/>
    <s v="Florida Atlantic University"/>
    <n v="4"/>
    <x v="2"/>
    <n v="6.1"/>
    <s v="Category 2"/>
    <e v="#N/A"/>
    <s v="Yes"/>
    <e v="#N/A"/>
    <n v="0.91709999999999992"/>
    <n v="0.73368"/>
    <x v="0"/>
    <x v="228"/>
    <x v="1"/>
  </r>
  <r>
    <n v="2332"/>
    <s v="M"/>
    <n v="0.59"/>
    <n v="0.46"/>
    <n v="0.155"/>
    <n v="0.90600000000000003"/>
    <n v="0.32700000000000001"/>
    <n v="0.14849999999999999"/>
    <n v="0.33500000000000002"/>
    <n v="15"/>
    <n v="10"/>
    <s v="Hazel"/>
    <s v="Villa"/>
    <s v="University of Minnesota"/>
    <n v="2"/>
    <x v="1"/>
    <n v="18"/>
    <s v="Category 2"/>
    <e v="#N/A"/>
    <s v="Yes"/>
    <e v="#N/A"/>
    <n v="1.0130050000000002"/>
    <n v="0.81040400000000012"/>
    <x v="0"/>
    <x v="229"/>
    <x v="1"/>
  </r>
  <r>
    <n v="2835"/>
    <s v="F"/>
    <n v="0.56999999999999995"/>
    <n v="0.42499999999999999"/>
    <n v="0.13"/>
    <n v="0.78200000000000003"/>
    <n v="0.3695"/>
    <n v="0.17449999999999999"/>
    <n v="0.19650000000000001"/>
    <n v="8"/>
    <n v="9"/>
    <s v="Danica"/>
    <s v="Tyler"/>
    <s v="University of Florida_x0009_"/>
    <n v="2"/>
    <x v="1"/>
    <n v="18"/>
    <s v="Category 2"/>
    <e v="#N/A"/>
    <s v="Yes"/>
    <e v="#N/A"/>
    <n v="0.99647666666666668"/>
    <n v="0.79718133333333341"/>
    <x v="0"/>
    <x v="230"/>
    <x v="1"/>
  </r>
  <r>
    <n v="1484"/>
    <s v="M"/>
    <n v="0.59"/>
    <n v="0.44"/>
    <n v="0.15"/>
    <n v="0.87250000000000005"/>
    <n v="0.38700000000000001"/>
    <n v="0.215"/>
    <n v="0.245"/>
    <n v="8"/>
    <n v="2"/>
    <s v="Tiegan"/>
    <s v="Davie"/>
    <s v="University of California, Davis"/>
    <n v="1"/>
    <x v="0"/>
    <n v="22.1"/>
    <s v="Category 2"/>
    <e v="#N/A"/>
    <s v="Yes"/>
    <e v="#N/A"/>
    <n v="1.0069791666666668"/>
    <n v="0.80558333333333343"/>
    <x v="0"/>
    <x v="231"/>
    <x v="1"/>
  </r>
  <r>
    <n v="3272"/>
    <s v="M"/>
    <n v="0.52"/>
    <n v="0.42499999999999999"/>
    <n v="0.155"/>
    <n v="0.77349999999999997"/>
    <n v="0.29699999999999999"/>
    <n v="0.123"/>
    <n v="0.255"/>
    <n v="17"/>
    <n v="5"/>
    <s v="Haniya"/>
    <s v="Talley"/>
    <s v="Prince William Sound Science Center"/>
    <n v="10"/>
    <x v="5"/>
    <n v="24.1"/>
    <s v="Category 2"/>
    <e v="#N/A"/>
    <s v="Yes"/>
    <e v="#N/A"/>
    <n v="0.98341541666666654"/>
    <n v="0.78673233333333326"/>
    <x v="0"/>
    <x v="232"/>
    <x v="1"/>
  </r>
  <r>
    <n v="723"/>
    <s v="M"/>
    <n v="0.55500000000000005"/>
    <n v="0.44"/>
    <n v="0.15"/>
    <n v="1.0920000000000001"/>
    <n v="0.41599999999999998"/>
    <n v="0.21199999999999999"/>
    <n v="0.4405"/>
    <n v="15"/>
    <n v="10"/>
    <s v="Hazel"/>
    <s v="Villa"/>
    <s v="University of Minnesota"/>
    <n v="2"/>
    <x v="1"/>
    <n v="18"/>
    <s v="Category 3"/>
    <e v="#N/A"/>
    <e v="#N/A"/>
    <s v="Yes"/>
    <n v="0.98616666666666675"/>
    <n v="0.98616666666666675"/>
    <x v="0"/>
    <x v="0"/>
    <x v="149"/>
  </r>
  <r>
    <n v="2267"/>
    <s v="F"/>
    <n v="0.63500000000000001"/>
    <n v="0.51"/>
    <n v="0.17499999999999999"/>
    <n v="1.2124999999999999"/>
    <n v="0.57350000000000001"/>
    <n v="0.26100000000000001"/>
    <n v="0.36"/>
    <n v="14"/>
    <n v="11"/>
    <s v="Naima"/>
    <s v="Reyes"/>
    <s v="University of Houston"/>
    <n v="5"/>
    <x v="3"/>
    <n v="12.8"/>
    <s v="Category 3"/>
    <e v="#N/A"/>
    <e v="#N/A"/>
    <s v="Yes"/>
    <n v="1.0361979166666666"/>
    <n v="1.0361979166666666"/>
    <x v="0"/>
    <x v="0"/>
    <x v="150"/>
  </r>
  <r>
    <n v="793"/>
    <s v="M"/>
    <n v="0.47"/>
    <n v="0.37"/>
    <n v="0.18"/>
    <n v="0.51"/>
    <n v="0.1915"/>
    <n v="0.1285"/>
    <n v="0.16250000000000001"/>
    <n v="9"/>
    <n v="15"/>
    <s v="Conan"/>
    <s v="Dalton"/>
    <s v="University of Houston"/>
    <n v="6"/>
    <x v="8"/>
    <n v="14.1"/>
    <s v="Category 2"/>
    <e v="#N/A"/>
    <s v="Yes"/>
    <e v="#N/A"/>
    <n v="0.96129999999999993"/>
    <n v="0.76903999999999995"/>
    <x v="0"/>
    <x v="233"/>
    <x v="1"/>
  </r>
  <r>
    <n v="3535"/>
    <s v="I"/>
    <n v="0.4"/>
    <n v="0.315"/>
    <n v="0.09"/>
    <n v="0.33"/>
    <n v="0.151"/>
    <n v="6.8000000000000005E-2"/>
    <n v="0.08"/>
    <n v="6"/>
    <n v="3"/>
    <s v="Inaya"/>
    <s v="Bernard"/>
    <s v="Stanford University"/>
    <n v="6"/>
    <x v="8"/>
    <n v="14.1"/>
    <s v="Category 2"/>
    <e v="#N/A"/>
    <s v="Yes"/>
    <e v="#N/A"/>
    <n v="0.92128333333333334"/>
    <n v="0.73702666666666672"/>
    <x v="0"/>
    <x v="234"/>
    <x v="1"/>
  </r>
  <r>
    <n v="4169"/>
    <s v="F"/>
    <n v="0.51500000000000001"/>
    <n v="0.4"/>
    <n v="0.125"/>
    <n v="0.61499999999999999"/>
    <n v="0.28649999999999998"/>
    <n v="0.123"/>
    <n v="0.17649999999999999"/>
    <n v="8"/>
    <n v="5"/>
    <s v="Haniya"/>
    <s v="Talley"/>
    <s v="Prince William Sound Science Center"/>
    <n v="10"/>
    <x v="5"/>
    <n v="24.1"/>
    <s v="Category 2"/>
    <e v="#N/A"/>
    <s v="Yes"/>
    <e v="#N/A"/>
    <n v="0.97681249999999986"/>
    <n v="0.78144999999999998"/>
    <x v="0"/>
    <x v="235"/>
    <x v="1"/>
  </r>
  <r>
    <n v="2697"/>
    <s v="F"/>
    <n v="0.65"/>
    <n v="0.49"/>
    <n v="0.155"/>
    <n v="1.1220000000000001"/>
    <n v="0.54500000000000004"/>
    <n v="0.22800000000000001"/>
    <n v="0.30549999999999999"/>
    <n v="9"/>
    <n v="11"/>
    <s v="Naima"/>
    <s v="Reyes"/>
    <s v="University of Houston"/>
    <n v="6"/>
    <x v="8"/>
    <n v="14.1"/>
    <s v="Category 3"/>
    <e v="#N/A"/>
    <e v="#N/A"/>
    <s v="Yes"/>
    <n v="1.0341850000000001"/>
    <n v="1.0341850000000001"/>
    <x v="0"/>
    <x v="0"/>
    <x v="151"/>
  </r>
  <r>
    <n v="2867"/>
    <s v="I"/>
    <n v="0.32"/>
    <n v="0.20499999999999999"/>
    <n v="0.08"/>
    <n v="0.18099999999999999"/>
    <n v="8.7999999999999995E-2"/>
    <n v="3.4000000000000002E-2"/>
    <n v="4.9500000000000002E-2"/>
    <n v="5"/>
    <n v="1"/>
    <s v="Jan"/>
    <s v="Odom"/>
    <s v="University of Houston"/>
    <n v="4"/>
    <x v="2"/>
    <n v="6.1"/>
    <s v="Category 2"/>
    <e v="#N/A"/>
    <s v="Yes"/>
    <e v="#N/A"/>
    <n v="0.86534666666666671"/>
    <n v="0.69227733333333341"/>
    <x v="0"/>
    <x v="236"/>
    <x v="1"/>
  </r>
  <r>
    <n v="525"/>
    <s v="M"/>
    <n v="0.23499999999999999"/>
    <n v="0.16"/>
    <n v="0.06"/>
    <n v="5.45E-2"/>
    <n v="2.6499999999999999E-2"/>
    <n v="9.4999999999999998E-3"/>
    <n v="1.4999999999999999E-2"/>
    <n v="4"/>
    <n v="9"/>
    <s v="Danica"/>
    <s v="Tyler"/>
    <s v="University of Florida_x0009_"/>
    <n v="4"/>
    <x v="2"/>
    <n v="6.1"/>
    <s v="Category 2"/>
    <e v="#N/A"/>
    <s v="Yes"/>
    <e v="#N/A"/>
    <n v="0.82857833333333331"/>
    <n v="0.66286266666666671"/>
    <x v="0"/>
    <x v="237"/>
    <x v="1"/>
  </r>
  <r>
    <n v="353"/>
    <s v="M"/>
    <n v="0.56999999999999995"/>
    <n v="0.46"/>
    <n v="0.14000000000000001"/>
    <n v="0.95350000000000001"/>
    <n v="0.44650000000000001"/>
    <n v="0.20649999999999999"/>
    <n v="0.245"/>
    <n v="12"/>
    <n v="5"/>
    <s v="Haniya"/>
    <s v="Talley"/>
    <s v="Prince William Sound Science Center"/>
    <n v="6"/>
    <x v="8"/>
    <n v="14.1"/>
    <s v="Category 3"/>
    <e v="#N/A"/>
    <e v="#N/A"/>
    <s v="Yes"/>
    <n v="1.0020150000000001"/>
    <n v="1.0020150000000001"/>
    <x v="0"/>
    <x v="0"/>
    <x v="152"/>
  </r>
  <r>
    <n v="318"/>
    <s v="M"/>
    <n v="0.45"/>
    <n v="0.35"/>
    <n v="0.1"/>
    <n v="0.36749999999999999"/>
    <n v="0.14649999999999999"/>
    <n v="0.10150000000000001"/>
    <n v="0.12"/>
    <n v="10"/>
    <n v="4"/>
    <s v="Nate"/>
    <s v="Craig"/>
    <s v="NOAA Fisheries"/>
    <n v="10"/>
    <x v="5"/>
    <n v="24.1"/>
    <s v="Category 2"/>
    <e v="#N/A"/>
    <s v="Yes"/>
    <e v="#N/A"/>
    <n v="0.94829166666666664"/>
    <n v="0.75863333333333338"/>
    <x v="0"/>
    <x v="238"/>
    <x v="1"/>
  </r>
  <r>
    <n v="2273"/>
    <s v="M"/>
    <n v="0.63500000000000001"/>
    <n v="0.51"/>
    <n v="0.21"/>
    <n v="1.5980000000000001"/>
    <n v="0.65349999999999997"/>
    <n v="0.28349999999999997"/>
    <n v="0.57999999999999996"/>
    <n v="15"/>
    <n v="11"/>
    <s v="Naima"/>
    <s v="Reyes"/>
    <s v="University of Houston"/>
    <n v="4"/>
    <x v="2"/>
    <n v="6.1"/>
    <s v="Category 3"/>
    <e v="#N/A"/>
    <e v="#N/A"/>
    <s v="Yes"/>
    <n v="1.0310633333333332"/>
    <n v="1.0310633333333332"/>
    <x v="0"/>
    <x v="0"/>
    <x v="153"/>
  </r>
  <r>
    <n v="3366"/>
    <s v="I"/>
    <n v="0.44"/>
    <n v="0.31"/>
    <n v="0.115"/>
    <n v="0.36249999999999999"/>
    <n v="0.13400000000000001"/>
    <n v="8.2000000000000003E-2"/>
    <n v="0.12"/>
    <n v="11"/>
    <n v="2"/>
    <s v="Tiegan"/>
    <s v="Davie"/>
    <s v="University of California, Davis"/>
    <n v="8"/>
    <x v="4"/>
    <n v="12.3"/>
    <s v="Category 2"/>
    <e v="#N/A"/>
    <s v="Yes"/>
    <e v="#N/A"/>
    <n v="0.93278125000000001"/>
    <n v="0.74622500000000003"/>
    <x v="0"/>
    <x v="239"/>
    <x v="1"/>
  </r>
  <r>
    <n v="3497"/>
    <s v="M"/>
    <n v="0.57499999999999996"/>
    <n v="0.44"/>
    <n v="0.14499999999999999"/>
    <n v="0.87"/>
    <n v="0.39450000000000002"/>
    <n v="0.2195"/>
    <n v="0.22500000000000001"/>
    <n v="8"/>
    <n v="9"/>
    <s v="Danica"/>
    <s v="Tyler"/>
    <s v="University of Florida_x0009_"/>
    <n v="7"/>
    <x v="6"/>
    <n v="2.5"/>
    <s v="Category 2"/>
    <e v="#N/A"/>
    <s v="Yes"/>
    <e v="#N/A"/>
    <n v="1.0013583333333334"/>
    <n v="0.80108666666666672"/>
    <x v="0"/>
    <x v="240"/>
    <x v="1"/>
  </r>
  <r>
    <n v="1733"/>
    <s v="M"/>
    <n v="0.66500000000000004"/>
    <n v="0.52"/>
    <n v="0.17499999999999999"/>
    <n v="1.3725000000000001"/>
    <n v="0.60599999999999998"/>
    <n v="0.32"/>
    <n v="0.39500000000000002"/>
    <n v="12"/>
    <n v="5"/>
    <s v="Haniya"/>
    <s v="Talley"/>
    <s v="Prince William Sound Science Center"/>
    <n v="9"/>
    <x v="7"/>
    <n v="1.9"/>
    <s v="Category 3"/>
    <e v="#N/A"/>
    <e v="#N/A"/>
    <s v="Yes"/>
    <n v="1.04353125"/>
    <n v="1.04353125"/>
    <x v="0"/>
    <x v="0"/>
    <x v="154"/>
  </r>
  <r>
    <n v="431"/>
    <s v="F"/>
    <n v="0.56999999999999995"/>
    <n v="0.45"/>
    <n v="0.17499999999999999"/>
    <n v="0.95550000000000002"/>
    <n v="0.38"/>
    <n v="0.16650000000000001"/>
    <n v="0.29499999999999998"/>
    <n v="18"/>
    <n v="5"/>
    <s v="Haniya"/>
    <s v="Talley"/>
    <s v="Prince William Sound Science Center"/>
    <n v="5"/>
    <x v="3"/>
    <n v="12.8"/>
    <s v="Category 2"/>
    <e v="#N/A"/>
    <s v="Yes"/>
    <e v="#N/A"/>
    <n v="1.0041687500000001"/>
    <n v="0.80333500000000013"/>
    <x v="0"/>
    <x v="241"/>
    <x v="1"/>
  </r>
  <r>
    <n v="541"/>
    <s v="F"/>
    <n v="0.5"/>
    <n v="0.375"/>
    <n v="0.14000000000000001"/>
    <n v="0.60399999999999998"/>
    <n v="0.24199999999999999"/>
    <n v="0.14149999999999999"/>
    <n v="0.17899999999999999"/>
    <n v="15"/>
    <n v="14"/>
    <s v="Santiago"/>
    <s v="Vaughan"/>
    <s v="Ohio State University_x0009_"/>
    <n v="5"/>
    <x v="3"/>
    <n v="12.8"/>
    <s v="Category 2"/>
    <e v="#N/A"/>
    <s v="Yes"/>
    <e v="#N/A"/>
    <n v="0.96549333333333331"/>
    <n v="0.77239466666666667"/>
    <x v="0"/>
    <x v="242"/>
    <x v="1"/>
  </r>
  <r>
    <n v="3467"/>
    <s v="M"/>
    <n v="0.64"/>
    <n v="0.5"/>
    <n v="0.17"/>
    <n v="1.4544999999999999"/>
    <n v="0.64200000000000002"/>
    <n v="0.35749999999999998"/>
    <n v="0.35399999999999998"/>
    <n v="9"/>
    <n v="6"/>
    <s v="Martin"/>
    <s v="Gaines"/>
    <s v="San Diego State University"/>
    <n v="9"/>
    <x v="7"/>
    <n v="1.9"/>
    <s v="Category 3"/>
    <e v="#N/A"/>
    <e v="#N/A"/>
    <s v="Yes"/>
    <n v="1.0242441666666668"/>
    <n v="1.0242441666666668"/>
    <x v="0"/>
    <x v="0"/>
    <x v="155"/>
  </r>
  <r>
    <n v="3353"/>
    <s v="F"/>
    <n v="0.52"/>
    <n v="0.40500000000000003"/>
    <n v="0.14499999999999999"/>
    <n v="0.82899999999999996"/>
    <n v="0.35349999999999998"/>
    <n v="0.16850000000000001"/>
    <n v="0.20499999999999999"/>
    <n v="15"/>
    <n v="11"/>
    <s v="Naima"/>
    <s v="Reyes"/>
    <s v="University of Houston"/>
    <n v="8"/>
    <x v="4"/>
    <n v="12.3"/>
    <s v="Category 2"/>
    <e v="#N/A"/>
    <s v="Yes"/>
    <e v="#N/A"/>
    <n v="0.9731008333333333"/>
    <n v="0.77848066666666671"/>
    <x v="0"/>
    <x v="243"/>
    <x v="1"/>
  </r>
  <r>
    <n v="1192"/>
    <s v="M"/>
    <n v="0.69499999999999995"/>
    <n v="0.56000000000000005"/>
    <n v="0.185"/>
    <n v="1.74"/>
    <n v="0.88500000000000001"/>
    <n v="0.3715"/>
    <n v="0.4375"/>
    <n v="10"/>
    <n v="9"/>
    <s v="Danica"/>
    <s v="Tyler"/>
    <s v="University of Florida_x0009_"/>
    <n v="2"/>
    <x v="1"/>
    <n v="18"/>
    <s v="Category 3"/>
    <e v="#N/A"/>
    <e v="#N/A"/>
    <s v="Yes"/>
    <n v="1.0559833333333333"/>
    <n v="1.0559833333333333"/>
    <x v="0"/>
    <x v="0"/>
    <x v="156"/>
  </r>
  <r>
    <n v="4133"/>
    <s v="I"/>
    <n v="0.58499999999999996"/>
    <n v="0.47"/>
    <n v="0.17"/>
    <n v="0.98499999999999999"/>
    <n v="0.3695"/>
    <n v="0.23949999999999999"/>
    <n v="0.315"/>
    <n v="10"/>
    <n v="13"/>
    <s v="Betty"/>
    <s v="Berg"/>
    <s v="University of Houston"/>
    <n v="9"/>
    <x v="7"/>
    <n v="1.9"/>
    <s v="Category 2"/>
    <e v="#N/A"/>
    <s v="Yes"/>
    <e v="#N/A"/>
    <n v="1.0139083333333334"/>
    <n v="0.81112666666666677"/>
    <x v="0"/>
    <x v="244"/>
    <x v="1"/>
  </r>
  <r>
    <n v="61"/>
    <s v="M"/>
    <n v="0.45"/>
    <n v="0.34499999999999997"/>
    <n v="0.105"/>
    <n v="0.41149999999999998"/>
    <n v="0.18"/>
    <n v="0.1125"/>
    <n v="0.13500000000000001"/>
    <n v="7"/>
    <n v="14"/>
    <s v="Santiago"/>
    <s v="Vaughan"/>
    <s v="Ohio State University_x0009_"/>
    <n v="1"/>
    <x v="0"/>
    <n v="22.1"/>
    <s v="Category 2"/>
    <e v="#N/A"/>
    <s v="Yes"/>
    <e v="#N/A"/>
    <n v="0.94476791666666671"/>
    <n v="0.75581433333333337"/>
    <x v="0"/>
    <x v="245"/>
    <x v="1"/>
  </r>
  <r>
    <n v="1236"/>
    <s v="I"/>
    <n v="0.375"/>
    <n v="0.28999999999999998"/>
    <n v="8.5000000000000006E-2"/>
    <n v="0.23849999999999999"/>
    <n v="0.11799999999999999"/>
    <n v="4.4999999999999998E-2"/>
    <n v="6.9500000000000006E-2"/>
    <n v="7"/>
    <n v="11"/>
    <s v="Naima"/>
    <s v="Reyes"/>
    <s v="University of Houston"/>
    <n v="9"/>
    <x v="7"/>
    <n v="1.9"/>
    <s v="Category 2"/>
    <e v="#N/A"/>
    <s v="Yes"/>
    <e v="#N/A"/>
    <n v="0.90914541666666659"/>
    <n v="0.72731633333333334"/>
    <x v="0"/>
    <x v="246"/>
    <x v="1"/>
  </r>
  <r>
    <n v="2261"/>
    <s v="M"/>
    <n v="0.55000000000000004"/>
    <n v="0.46"/>
    <n v="0.17499999999999999"/>
    <n v="0.86899999999999999"/>
    <n v="0.3155"/>
    <n v="0.1825"/>
    <n v="0.32"/>
    <n v="10"/>
    <n v="7"/>
    <s v="Iona"/>
    <s v="Connolly"/>
    <s v="Florida Atlantic University"/>
    <n v="5"/>
    <x v="3"/>
    <n v="12.8"/>
    <s v="Category 2"/>
    <e v="#N/A"/>
    <s v="Yes"/>
    <e v="#N/A"/>
    <n v="1.0040791666666666"/>
    <n v="0.80326333333333333"/>
    <x v="0"/>
    <x v="247"/>
    <x v="1"/>
  </r>
  <r>
    <n v="732"/>
    <s v="M"/>
    <n v="0.54500000000000004"/>
    <n v="0.42"/>
    <n v="0.13"/>
    <n v="0.879"/>
    <n v="0.374"/>
    <n v="0.16950000000000001"/>
    <n v="0.23"/>
    <n v="13"/>
    <n v="1"/>
    <s v="Jan"/>
    <s v="Odom"/>
    <s v="University of Houston"/>
    <n v="2"/>
    <x v="1"/>
    <n v="18"/>
    <s v="Category 2"/>
    <e v="#N/A"/>
    <s v="Yes"/>
    <e v="#N/A"/>
    <n v="0.98211166666666672"/>
    <n v="0.78568933333333346"/>
    <x v="0"/>
    <x v="248"/>
    <x v="1"/>
  </r>
  <r>
    <n v="3417"/>
    <s v="M"/>
    <n v="0.56000000000000005"/>
    <n v="0.45"/>
    <n v="0.14000000000000001"/>
    <n v="0.9"/>
    <n v="0.47199999999999998"/>
    <n v="0.182"/>
    <n v="0.218"/>
    <n v="7"/>
    <n v="5"/>
    <s v="Haniya"/>
    <s v="Talley"/>
    <s v="Prince William Sound Science Center"/>
    <n v="4"/>
    <x v="2"/>
    <n v="6.1"/>
    <s v="Category 3"/>
    <e v="#N/A"/>
    <e v="#N/A"/>
    <s v="Yes"/>
    <n v="0.99766666666666659"/>
    <n v="0.99766666666666659"/>
    <x v="0"/>
    <x v="0"/>
    <x v="157"/>
  </r>
  <r>
    <n v="1500"/>
    <s v="M"/>
    <n v="0.63"/>
    <n v="0.47"/>
    <n v="0.14499999999999999"/>
    <n v="1.1005"/>
    <n v="0.52"/>
    <n v="0.26"/>
    <n v="0.27600000000000002"/>
    <n v="9"/>
    <n v="6"/>
    <s v="Martin"/>
    <s v="Gaines"/>
    <s v="San Diego State University"/>
    <n v="7"/>
    <x v="6"/>
    <n v="2.5"/>
    <s v="Category 3"/>
    <e v="#N/A"/>
    <e v="#N/A"/>
    <s v="Yes"/>
    <n v="1.0198954166666669"/>
    <n v="1.0198954166666669"/>
    <x v="0"/>
    <x v="0"/>
    <x v="158"/>
  </r>
  <r>
    <n v="2866"/>
    <s v="I"/>
    <n v="0.315"/>
    <n v="0.23499999999999999"/>
    <n v="7.4999999999999997E-2"/>
    <n v="0.1285"/>
    <n v="5.0999999999999997E-2"/>
    <n v="2.8000000000000001E-2"/>
    <n v="4.0500000000000001E-2"/>
    <n v="4"/>
    <n v="10"/>
    <s v="Hazel"/>
    <s v="Villa"/>
    <s v="University of Minnesota"/>
    <n v="10"/>
    <x v="5"/>
    <n v="24.1"/>
    <s v="Category 2"/>
    <e v="#N/A"/>
    <s v="Yes"/>
    <e v="#N/A"/>
    <n v="0.87637291666666661"/>
    <n v="0.70109833333333338"/>
    <x v="0"/>
    <x v="249"/>
    <x v="1"/>
  </r>
  <r>
    <n v="1278"/>
    <s v="I"/>
    <n v="0.48"/>
    <n v="0.36499999999999999"/>
    <n v="0.1"/>
    <n v="0.46100000000000002"/>
    <n v="0.2205"/>
    <n v="8.3500000000000005E-2"/>
    <n v="0.13500000000000001"/>
    <n v="8"/>
    <n v="11"/>
    <s v="Naima"/>
    <s v="Reyes"/>
    <s v="University of Houston"/>
    <n v="9"/>
    <x v="7"/>
    <n v="1.9"/>
    <s v="Category 2"/>
    <e v="#N/A"/>
    <s v="Yes"/>
    <e v="#N/A"/>
    <n v="0.95861666666666656"/>
    <n v="0.76689333333333332"/>
    <x v="0"/>
    <x v="250"/>
    <x v="1"/>
  </r>
  <r>
    <n v="3150"/>
    <s v="F"/>
    <n v="0.7"/>
    <n v="0.54"/>
    <n v="0.215"/>
    <n v="1.978"/>
    <n v="0.66749999999999998"/>
    <n v="0.3125"/>
    <n v="0.71"/>
    <n v="24"/>
    <n v="10"/>
    <s v="Hazel"/>
    <s v="Villa"/>
    <s v="University of Minnesota"/>
    <n v="9"/>
    <x v="7"/>
    <n v="1.9"/>
    <s v="Category 2"/>
    <e v="#N/A"/>
    <s v="Yes"/>
    <e v="#N/A"/>
    <n v="1.0523449999999999"/>
    <n v="0.84187599999999996"/>
    <x v="0"/>
    <x v="251"/>
    <x v="1"/>
  </r>
  <r>
    <n v="1933"/>
    <s v="F"/>
    <n v="0.62"/>
    <n v="0.495"/>
    <n v="0.17"/>
    <n v="1.0620000000000001"/>
    <n v="0.372"/>
    <n v="0.21299999999999999"/>
    <n v="0.34"/>
    <n v="11"/>
    <n v="3"/>
    <s v="Inaya"/>
    <s v="Bernard"/>
    <s v="Stanford University"/>
    <n v="3"/>
    <x v="9"/>
    <n v="3.6"/>
    <s v="Category 2"/>
    <e v="#N/A"/>
    <s v="Yes"/>
    <e v="#N/A"/>
    <n v="1.0309566666666667"/>
    <n v="0.82476533333333346"/>
    <x v="0"/>
    <x v="252"/>
    <x v="1"/>
  </r>
  <r>
    <n v="3800"/>
    <s v="F"/>
    <n v="0.70499999999999996"/>
    <n v="0.56000000000000005"/>
    <n v="0.17"/>
    <n v="1.4575"/>
    <n v="0.60699999999999998"/>
    <n v="0.318"/>
    <n v="0.44"/>
    <n v="11"/>
    <n v="9"/>
    <s v="Danica"/>
    <s v="Tyler"/>
    <s v="University of Florida_x0009_"/>
    <n v="8"/>
    <x v="4"/>
    <n v="12.3"/>
    <s v="Category 3"/>
    <e v="#N/A"/>
    <e v="#N/A"/>
    <s v="Yes"/>
    <n v="1.0657958333333333"/>
    <n v="1.0657958333333333"/>
    <x v="0"/>
    <x v="0"/>
    <x v="159"/>
  </r>
  <r>
    <n v="840"/>
    <s v="I"/>
    <n v="0.48499999999999999"/>
    <n v="0.35499999999999998"/>
    <n v="0.105"/>
    <n v="0.498"/>
    <n v="0.2175"/>
    <n v="9.6000000000000002E-2"/>
    <n v="0.1525"/>
    <n v="9"/>
    <n v="7"/>
    <s v="Iona"/>
    <s v="Connolly"/>
    <s v="Florida Atlantic University"/>
    <n v="9"/>
    <x v="7"/>
    <n v="1.9"/>
    <s v="Category 2"/>
    <e v="#N/A"/>
    <s v="Yes"/>
    <e v="#N/A"/>
    <n v="0.955515"/>
    <n v="0.76441200000000009"/>
    <x v="0"/>
    <x v="253"/>
    <x v="1"/>
  </r>
  <r>
    <n v="2363"/>
    <s v="F"/>
    <n v="0.66"/>
    <n v="0.52500000000000002"/>
    <n v="0.20499999999999999"/>
    <n v="1.3665"/>
    <n v="0.50049999999999994"/>
    <n v="0.29099999999999998"/>
    <n v="0.41"/>
    <n v="18"/>
    <n v="15"/>
    <s v="Conan"/>
    <s v="Dalton"/>
    <s v="University of Houston"/>
    <n v="4"/>
    <x v="2"/>
    <n v="6.1"/>
    <s v="Category 3"/>
    <e v="#N/A"/>
    <e v="#N/A"/>
    <s v="Yes"/>
    <n v="1.05058875"/>
    <n v="1.05058875"/>
    <x v="0"/>
    <x v="0"/>
    <x v="160"/>
  </r>
  <r>
    <n v="2828"/>
    <s v="I"/>
    <n v="0.5"/>
    <n v="0.375"/>
    <n v="0.12"/>
    <n v="0.52900000000000003"/>
    <n v="0.2235"/>
    <n v="0.123"/>
    <n v="0.16"/>
    <n v="8"/>
    <n v="15"/>
    <s v="Conan"/>
    <s v="Dalton"/>
    <s v="University of Houston"/>
    <n v="5"/>
    <x v="3"/>
    <n v="12.8"/>
    <s v="Category 2"/>
    <e v="#N/A"/>
    <s v="Yes"/>
    <e v="#N/A"/>
    <n v="0.96698000000000006"/>
    <n v="0.77358400000000005"/>
    <x v="0"/>
    <x v="254"/>
    <x v="1"/>
  </r>
  <r>
    <n v="2383"/>
    <s v="I"/>
    <n v="0.52500000000000002"/>
    <n v="0.43"/>
    <n v="0.15"/>
    <n v="0.73650000000000004"/>
    <n v="0.32250000000000001"/>
    <n v="0.161"/>
    <n v="0.215"/>
    <n v="11"/>
    <n v="8"/>
    <s v="Kali"/>
    <s v="Metcalfe"/>
    <s v="Mote Marine Laboratory"/>
    <n v="8"/>
    <x v="4"/>
    <n v="12.3"/>
    <s v="Category 2"/>
    <e v="#N/A"/>
    <s v="Yes"/>
    <e v="#N/A"/>
    <n v="0.98764583333333333"/>
    <n v="0.79011666666666669"/>
    <x v="0"/>
    <x v="255"/>
    <x v="1"/>
  </r>
  <r>
    <n v="3521"/>
    <s v="F"/>
    <n v="0.72"/>
    <n v="0.54500000000000004"/>
    <n v="0.185"/>
    <n v="1.7184999999999999"/>
    <n v="0.79249999999999998"/>
    <n v="0.40100000000000002"/>
    <n v="0.46800000000000003"/>
    <n v="11"/>
    <n v="12"/>
    <s v="Rebecca"/>
    <s v="Bennett"/>
    <s v="University of Houston"/>
    <n v="6"/>
    <x v="8"/>
    <n v="14.1"/>
    <s v="Category 3"/>
    <e v="#N/A"/>
    <e v="#N/A"/>
    <s v="Yes"/>
    <n v="1.0600870833333333"/>
    <n v="1.0600870833333333"/>
    <x v="0"/>
    <x v="0"/>
    <x v="161"/>
  </r>
  <r>
    <n v="3090"/>
    <s v="M"/>
    <n v="0.45500000000000002"/>
    <n v="0.35"/>
    <n v="0.11"/>
    <n v="0.45800000000000002"/>
    <n v="0.2"/>
    <n v="0.111"/>
    <n v="0.1305"/>
    <n v="8"/>
    <n v="2"/>
    <s v="Tiegan"/>
    <s v="Davie"/>
    <s v="University of California, Davis"/>
    <n v="9"/>
    <x v="7"/>
    <n v="1.9"/>
    <s v="Category 2"/>
    <e v="#N/A"/>
    <s v="Yes"/>
    <e v="#N/A"/>
    <n v="0.94619666666666657"/>
    <n v="0.75695733333333326"/>
    <x v="0"/>
    <x v="256"/>
    <x v="1"/>
  </r>
  <r>
    <n v="3500"/>
    <s v="F"/>
    <n v="0.59499999999999997"/>
    <n v="0.47"/>
    <n v="0.16500000000000001"/>
    <n v="1.0155000000000001"/>
    <n v="0.49099999999999999"/>
    <n v="0.1905"/>
    <n v="0.28899999999999998"/>
    <n v="9"/>
    <n v="14"/>
    <s v="Santiago"/>
    <s v="Vaughan"/>
    <s v="Ohio State University_x0009_"/>
    <n v="6"/>
    <x v="8"/>
    <n v="14.1"/>
    <s v="Category 3"/>
    <e v="#N/A"/>
    <e v="#N/A"/>
    <s v="Yes"/>
    <n v="1.0152262500000002"/>
    <n v="1.0152262500000002"/>
    <x v="0"/>
    <x v="0"/>
    <x v="162"/>
  </r>
  <r>
    <n v="716"/>
    <s v="I"/>
    <n v="0.27500000000000002"/>
    <n v="0.2"/>
    <n v="6.5000000000000002E-2"/>
    <n v="0.10349999999999999"/>
    <n v="4.7500000000000001E-2"/>
    <n v="2.0500000000000001E-2"/>
    <n v="0.03"/>
    <n v="7"/>
    <n v="1"/>
    <s v="Jan"/>
    <s v="Odom"/>
    <s v="University of Houston"/>
    <n v="3"/>
    <x v="9"/>
    <n v="3.6"/>
    <s v="Category 2"/>
    <e v="#N/A"/>
    <s v="Yes"/>
    <e v="#N/A"/>
    <n v="0.85255458333333345"/>
    <n v="0.68204366666666683"/>
    <x v="0"/>
    <x v="257"/>
    <x v="1"/>
  </r>
  <r>
    <n v="409"/>
    <s v="M"/>
    <n v="0.55500000000000005"/>
    <n v="0.45"/>
    <n v="0.14499999999999999"/>
    <n v="0.91500000000000004"/>
    <n v="0.4"/>
    <n v="0.246"/>
    <n v="0.28499999999999998"/>
    <n v="11"/>
    <n v="3"/>
    <s v="Inaya"/>
    <s v="Bernard"/>
    <s v="Stanford University"/>
    <n v="9"/>
    <x v="7"/>
    <n v="1.9"/>
    <s v="Category 3"/>
    <e v="#N/A"/>
    <e v="#N/A"/>
    <s v="Yes"/>
    <n v="0.99611249999999996"/>
    <n v="0.99611249999999996"/>
    <x v="0"/>
    <x v="0"/>
    <x v="163"/>
  </r>
  <r>
    <n v="84"/>
    <s v="M"/>
    <n v="0.59499999999999997"/>
    <n v="0.47499999999999998"/>
    <n v="0.16"/>
    <n v="1.3174999999999999"/>
    <n v="0.40799999999999997"/>
    <n v="0.23400000000000001"/>
    <n v="0.57999999999999996"/>
    <n v="21"/>
    <n v="10"/>
    <s v="Hazel"/>
    <s v="Villa"/>
    <s v="University of Minnesota"/>
    <n v="8"/>
    <x v="4"/>
    <n v="12.3"/>
    <s v="Category 2"/>
    <e v="#N/A"/>
    <s v="Yes"/>
    <e v="#N/A"/>
    <n v="1.0039666666666667"/>
    <n v="0.80317333333333341"/>
    <x v="0"/>
    <x v="258"/>
    <x v="1"/>
  </r>
  <r>
    <n v="1395"/>
    <s v="M"/>
    <n v="0.64"/>
    <n v="0.56499999999999995"/>
    <n v="0.23"/>
    <n v="1.5209999999999999"/>
    <n v="0.64400000000000002"/>
    <n v="0.372"/>
    <n v="0.40600000000000003"/>
    <n v="15"/>
    <n v="14"/>
    <s v="Santiago"/>
    <s v="Vaughan"/>
    <s v="Ohio State University_x0009_"/>
    <n v="5"/>
    <x v="3"/>
    <n v="12.8"/>
    <s v="Category 3"/>
    <e v="#N/A"/>
    <e v="#N/A"/>
    <s v="Yes"/>
    <n v="1.0585716666666665"/>
    <n v="1.0585716666666665"/>
    <x v="0"/>
    <x v="0"/>
    <x v="164"/>
  </r>
  <r>
    <n v="1385"/>
    <s v="F"/>
    <n v="0.63"/>
    <n v="0.48499999999999999"/>
    <n v="0.17"/>
    <n v="1.3205"/>
    <n v="0.59450000000000003"/>
    <n v="0.34499999999999997"/>
    <n v="0.34499999999999997"/>
    <n v="9"/>
    <n v="6"/>
    <s v="Martin"/>
    <s v="Gaines"/>
    <s v="San Diego State University"/>
    <n v="10"/>
    <x v="5"/>
    <n v="24.1"/>
    <s v="Category 3"/>
    <e v="#N/A"/>
    <e v="#N/A"/>
    <s v="Yes"/>
    <n v="1.0210475000000001"/>
    <n v="1.0210475000000001"/>
    <x v="0"/>
    <x v="0"/>
    <x v="165"/>
  </r>
  <r>
    <n v="1890"/>
    <s v="M"/>
    <n v="0.56499999999999995"/>
    <n v="0.41499999999999998"/>
    <n v="0.125"/>
    <n v="0.66700000000000004"/>
    <n v="0.30199999999999999"/>
    <n v="0.1545"/>
    <n v="0.185"/>
    <n v="7"/>
    <n v="2"/>
    <s v="Tiegan"/>
    <s v="Davie"/>
    <s v="University of California, Davis"/>
    <n v="7"/>
    <x v="6"/>
    <n v="2.5"/>
    <s v="Category 2"/>
    <e v="#N/A"/>
    <s v="Yes"/>
    <e v="#N/A"/>
    <n v="0.99609583333333329"/>
    <n v="0.79687666666666668"/>
    <x v="0"/>
    <x v="259"/>
    <x v="1"/>
  </r>
  <r>
    <n v="2471"/>
    <s v="M"/>
    <n v="0.61499999999999999"/>
    <n v="0.47499999999999998"/>
    <n v="0.17"/>
    <n v="1.1825000000000001"/>
    <n v="0.47399999999999998"/>
    <n v="0.28949999999999998"/>
    <n v="0.24"/>
    <n v="11"/>
    <n v="12"/>
    <s v="Rebecca"/>
    <s v="Bennett"/>
    <s v="University of Houston"/>
    <n v="5"/>
    <x v="3"/>
    <n v="12.8"/>
    <s v="Category 3"/>
    <e v="#N/A"/>
    <e v="#N/A"/>
    <s v="Yes"/>
    <n v="1.0180041666666666"/>
    <n v="1.0180041666666666"/>
    <x v="0"/>
    <x v="0"/>
    <x v="166"/>
  </r>
  <r>
    <n v="3298"/>
    <s v="M"/>
    <n v="0.64500000000000002"/>
    <n v="0.5"/>
    <n v="0.19"/>
    <n v="1.2290000000000001"/>
    <n v="0.52400000000000002"/>
    <n v="0.27800000000000002"/>
    <n v="0.39500000000000002"/>
    <n v="17"/>
    <n v="15"/>
    <s v="Conan"/>
    <s v="Dalton"/>
    <s v="University of Houston"/>
    <n v="2"/>
    <x v="1"/>
    <n v="18"/>
    <s v="Category 2"/>
    <e v="#N/A"/>
    <s v="Yes"/>
    <e v="#N/A"/>
    <n v="1.0386516666666665"/>
    <n v="0.83092133333333329"/>
    <x v="0"/>
    <x v="260"/>
    <x v="1"/>
  </r>
  <r>
    <n v="3532"/>
    <s v="I"/>
    <n v="0.36499999999999999"/>
    <n v="0.27500000000000002"/>
    <n v="0.09"/>
    <n v="0.23449999999999999"/>
    <n v="0.108"/>
    <n v="5.0999999999999997E-2"/>
    <n v="6.25E-2"/>
    <n v="7"/>
    <n v="1"/>
    <s v="Jan"/>
    <s v="Odom"/>
    <s v="University of Houston"/>
    <n v="10"/>
    <x v="5"/>
    <n v="24.1"/>
    <s v="Category 2"/>
    <e v="#N/A"/>
    <s v="Yes"/>
    <e v="#N/A"/>
    <n v="0.9012175"/>
    <n v="0.720974"/>
    <x v="0"/>
    <x v="261"/>
    <x v="1"/>
  </r>
  <r>
    <n v="3177"/>
    <s v="F"/>
    <n v="0.49"/>
    <n v="0.38"/>
    <n v="0.13"/>
    <n v="0.53900000000000003"/>
    <n v="0.22900000000000001"/>
    <n v="0.13550000000000001"/>
    <n v="0.16500000000000001"/>
    <n v="12"/>
    <n v="3"/>
    <s v="Inaya"/>
    <s v="Bernard"/>
    <s v="Stanford University"/>
    <n v="8"/>
    <x v="4"/>
    <n v="12.3"/>
    <s v="Category 2"/>
    <e v="#N/A"/>
    <s v="Yes"/>
    <e v="#N/A"/>
    <n v="0.96574499999999996"/>
    <n v="0.77259600000000006"/>
    <x v="0"/>
    <x v="262"/>
    <x v="1"/>
  </r>
  <r>
    <n v="942"/>
    <s v="I"/>
    <n v="0.46500000000000002"/>
    <n v="0.36499999999999999"/>
    <n v="0.115"/>
    <n v="0.46700000000000003"/>
    <n v="0.23150000000000001"/>
    <n v="9.2499999999999999E-2"/>
    <n v="0.113"/>
    <n v="7"/>
    <n v="8"/>
    <s v="Kali"/>
    <s v="Metcalfe"/>
    <s v="Mote Marine Laboratory"/>
    <n v="5"/>
    <x v="3"/>
    <n v="12.8"/>
    <s v="Category 2"/>
    <e v="#N/A"/>
    <s v="Yes"/>
    <e v="#N/A"/>
    <n v="0.95448416666666658"/>
    <n v="0.76358733333333328"/>
    <x v="0"/>
    <x v="263"/>
    <x v="1"/>
  </r>
  <r>
    <n v="487"/>
    <s v="M"/>
    <n v="0.55000000000000004"/>
    <n v="0.45"/>
    <n v="0.13"/>
    <n v="0.92"/>
    <n v="0.378"/>
    <n v="0.23849999999999999"/>
    <n v="0.28999999999999998"/>
    <n v="11"/>
    <n v="7"/>
    <s v="Iona"/>
    <s v="Connolly"/>
    <s v="Florida Atlantic University"/>
    <n v="2"/>
    <x v="1"/>
    <n v="18"/>
    <s v="Category 2"/>
    <e v="#N/A"/>
    <s v="Yes"/>
    <e v="#N/A"/>
    <n v="0.99193333333333322"/>
    <n v="0.79354666666666662"/>
    <x v="0"/>
    <x v="264"/>
    <x v="1"/>
  </r>
  <r>
    <n v="4031"/>
    <s v="I"/>
    <n v="0.435"/>
    <n v="0.32500000000000001"/>
    <n v="0.1"/>
    <n v="0.36599999999999999"/>
    <n v="0.17399999999999999"/>
    <n v="7.2499999999999995E-2"/>
    <n v="0.109"/>
    <n v="7"/>
    <n v="12"/>
    <s v="Rebecca"/>
    <s v="Bennett"/>
    <s v="University of Houston"/>
    <n v="1"/>
    <x v="0"/>
    <n v="22.1"/>
    <s v="Category 2"/>
    <e v="#N/A"/>
    <s v="Yes"/>
    <e v="#N/A"/>
    <n v="0.93503333333333327"/>
    <n v="0.74802666666666662"/>
    <x v="0"/>
    <x v="265"/>
    <x v="1"/>
  </r>
  <r>
    <n v="2144"/>
    <s v="M"/>
    <n v="0.47"/>
    <n v="0.37"/>
    <n v="0.105"/>
    <n v="0.46650000000000003"/>
    <n v="0.20250000000000001"/>
    <n v="0.10150000000000001"/>
    <n v="0.155"/>
    <n v="10"/>
    <n v="8"/>
    <s v="Kali"/>
    <s v="Metcalfe"/>
    <s v="Mote Marine Laboratory"/>
    <n v="10"/>
    <x v="5"/>
    <n v="24.1"/>
    <s v="Category 2"/>
    <e v="#N/A"/>
    <s v="Yes"/>
    <e v="#N/A"/>
    <n v="0.95706374999999999"/>
    <n v="0.76565100000000008"/>
    <x v="0"/>
    <x v="266"/>
    <x v="1"/>
  </r>
  <r>
    <n v="3031"/>
    <s v="I"/>
    <n v="0.52"/>
    <n v="0.39500000000000002"/>
    <n v="0.115"/>
    <n v="0.64449999999999996"/>
    <n v="0.3155"/>
    <n v="0.1245"/>
    <n v="0.186"/>
    <n v="11"/>
    <n v="7"/>
    <s v="Iona"/>
    <s v="Connolly"/>
    <s v="Florida Atlantic University"/>
    <n v="1"/>
    <x v="0"/>
    <n v="22.1"/>
    <s v="Category 2"/>
    <e v="#N/A"/>
    <s v="Yes"/>
    <e v="#N/A"/>
    <n v="0.9743862499999999"/>
    <n v="0.77950900000000001"/>
    <x v="0"/>
    <x v="267"/>
    <x v="1"/>
  </r>
  <r>
    <n v="635"/>
    <s v="M"/>
    <n v="0.36"/>
    <n v="0.29499999999999998"/>
    <n v="0.1"/>
    <n v="0.21049999999999999"/>
    <n v="6.6000000000000003E-2"/>
    <n v="5.2499999999999998E-2"/>
    <n v="7.4999999999999997E-2"/>
    <n v="9"/>
    <n v="15"/>
    <s v="Conan"/>
    <s v="Dalton"/>
    <s v="University of Houston"/>
    <n v="7"/>
    <x v="6"/>
    <n v="2.5"/>
    <s v="Category 2"/>
    <e v="#N/A"/>
    <s v="Yes"/>
    <e v="#N/A"/>
    <n v="0.90780833333333333"/>
    <n v="0.72624666666666671"/>
    <x v="0"/>
    <x v="268"/>
    <x v="1"/>
  </r>
  <r>
    <n v="3387"/>
    <s v="M"/>
    <n v="0.51500000000000001"/>
    <n v="0.4"/>
    <n v="0.125"/>
    <n v="0.95499999999999996"/>
    <n v="0.34100000000000003"/>
    <n v="0.2535"/>
    <n v="0.26"/>
    <n v="13"/>
    <n v="5"/>
    <s v="Haniya"/>
    <s v="Talley"/>
    <s v="Prince William Sound Science Center"/>
    <n v="3"/>
    <x v="9"/>
    <n v="3.6"/>
    <s v="Category 2"/>
    <e v="#N/A"/>
    <s v="Yes"/>
    <e v="#N/A"/>
    <n v="0.96122916666666658"/>
    <n v="0.76898333333333335"/>
    <x v="0"/>
    <x v="269"/>
    <x v="1"/>
  </r>
  <r>
    <n v="1265"/>
    <s v="I"/>
    <n v="0.45500000000000002"/>
    <n v="0.33"/>
    <n v="0.1"/>
    <n v="0.372"/>
    <n v="0.35799999999999998"/>
    <n v="7.7499999999999999E-2"/>
    <n v="0.11"/>
    <n v="8"/>
    <n v="6"/>
    <s v="Martin"/>
    <s v="Gaines"/>
    <s v="San Diego State University"/>
    <n v="3"/>
    <x v="9"/>
    <n v="3.6"/>
    <s v="Category 2"/>
    <e v="#N/A"/>
    <s v="Yes"/>
    <e v="#N/A"/>
    <n v="0.94306666666666672"/>
    <n v="0.75445333333333342"/>
    <x v="0"/>
    <x v="270"/>
    <x v="1"/>
  </r>
  <r>
    <n v="1669"/>
    <s v="M"/>
    <n v="0.61"/>
    <n v="0.47499999999999998"/>
    <n v="0.155"/>
    <n v="0.98299999999999998"/>
    <n v="0.45650000000000002"/>
    <n v="0.22800000000000001"/>
    <n v="0.26600000000000001"/>
    <n v="10"/>
    <n v="14"/>
    <s v="Santiago"/>
    <s v="Vaughan"/>
    <s v="Ohio State University_x0009_"/>
    <n v="7"/>
    <x v="6"/>
    <n v="2.5"/>
    <s v="Category 3"/>
    <e v="#N/A"/>
    <e v="#N/A"/>
    <s v="Yes"/>
    <n v="1.0215274999999999"/>
    <n v="1.0215274999999999"/>
    <x v="0"/>
    <x v="0"/>
    <x v="167"/>
  </r>
  <r>
    <n v="3770"/>
    <s v="F"/>
    <n v="0.56000000000000005"/>
    <n v="0.43"/>
    <n v="0.14499999999999999"/>
    <n v="0.89800000000000002"/>
    <n v="0.38950000000000001"/>
    <n v="0.23250000000000001"/>
    <n v="0.245"/>
    <n v="9"/>
    <n v="9"/>
    <s v="Danica"/>
    <s v="Tyler"/>
    <s v="University of Florida_x0009_"/>
    <n v="1"/>
    <x v="0"/>
    <n v="22.1"/>
    <s v="Category 2"/>
    <e v="#N/A"/>
    <s v="Yes"/>
    <e v="#N/A"/>
    <n v="0.99183500000000002"/>
    <n v="0.79346800000000006"/>
    <x v="0"/>
    <x v="271"/>
    <x v="1"/>
  </r>
  <r>
    <n v="1291"/>
    <s v="I"/>
    <n v="0.51500000000000001"/>
    <n v="0.38"/>
    <n v="0.12"/>
    <n v="0.625"/>
    <n v="0.32650000000000001"/>
    <n v="0.1295"/>
    <n v="0.16"/>
    <n v="7"/>
    <n v="13"/>
    <s v="Betty"/>
    <s v="Berg"/>
    <s v="University of Houston"/>
    <n v="9"/>
    <x v="7"/>
    <n v="1.9"/>
    <s v="Category 2"/>
    <e v="#N/A"/>
    <s v="Yes"/>
    <e v="#N/A"/>
    <n v="0.96916666666666651"/>
    <n v="0.77533333333333321"/>
    <x v="0"/>
    <x v="272"/>
    <x v="1"/>
  </r>
  <r>
    <n v="56"/>
    <s v="F"/>
    <n v="0.5"/>
    <n v="0.4"/>
    <n v="0.14000000000000001"/>
    <n v="0.66149999999999998"/>
    <n v="0.25650000000000001"/>
    <n v="0.17549999999999999"/>
    <n v="0.22"/>
    <n v="8"/>
    <n v="1"/>
    <s v="Jan"/>
    <s v="Odom"/>
    <s v="University of Houston"/>
    <n v="8"/>
    <x v="4"/>
    <n v="12.3"/>
    <s v="Category 2"/>
    <e v="#N/A"/>
    <s v="Yes"/>
    <e v="#N/A"/>
    <n v="0.97133499999999995"/>
    <n v="0.77706799999999998"/>
    <x v="0"/>
    <x v="273"/>
    <x v="1"/>
  </r>
  <r>
    <n v="2218"/>
    <s v="F"/>
    <n v="0.51500000000000001"/>
    <n v="0.41499999999999998"/>
    <n v="0.13"/>
    <n v="0.76400000000000001"/>
    <n v="0.27600000000000002"/>
    <n v="0.19600000000000001"/>
    <n v="0.25"/>
    <n v="13"/>
    <n v="5"/>
    <s v="Haniya"/>
    <s v="Talley"/>
    <s v="Prince William Sound Science Center"/>
    <n v="3"/>
    <x v="9"/>
    <n v="3.6"/>
    <s v="Category 2"/>
    <e v="#N/A"/>
    <s v="Yes"/>
    <e v="#N/A"/>
    <n v="0.97561999999999982"/>
    <n v="0.78049599999999986"/>
    <x v="0"/>
    <x v="274"/>
    <x v="1"/>
  </r>
  <r>
    <n v="4009"/>
    <s v="M"/>
    <n v="0.58499999999999996"/>
    <n v="0.45500000000000002"/>
    <n v="0.155"/>
    <n v="1.133"/>
    <n v="0.55149999999999999"/>
    <n v="0.223"/>
    <n v="0.30499999999999999"/>
    <n v="12"/>
    <n v="9"/>
    <s v="Danica"/>
    <s v="Tyler"/>
    <s v="University of Florida_x0009_"/>
    <n v="5"/>
    <x v="3"/>
    <n v="12.8"/>
    <s v="Category 3"/>
    <e v="#N/A"/>
    <e v="#N/A"/>
    <s v="Yes"/>
    <n v="1.0004024999999999"/>
    <n v="1.0004024999999999"/>
    <x v="0"/>
    <x v="0"/>
    <x v="168"/>
  </r>
  <r>
    <n v="2449"/>
    <s v="F"/>
    <n v="0.35"/>
    <n v="0.26500000000000001"/>
    <n v="0.09"/>
    <n v="0.1855"/>
    <n v="7.4499999999999997E-2"/>
    <n v="4.1500000000000002E-2"/>
    <n v="0.06"/>
    <n v="7"/>
    <n v="14"/>
    <s v="Santiago"/>
    <s v="Vaughan"/>
    <s v="Ohio State University_x0009_"/>
    <n v="3"/>
    <x v="9"/>
    <n v="3.6"/>
    <s v="Category 2"/>
    <e v="#N/A"/>
    <s v="Yes"/>
    <e v="#N/A"/>
    <n v="0.8954158333333333"/>
    <n v="0.71633266666666673"/>
    <x v="0"/>
    <x v="275"/>
    <x v="1"/>
  </r>
  <r>
    <n v="1648"/>
    <s v="F"/>
    <n v="0.58499999999999996"/>
    <n v="0.44500000000000001"/>
    <n v="0.14000000000000001"/>
    <n v="0.91300000000000003"/>
    <n v="0.43049999999999999"/>
    <n v="0.2205"/>
    <n v="0.253"/>
    <n v="10"/>
    <n v="8"/>
    <s v="Kali"/>
    <s v="Metcalfe"/>
    <s v="Mote Marine Laboratory"/>
    <n v="10"/>
    <x v="5"/>
    <n v="24.1"/>
    <s v="Category 3"/>
    <e v="#N/A"/>
    <e v="#N/A"/>
    <s v="Yes"/>
    <n v="1.0037699999999998"/>
    <n v="1.0037699999999998"/>
    <x v="0"/>
    <x v="0"/>
    <x v="169"/>
  </r>
  <r>
    <n v="4"/>
    <s v="M"/>
    <n v="0.44"/>
    <n v="0.36499999999999999"/>
    <n v="0.125"/>
    <n v="0.51600000000000001"/>
    <n v="0.2155"/>
    <n v="0.114"/>
    <n v="0.155"/>
    <n v="10"/>
    <n v="8"/>
    <s v="Kali"/>
    <s v="Metcalfe"/>
    <s v="Mote Marine Laboratory"/>
    <n v="6"/>
    <x v="8"/>
    <n v="14.1"/>
    <s v="Category 2"/>
    <e v="#N/A"/>
    <s v="Yes"/>
    <e v="#N/A"/>
    <n v="0.94468333333333332"/>
    <n v="0.75574666666666668"/>
    <x v="0"/>
    <x v="276"/>
    <x v="1"/>
  </r>
  <r>
    <n v="1373"/>
    <s v="F"/>
    <n v="0.61499999999999999"/>
    <n v="0.47499999999999998"/>
    <n v="0.16500000000000001"/>
    <n v="1.0229999999999999"/>
    <n v="0.49049999999999999"/>
    <n v="0.19550000000000001"/>
    <n v="0.30349999999999999"/>
    <n v="12"/>
    <n v="7"/>
    <s v="Iona"/>
    <s v="Connolly"/>
    <s v="Florida Atlantic University"/>
    <n v="2"/>
    <x v="1"/>
    <n v="18"/>
    <s v="Category 3"/>
    <e v="#N/A"/>
    <e v="#N/A"/>
    <s v="Yes"/>
    <n v="1.0232658333333333"/>
    <n v="1.0232658333333333"/>
    <x v="0"/>
    <x v="0"/>
    <x v="170"/>
  </r>
  <r>
    <n v="869"/>
    <s v="F"/>
    <n v="0.61499999999999999"/>
    <n v="0.52"/>
    <n v="0.15"/>
    <n v="1.3434999999999999"/>
    <n v="0.629"/>
    <n v="0.26050000000000001"/>
    <n v="0.34499999999999997"/>
    <n v="10"/>
    <n v="13"/>
    <s v="Betty"/>
    <s v="Berg"/>
    <s v="University of Houston"/>
    <n v="8"/>
    <x v="4"/>
    <n v="12.3"/>
    <s v="Category 3"/>
    <e v="#N/A"/>
    <e v="#N/A"/>
    <s v="Yes"/>
    <n v="1.0223541666666667"/>
    <n v="1.0223541666666667"/>
    <x v="0"/>
    <x v="0"/>
    <x v="171"/>
  </r>
  <r>
    <n v="3162"/>
    <s v="F"/>
    <n v="0.33500000000000002"/>
    <n v="0.22"/>
    <n v="7.0000000000000007E-2"/>
    <n v="0.17"/>
    <n v="7.5999999999999998E-2"/>
    <n v="3.6499999999999998E-2"/>
    <n v="0.05"/>
    <n v="6"/>
    <n v="15"/>
    <s v="Conan"/>
    <s v="Dalton"/>
    <s v="University of Houston"/>
    <n v="8"/>
    <x v="4"/>
    <n v="12.3"/>
    <s v="Category 2"/>
    <e v="#N/A"/>
    <s v="Yes"/>
    <e v="#N/A"/>
    <n v="0.87565000000000004"/>
    <n v="0.70052000000000003"/>
    <x v="0"/>
    <x v="277"/>
    <x v="1"/>
  </r>
  <r>
    <n v="1453"/>
    <s v="I"/>
    <n v="0.47"/>
    <n v="0.34499999999999997"/>
    <n v="0.14000000000000001"/>
    <n v="0.46150000000000002"/>
    <n v="0.22900000000000001"/>
    <n v="0.1105"/>
    <n v="0.11600000000000001"/>
    <n v="9"/>
    <n v="11"/>
    <s v="Naima"/>
    <s v="Reyes"/>
    <s v="University of Houston"/>
    <n v="4"/>
    <x v="2"/>
    <n v="6.1"/>
    <s v="Category 2"/>
    <e v="#N/A"/>
    <s v="Yes"/>
    <e v="#N/A"/>
    <n v="0.95166833333333334"/>
    <n v="0.76133466666666672"/>
    <x v="0"/>
    <x v="278"/>
    <x v="1"/>
  </r>
  <r>
    <n v="594"/>
    <s v="F"/>
    <n v="0.66"/>
    <n v="0.52"/>
    <n v="0.18"/>
    <n v="1.514"/>
    <n v="0.52600000000000002"/>
    <n v="0.29749999999999999"/>
    <n v="0.42"/>
    <n v="19"/>
    <n v="3"/>
    <s v="Inaya"/>
    <s v="Bernard"/>
    <s v="Stanford University"/>
    <n v="7"/>
    <x v="6"/>
    <n v="2.5"/>
    <s v="Category 2"/>
    <e v="#N/A"/>
    <s v="Yes"/>
    <e v="#N/A"/>
    <n v="1.03782"/>
    <n v="0.83025599999999999"/>
    <x v="0"/>
    <x v="279"/>
    <x v="1"/>
  </r>
  <r>
    <n v="791"/>
    <s v="F"/>
    <n v="0.56999999999999995"/>
    <n v="0.46500000000000002"/>
    <n v="0.16"/>
    <n v="0.89349999999999996"/>
    <n v="0.3145"/>
    <n v="0.25750000000000001"/>
    <n v="0.26300000000000001"/>
    <n v="10"/>
    <n v="14"/>
    <s v="Santiago"/>
    <s v="Vaughan"/>
    <s v="Ohio State University_x0009_"/>
    <n v="10"/>
    <x v="5"/>
    <n v="24.1"/>
    <s v="Category 2"/>
    <e v="#N/A"/>
    <s v="Yes"/>
    <e v="#N/A"/>
    <n v="1.00926"/>
    <n v="0.80740800000000013"/>
    <x v="0"/>
    <x v="280"/>
    <x v="1"/>
  </r>
  <r>
    <n v="2138"/>
    <s v="F"/>
    <n v="0.59"/>
    <n v="0.45500000000000002"/>
    <n v="0.17499999999999999"/>
    <n v="0.96599999999999997"/>
    <n v="0.39100000000000001"/>
    <n v="0.2455"/>
    <n v="0.31"/>
    <n v="10"/>
    <n v="2"/>
    <s v="Tiegan"/>
    <s v="Davie"/>
    <s v="University of California, Davis"/>
    <n v="4"/>
    <x v="2"/>
    <n v="6.1"/>
    <s v="Category 2"/>
    <e v="#N/A"/>
    <s v="Yes"/>
    <e v="#N/A"/>
    <n v="1.0121083333333334"/>
    <n v="0.80968666666666678"/>
    <x v="0"/>
    <x v="281"/>
    <x v="1"/>
  </r>
  <r>
    <n v="2989"/>
    <s v="M"/>
    <n v="0.55500000000000005"/>
    <n v="0.42499999999999999"/>
    <n v="0.15"/>
    <n v="0.873"/>
    <n v="0.46250000000000002"/>
    <n v="0.1845"/>
    <n v="0.19650000000000001"/>
    <n v="9"/>
    <n v="9"/>
    <s v="Danica"/>
    <s v="Tyler"/>
    <s v="University of Florida_x0009_"/>
    <n v="2"/>
    <x v="1"/>
    <n v="18"/>
    <s v="Category 3"/>
    <e v="#N/A"/>
    <e v="#N/A"/>
    <s v="Yes"/>
    <n v="0.99029166666666657"/>
    <n v="0.99029166666666657"/>
    <x v="0"/>
    <x v="0"/>
    <x v="172"/>
  </r>
  <r>
    <n v="1431"/>
    <s v="I"/>
    <n v="0.23"/>
    <n v="0.16500000000000001"/>
    <n v="0.06"/>
    <n v="5.1499999999999997E-2"/>
    <n v="1.9E-2"/>
    <n v="1.4500000000000001E-2"/>
    <n v="3.5999999999999997E-2"/>
    <n v="4"/>
    <n v="7"/>
    <s v="Iona"/>
    <s v="Connolly"/>
    <s v="Florida Atlantic University"/>
    <n v="9"/>
    <x v="7"/>
    <n v="1.9"/>
    <s v="Category 2"/>
    <e v="#N/A"/>
    <s v="Yes"/>
    <e v="#N/A"/>
    <n v="0.82874833333333331"/>
    <n v="0.66299866666666674"/>
    <x v="0"/>
    <x v="282"/>
    <x v="1"/>
  </r>
  <r>
    <n v="3423"/>
    <s v="M"/>
    <n v="0.61"/>
    <n v="0.47"/>
    <n v="0.155"/>
    <n v="1.0325"/>
    <n v="0.497"/>
    <n v="0.2175"/>
    <n v="0.27850000000000003"/>
    <n v="9"/>
    <n v="6"/>
    <s v="Martin"/>
    <s v="Gaines"/>
    <s v="San Diego State University"/>
    <n v="10"/>
    <x v="5"/>
    <n v="24.1"/>
    <s v="Category 3"/>
    <e v="#N/A"/>
    <e v="#N/A"/>
    <s v="Yes"/>
    <n v="1.0178395833333334"/>
    <n v="1.0178395833333334"/>
    <x v="0"/>
    <x v="0"/>
    <x v="173"/>
  </r>
  <r>
    <n v="4042"/>
    <s v="I"/>
    <n v="0.57499999999999996"/>
    <n v="0.45"/>
    <n v="0.15"/>
    <n v="0.85799999999999998"/>
    <n v="0.44900000000000001"/>
    <n v="0.16600000000000001"/>
    <n v="0.215"/>
    <n v="10"/>
    <n v="9"/>
    <s v="Danica"/>
    <s v="Tyler"/>
    <s v="University of Florida_x0009_"/>
    <n v="4"/>
    <x v="2"/>
    <n v="6.1"/>
    <s v="Category 3"/>
    <e v="#N/A"/>
    <e v="#N/A"/>
    <s v="Yes"/>
    <n v="1.0059166666666666"/>
    <n v="1.0059166666666666"/>
    <x v="0"/>
    <x v="0"/>
    <x v="174"/>
  </r>
  <r>
    <n v="1107"/>
    <s v="I"/>
    <n v="0.51"/>
    <n v="0.4"/>
    <n v="0.125"/>
    <n v="0.5575"/>
    <n v="0.26150000000000001"/>
    <n v="0.1195"/>
    <n v="0.1525"/>
    <n v="9"/>
    <n v="2"/>
    <s v="Tiegan"/>
    <s v="Davie"/>
    <s v="University of California, Davis"/>
    <n v="1"/>
    <x v="0"/>
    <n v="22.1"/>
    <s v="Category 2"/>
    <e v="#N/A"/>
    <s v="Yes"/>
    <e v="#N/A"/>
    <n v="0.97778125000000005"/>
    <n v="0.78222500000000006"/>
    <x v="0"/>
    <x v="283"/>
    <x v="1"/>
  </r>
  <r>
    <n v="943"/>
    <s v="I"/>
    <n v="0.46500000000000002"/>
    <n v="0.37"/>
    <n v="0.115"/>
    <n v="0.53400000000000003"/>
    <n v="0.26100000000000001"/>
    <n v="9.8000000000000004E-2"/>
    <n v="0.14299999999999999"/>
    <n v="7"/>
    <n v="3"/>
    <s v="Inaya"/>
    <s v="Bernard"/>
    <s v="Stanford University"/>
    <n v="5"/>
    <x v="3"/>
    <n v="12.8"/>
    <s v="Category 2"/>
    <e v="#N/A"/>
    <s v="Yes"/>
    <e v="#N/A"/>
    <n v="0.95296833333333331"/>
    <n v="0.76237466666666664"/>
    <x v="0"/>
    <x v="284"/>
    <x v="1"/>
  </r>
  <r>
    <n v="1712"/>
    <s v="M"/>
    <n v="0.64500000000000002"/>
    <n v="0.51"/>
    <n v="0.16"/>
    <n v="1.33"/>
    <n v="0.66649999999999998"/>
    <n v="0.309"/>
    <n v="0.317"/>
    <n v="9"/>
    <n v="1"/>
    <s v="Jan"/>
    <s v="Odom"/>
    <s v="University of Houston"/>
    <n v="4"/>
    <x v="2"/>
    <n v="6.1"/>
    <s v="Category 3"/>
    <e v="#N/A"/>
    <e v="#N/A"/>
    <s v="Yes"/>
    <n v="1.0318000000000001"/>
    <n v="1.0318000000000001"/>
    <x v="0"/>
    <x v="0"/>
    <x v="175"/>
  </r>
  <r>
    <n v="843"/>
    <s v="M"/>
    <n v="0.5"/>
    <n v="0.4"/>
    <n v="0.125"/>
    <n v="0.59750000000000003"/>
    <n v="0.27"/>
    <n v="0.1275"/>
    <n v="0.16600000000000001"/>
    <n v="9"/>
    <n v="4"/>
    <s v="Nate"/>
    <s v="Craig"/>
    <s v="NOAA Fisheries"/>
    <n v="4"/>
    <x v="2"/>
    <n v="6.1"/>
    <s v="Category 2"/>
    <e v="#N/A"/>
    <s v="Yes"/>
    <e v="#N/A"/>
    <n v="0.97261458333333328"/>
    <n v="0.77809166666666663"/>
    <x v="0"/>
    <x v="285"/>
    <x v="1"/>
  </r>
  <r>
    <n v="1662"/>
    <s v="M"/>
    <n v="0.6"/>
    <n v="0.47"/>
    <n v="0.16"/>
    <n v="1.194"/>
    <n v="0.5625"/>
    <n v="0.30449999999999999"/>
    <n v="0.26350000000000001"/>
    <n v="10"/>
    <n v="11"/>
    <s v="Naima"/>
    <s v="Reyes"/>
    <s v="University of Houston"/>
    <n v="6"/>
    <x v="8"/>
    <n v="14.1"/>
    <s v="Category 3"/>
    <e v="#N/A"/>
    <e v="#N/A"/>
    <s v="Yes"/>
    <n v="1.0089066666666666"/>
    <n v="1.0089066666666666"/>
    <x v="0"/>
    <x v="0"/>
    <x v="176"/>
  </r>
  <r>
    <n v="2758"/>
    <s v="I"/>
    <n v="0.52500000000000002"/>
    <n v="0.375"/>
    <n v="0.12"/>
    <n v="0.63149999999999995"/>
    <n v="0.30449999999999999"/>
    <n v="0.114"/>
    <n v="0.19"/>
    <n v="9"/>
    <n v="3"/>
    <s v="Inaya"/>
    <s v="Bernard"/>
    <s v="Stanford University"/>
    <n v="8"/>
    <x v="4"/>
    <n v="12.3"/>
    <s v="Category 2"/>
    <e v="#N/A"/>
    <s v="Yes"/>
    <e v="#N/A"/>
    <n v="0.97053"/>
    <n v="0.776424"/>
    <x v="0"/>
    <x v="286"/>
    <x v="1"/>
  </r>
  <r>
    <n v="614"/>
    <s v="I"/>
    <n v="0.495"/>
    <n v="0.37"/>
    <n v="0.125"/>
    <n v="0.47749999999999998"/>
    <n v="0.185"/>
    <n v="7.0499999999999993E-2"/>
    <n v="0.16900000000000001"/>
    <n v="18"/>
    <n v="6"/>
    <s v="Martin"/>
    <s v="Gaines"/>
    <s v="San Diego State University"/>
    <n v="10"/>
    <x v="5"/>
    <n v="24.1"/>
    <s v="Category 1"/>
    <s v="Yes"/>
    <e v="#N/A"/>
    <e v="#N/A"/>
    <n v="0.96644791666666663"/>
    <n v="1.4496718749999999"/>
    <x v="4"/>
    <x v="0"/>
    <x v="1"/>
  </r>
  <r>
    <n v="57"/>
    <s v="M"/>
    <n v="0.44500000000000001"/>
    <n v="0.35"/>
    <n v="0.12"/>
    <n v="0.4425"/>
    <n v="0.192"/>
    <n v="9.5500000000000002E-2"/>
    <n v="0.13500000000000001"/>
    <n v="8"/>
    <n v="8"/>
    <s v="Kali"/>
    <s v="Metcalfe"/>
    <s v="Mote Marine Laboratory"/>
    <n v="6"/>
    <x v="8"/>
    <n v="14.1"/>
    <s v="Category 2"/>
    <e v="#N/A"/>
    <s v="Yes"/>
    <e v="#N/A"/>
    <n v="0.94435000000000002"/>
    <n v="0.75548000000000004"/>
    <x v="0"/>
    <x v="287"/>
    <x v="1"/>
  </r>
  <r>
    <n v="4096"/>
    <s v="F"/>
    <n v="0.63500000000000001"/>
    <n v="0.48499999999999999"/>
    <n v="0.155"/>
    <n v="1.073"/>
    <n v="0.46700000000000003"/>
    <n v="0.19750000000000001"/>
    <n v="0.35"/>
    <n v="11"/>
    <n v="11"/>
    <s v="Naima"/>
    <s v="Reyes"/>
    <s v="University of Houston"/>
    <n v="9"/>
    <x v="7"/>
    <n v="1.9"/>
    <s v="Category 3"/>
    <e v="#N/A"/>
    <e v="#N/A"/>
    <s v="Yes"/>
    <n v="1.0295191666666665"/>
    <n v="1.0295191666666665"/>
    <x v="0"/>
    <x v="0"/>
    <x v="177"/>
  </r>
  <r>
    <n v="1779"/>
    <s v="F"/>
    <n v="0.49"/>
    <n v="0.35499999999999998"/>
    <n v="0.16"/>
    <n v="0.87949999999999995"/>
    <n v="0.34849999999999998"/>
    <n v="0.215"/>
    <n v="0.28249999999999997"/>
    <n v="8"/>
    <n v="3"/>
    <s v="Inaya"/>
    <s v="Bernard"/>
    <s v="Stanford University"/>
    <n v="10"/>
    <x v="5"/>
    <n v="24.1"/>
    <s v="Category 2"/>
    <e v="#N/A"/>
    <s v="Yes"/>
    <e v="#N/A"/>
    <n v="0.9464866666666667"/>
    <n v="0.75718933333333338"/>
    <x v="0"/>
    <x v="288"/>
    <x v="1"/>
  </r>
  <r>
    <n v="2336"/>
    <s v="M"/>
    <n v="0.61"/>
    <n v="0.49"/>
    <n v="0.15"/>
    <n v="1.103"/>
    <n v="0.42499999999999999"/>
    <n v="0.20250000000000001"/>
    <n v="0.36"/>
    <n v="23"/>
    <n v="3"/>
    <s v="Inaya"/>
    <s v="Bernard"/>
    <s v="Stanford University"/>
    <n v="8"/>
    <x v="4"/>
    <n v="12.3"/>
    <s v="Category 2"/>
    <e v="#N/A"/>
    <s v="Yes"/>
    <e v="#N/A"/>
    <n v="1.0207083333333333"/>
    <n v="0.81656666666666666"/>
    <x v="0"/>
    <x v="289"/>
    <x v="1"/>
  </r>
  <r>
    <n v="2817"/>
    <s v="I"/>
    <n v="0.32500000000000001"/>
    <n v="0.24"/>
    <n v="7.4999999999999997E-2"/>
    <n v="0.1525"/>
    <n v="7.1999999999999995E-2"/>
    <n v="6.4500000000000002E-2"/>
    <n v="4.2999999999999997E-2"/>
    <n v="6"/>
    <n v="8"/>
    <s v="Kali"/>
    <s v="Metcalfe"/>
    <s v="Mote Marine Laboratory"/>
    <n v="10"/>
    <x v="5"/>
    <n v="24.1"/>
    <s v="Category 2"/>
    <e v="#N/A"/>
    <s v="Yes"/>
    <e v="#N/A"/>
    <n v="0.88007291666666665"/>
    <n v="0.70405833333333334"/>
    <x v="0"/>
    <x v="290"/>
    <x v="1"/>
  </r>
  <r>
    <n v="2498"/>
    <s v="M"/>
    <n v="0.505"/>
    <n v="0.4"/>
    <n v="0.155"/>
    <n v="0.84150000000000003"/>
    <n v="0.27150000000000002"/>
    <n v="0.17749999999999999"/>
    <n v="0.28499999999999998"/>
    <n v="12"/>
    <n v="11"/>
    <s v="Naima"/>
    <s v="Reyes"/>
    <s v="University of Houston"/>
    <n v="10"/>
    <x v="5"/>
    <n v="24.1"/>
    <s v="Category 2"/>
    <e v="#N/A"/>
    <s v="Yes"/>
    <e v="#N/A"/>
    <n v="0.9673054166666667"/>
    <n v="0.77384433333333336"/>
    <x v="0"/>
    <x v="291"/>
    <x v="1"/>
  </r>
  <r>
    <n v="2752"/>
    <s v="F"/>
    <n v="0.51500000000000001"/>
    <n v="0.39500000000000002"/>
    <n v="0.13500000000000001"/>
    <n v="0.51600000000000001"/>
    <n v="0.20150000000000001"/>
    <n v="0.13200000000000001"/>
    <n v="0.16200000000000001"/>
    <n v="9"/>
    <n v="11"/>
    <s v="Naima"/>
    <s v="Reyes"/>
    <s v="University of Houston"/>
    <n v="1"/>
    <x v="0"/>
    <n v="22.1"/>
    <s v="Category 2"/>
    <e v="#N/A"/>
    <s v="Yes"/>
    <e v="#N/A"/>
    <n v="0.98054333333333321"/>
    <n v="0.78443466666666661"/>
    <x v="0"/>
    <x v="292"/>
    <x v="1"/>
  </r>
  <r>
    <n v="3195"/>
    <s v="F"/>
    <n v="0.61"/>
    <n v="0.47"/>
    <n v="0.16"/>
    <n v="1.0169999999999999"/>
    <n v="0.42599999999999999"/>
    <n v="0.22550000000000001"/>
    <n v="0.32"/>
    <n v="12"/>
    <n v="3"/>
    <s v="Inaya"/>
    <s v="Bernard"/>
    <s v="Stanford University"/>
    <n v="9"/>
    <x v="7"/>
    <n v="1.9"/>
    <s v="Category 3"/>
    <e v="#N/A"/>
    <e v="#N/A"/>
    <s v="Yes"/>
    <n v="1.01932"/>
    <n v="1.01932"/>
    <x v="0"/>
    <x v="0"/>
    <x v="178"/>
  </r>
  <r>
    <n v="778"/>
    <s v="M"/>
    <n v="0.49"/>
    <n v="0.38"/>
    <n v="0.14000000000000001"/>
    <n v="0.63849999999999996"/>
    <n v="0.23050000000000001"/>
    <n v="0.14199999999999999"/>
    <n v="0.19500000000000001"/>
    <n v="13"/>
    <n v="10"/>
    <s v="Hazel"/>
    <s v="Villa"/>
    <s v="University of Minnesota"/>
    <n v="5"/>
    <x v="3"/>
    <n v="12.8"/>
    <s v="Category 2"/>
    <e v="#N/A"/>
    <s v="Yes"/>
    <e v="#N/A"/>
    <n v="0.9623316666666667"/>
    <n v="0.7698653333333334"/>
    <x v="0"/>
    <x v="293"/>
    <x v="1"/>
  </r>
  <r>
    <n v="1930"/>
    <s v="M"/>
    <n v="0.61499999999999999"/>
    <n v="0.495"/>
    <n v="0.2"/>
    <n v="1.2190000000000001"/>
    <n v="0.56399999999999995"/>
    <n v="0.22700000000000001"/>
    <n v="0.38850000000000001"/>
    <n v="10"/>
    <n v="12"/>
    <s v="Rebecca"/>
    <s v="Bennett"/>
    <s v="University of Houston"/>
    <n v="6"/>
    <x v="8"/>
    <n v="14.1"/>
    <s v="Category 3"/>
    <e v="#N/A"/>
    <e v="#N/A"/>
    <s v="Yes"/>
    <n v="1.0293666666666668"/>
    <n v="1.0293666666666668"/>
    <x v="0"/>
    <x v="0"/>
    <x v="179"/>
  </r>
  <r>
    <n v="4161"/>
    <s v="F"/>
    <n v="0.58499999999999996"/>
    <n v="0.47499999999999998"/>
    <n v="0.16500000000000001"/>
    <n v="1.0529999999999999"/>
    <n v="0.45800000000000002"/>
    <n v="0.217"/>
    <n v="0.3"/>
    <n v="11"/>
    <n v="10"/>
    <s v="Hazel"/>
    <s v="Villa"/>
    <s v="University of Minnesota"/>
    <n v="10"/>
    <x v="5"/>
    <n v="24.1"/>
    <s v="Category 3"/>
    <e v="#N/A"/>
    <e v="#N/A"/>
    <s v="Yes"/>
    <n v="1.0120908333333332"/>
    <n v="1.0120908333333332"/>
    <x v="0"/>
    <x v="0"/>
    <x v="180"/>
  </r>
  <r>
    <n v="28"/>
    <s v="M"/>
    <n v="0.59"/>
    <n v="0.44500000000000001"/>
    <n v="0.14000000000000001"/>
    <n v="0.93100000000000005"/>
    <n v="0.35599999999999998"/>
    <n v="0.23400000000000001"/>
    <n v="0.28000000000000003"/>
    <n v="12"/>
    <n v="14"/>
    <s v="Santiago"/>
    <s v="Vaughan"/>
    <s v="Ohio State University_x0009_"/>
    <n v="3"/>
    <x v="9"/>
    <n v="3.6"/>
    <s v="Category 2"/>
    <e v="#N/A"/>
    <s v="Yes"/>
    <e v="#N/A"/>
    <n v="1.0046566666666665"/>
    <n v="0.80372533333333329"/>
    <x v="0"/>
    <x v="294"/>
    <x v="1"/>
  </r>
  <r>
    <n v="2807"/>
    <s v="F"/>
    <n v="0.67500000000000004"/>
    <n v="0.52500000000000002"/>
    <n v="0.17"/>
    <n v="1.7110000000000001"/>
    <n v="0.83650000000000002"/>
    <n v="0.35199999999999998"/>
    <n v="0.47499999999999998"/>
    <n v="9"/>
    <n v="15"/>
    <s v="Conan"/>
    <s v="Dalton"/>
    <s v="University of Houston"/>
    <n v="10"/>
    <x v="5"/>
    <n v="24.1"/>
    <s v="Category 3"/>
    <e v="#N/A"/>
    <e v="#N/A"/>
    <s v="Yes"/>
    <n v="1.0344116666666667"/>
    <n v="1.0344116666666667"/>
    <x v="0"/>
    <x v="0"/>
    <x v="181"/>
  </r>
  <r>
    <n v="1832"/>
    <s v="I"/>
    <n v="0.36499999999999999"/>
    <n v="0.27"/>
    <n v="7.4999999999999997E-2"/>
    <n v="0.2215"/>
    <n v="9.5000000000000001E-2"/>
    <n v="4.4499999999999998E-2"/>
    <n v="7.0000000000000007E-2"/>
    <n v="6"/>
    <n v="13"/>
    <s v="Betty"/>
    <s v="Berg"/>
    <s v="University of Houston"/>
    <n v="7"/>
    <x v="6"/>
    <n v="2.5"/>
    <s v="Category 2"/>
    <e v="#N/A"/>
    <s v="Yes"/>
    <e v="#N/A"/>
    <n v="0.89966874999999991"/>
    <n v="0.71973500000000001"/>
    <x v="0"/>
    <x v="295"/>
    <x v="1"/>
  </r>
  <r>
    <n v="474"/>
    <s v="F"/>
    <n v="0.52"/>
    <n v="0.40500000000000003"/>
    <n v="0.12"/>
    <n v="0.627"/>
    <n v="0.26450000000000001"/>
    <n v="0.14149999999999999"/>
    <n v="0.18099999999999999"/>
    <n v="11"/>
    <n v="4"/>
    <s v="Nate"/>
    <s v="Craig"/>
    <s v="NOAA Fisheries"/>
    <n v="9"/>
    <x v="7"/>
    <n v="1.9"/>
    <s v="Category 2"/>
    <e v="#N/A"/>
    <s v="Yes"/>
    <e v="#N/A"/>
    <n v="0.97907333333333335"/>
    <n v="0.78325866666666677"/>
    <x v="0"/>
    <x v="296"/>
    <x v="1"/>
  </r>
  <r>
    <n v="856"/>
    <s v="F"/>
    <n v="0.57499999999999996"/>
    <n v="0.46500000000000002"/>
    <n v="0.14000000000000001"/>
    <n v="0.95799999999999996"/>
    <n v="0.442"/>
    <n v="0.18149999999999999"/>
    <n v="0.27050000000000002"/>
    <n v="9"/>
    <n v="5"/>
    <s v="Haniya"/>
    <s v="Talley"/>
    <s v="Prince William Sound Science Center"/>
    <n v="4"/>
    <x v="2"/>
    <n v="6.1"/>
    <s v="Category 3"/>
    <e v="#N/A"/>
    <e v="#N/A"/>
    <s v="Yes"/>
    <n v="1.0051533333333333"/>
    <n v="1.0051533333333333"/>
    <x v="0"/>
    <x v="0"/>
    <x v="182"/>
  </r>
  <r>
    <n v="3358"/>
    <s v="I"/>
    <n v="0.375"/>
    <n v="0.28499999999999998"/>
    <n v="0.1"/>
    <n v="0.23899999999999999"/>
    <n v="0.105"/>
    <n v="5.5500000000000001E-2"/>
    <n v="7.0000000000000007E-2"/>
    <n v="8"/>
    <n v="5"/>
    <s v="Haniya"/>
    <s v="Talley"/>
    <s v="Prince William Sound Science Center"/>
    <n v="9"/>
    <x v="7"/>
    <n v="1.9"/>
    <s v="Category 2"/>
    <e v="#N/A"/>
    <s v="Yes"/>
    <e v="#N/A"/>
    <n v="0.90805000000000002"/>
    <n v="0.72644000000000009"/>
    <x v="0"/>
    <x v="297"/>
    <x v="1"/>
  </r>
  <r>
    <n v="1486"/>
    <s v="F"/>
    <n v="0.59"/>
    <n v="0.46"/>
    <n v="0.14499999999999999"/>
    <n v="0.99050000000000005"/>
    <n v="0.45300000000000001"/>
    <n v="0.2205"/>
    <n v="0.27500000000000002"/>
    <n v="8"/>
    <n v="6"/>
    <s v="Martin"/>
    <s v="Gaines"/>
    <s v="San Diego State University"/>
    <n v="6"/>
    <x v="8"/>
    <n v="14.1"/>
    <s v="Category 3"/>
    <e v="#N/A"/>
    <e v="#N/A"/>
    <s v="Yes"/>
    <n v="1.0079037500000001"/>
    <n v="1.0079037500000001"/>
    <x v="0"/>
    <x v="0"/>
    <x v="183"/>
  </r>
  <r>
    <n v="419"/>
    <s v="F"/>
    <n v="0.63"/>
    <n v="0.5"/>
    <n v="0.155"/>
    <n v="1.0049999999999999"/>
    <n v="0.36699999999999999"/>
    <n v="0.19900000000000001"/>
    <n v="0.36"/>
    <n v="16"/>
    <n v="1"/>
    <s v="Jan"/>
    <s v="Odom"/>
    <s v="University of Houston"/>
    <n v="10"/>
    <x v="5"/>
    <n v="24.1"/>
    <s v="Category 2"/>
    <e v="#N/A"/>
    <s v="Yes"/>
    <e v="#N/A"/>
    <n v="1.0356291666666666"/>
    <n v="0.82850333333333337"/>
    <x v="0"/>
    <x v="298"/>
    <x v="1"/>
  </r>
  <r>
    <n v="3908"/>
    <s v="I"/>
    <n v="0.48"/>
    <n v="0.39"/>
    <n v="0.15"/>
    <n v="0.62749999999999995"/>
    <n v="0.27600000000000002"/>
    <n v="0.13400000000000001"/>
    <n v="0.185"/>
    <n v="13"/>
    <n v="8"/>
    <s v="Kali"/>
    <s v="Metcalfe"/>
    <s v="Mote Marine Laboratory"/>
    <n v="2"/>
    <x v="1"/>
    <n v="18"/>
    <s v="Category 2"/>
    <e v="#N/A"/>
    <s v="Yes"/>
    <e v="#N/A"/>
    <n v="0.96385416666666668"/>
    <n v="0.77108333333333334"/>
    <x v="0"/>
    <x v="299"/>
    <x v="1"/>
  </r>
  <r>
    <n v="639"/>
    <s v="I"/>
    <n v="0.44"/>
    <n v="0.34499999999999997"/>
    <n v="0.12"/>
    <n v="0.48699999999999999"/>
    <n v="0.19650000000000001"/>
    <n v="0.108"/>
    <n v="0.16"/>
    <n v="14"/>
    <n v="14"/>
    <s v="Santiago"/>
    <s v="Vaughan"/>
    <s v="Ohio State University_x0009_"/>
    <n v="7"/>
    <x v="6"/>
    <n v="2.5"/>
    <s v="Category 2"/>
    <e v="#N/A"/>
    <s v="Yes"/>
    <e v="#N/A"/>
    <n v="0.93894"/>
    <n v="0.75115200000000004"/>
    <x v="0"/>
    <x v="300"/>
    <x v="1"/>
  </r>
  <r>
    <n v="2007"/>
    <s v="I"/>
    <n v="0.40500000000000003"/>
    <n v="0.25"/>
    <n v="0.09"/>
    <n v="0.28749999999999998"/>
    <n v="0.128"/>
    <n v="6.3E-2"/>
    <n v="8.0500000000000002E-2"/>
    <n v="7"/>
    <n v="11"/>
    <s v="Naima"/>
    <s v="Reyes"/>
    <s v="University of Houston"/>
    <n v="5"/>
    <x v="3"/>
    <n v="12.8"/>
    <s v="Category 2"/>
    <e v="#N/A"/>
    <s v="Yes"/>
    <e v="#N/A"/>
    <n v="0.90347916666666672"/>
    <n v="0.72278333333333344"/>
    <x v="0"/>
    <x v="301"/>
    <x v="1"/>
  </r>
  <r>
    <n v="1199"/>
    <s v="M"/>
    <n v="0.71499999999999997"/>
    <n v="0.53500000000000003"/>
    <n v="0.19"/>
    <n v="1.6755"/>
    <n v="0.88900000000000001"/>
    <n v="0.313"/>
    <n v="0.42"/>
    <n v="10"/>
    <n v="5"/>
    <s v="Haniya"/>
    <s v="Talley"/>
    <s v="Prince William Sound Science Center"/>
    <n v="5"/>
    <x v="3"/>
    <n v="12.8"/>
    <s v="Category 3"/>
    <e v="#N/A"/>
    <e v="#N/A"/>
    <s v="Yes"/>
    <n v="1.0580241666666668"/>
    <n v="1.0580241666666668"/>
    <x v="0"/>
    <x v="0"/>
    <x v="184"/>
  </r>
  <r>
    <n v="1888"/>
    <s v="I"/>
    <n v="0.56000000000000005"/>
    <n v="0.44500000000000001"/>
    <n v="0.16500000000000001"/>
    <n v="0.83199999999999996"/>
    <n v="0.34549999999999997"/>
    <n v="0.17899999999999999"/>
    <n v="0.27900000000000003"/>
    <n v="9"/>
    <n v="10"/>
    <s v="Hazel"/>
    <s v="Villa"/>
    <s v="University of Minnesota"/>
    <n v="5"/>
    <x v="3"/>
    <n v="12.8"/>
    <s v="Category 2"/>
    <e v="#N/A"/>
    <s v="Yes"/>
    <e v="#N/A"/>
    <n v="1.0024133333333332"/>
    <n v="0.80193066666666657"/>
    <x v="0"/>
    <x v="302"/>
    <x v="1"/>
  </r>
  <r>
    <n v="2060"/>
    <s v="I"/>
    <n v="0.49"/>
    <n v="0.37"/>
    <n v="0.11"/>
    <n v="0.53800000000000003"/>
    <n v="0.27100000000000002"/>
    <n v="0.10349999999999999"/>
    <n v="0.13900000000000001"/>
    <n v="8"/>
    <n v="11"/>
    <s v="Naima"/>
    <s v="Reyes"/>
    <s v="University of Houston"/>
    <n v="8"/>
    <x v="4"/>
    <n v="12.3"/>
    <s v="Category 2"/>
    <e v="#N/A"/>
    <s v="Yes"/>
    <e v="#N/A"/>
    <n v="0.96066333333333331"/>
    <n v="0.7685306666666667"/>
    <x v="0"/>
    <x v="303"/>
    <x v="1"/>
  </r>
  <r>
    <n v="3795"/>
    <s v="M"/>
    <n v="0.67"/>
    <n v="0.52"/>
    <n v="0.17499999999999999"/>
    <n v="1.4755"/>
    <n v="0.62749999999999995"/>
    <n v="0.379"/>
    <n v="0.374"/>
    <n v="10"/>
    <n v="10"/>
    <s v="Hazel"/>
    <s v="Villa"/>
    <s v="University of Minnesota"/>
    <n v="1"/>
    <x v="0"/>
    <n v="22.1"/>
    <s v="Category 3"/>
    <e v="#N/A"/>
    <e v="#N/A"/>
    <s v="Yes"/>
    <n v="1.0413354166666666"/>
    <n v="1.0413354166666666"/>
    <x v="0"/>
    <x v="0"/>
    <x v="185"/>
  </r>
  <r>
    <n v="3435"/>
    <s v="I"/>
    <n v="0.37"/>
    <n v="0.28000000000000003"/>
    <n v="0.09"/>
    <n v="0.25650000000000001"/>
    <n v="0.1255"/>
    <n v="6.4500000000000002E-2"/>
    <n v="6.4500000000000002E-2"/>
    <n v="6"/>
    <n v="5"/>
    <s v="Haniya"/>
    <s v="Talley"/>
    <s v="Prince William Sound Science Center"/>
    <n v="8"/>
    <x v="4"/>
    <n v="12.3"/>
    <s v="Category 2"/>
    <e v="#N/A"/>
    <s v="Yes"/>
    <e v="#N/A"/>
    <n v="0.90341416666666663"/>
    <n v="0.72273133333333339"/>
    <x v="0"/>
    <x v="304"/>
    <x v="1"/>
  </r>
  <r>
    <n v="4068"/>
    <s v="I"/>
    <n v="0.4"/>
    <n v="0.3"/>
    <n v="0.115"/>
    <n v="0.318"/>
    <n v="0.13350000000000001"/>
    <n v="7.2499999999999995E-2"/>
    <n v="9.35E-2"/>
    <n v="6"/>
    <n v="8"/>
    <s v="Kali"/>
    <s v="Metcalfe"/>
    <s v="Mote Marine Laboratory"/>
    <n v="2"/>
    <x v="1"/>
    <n v="18"/>
    <s v="Category 2"/>
    <e v="#N/A"/>
    <s v="Yes"/>
    <e v="#N/A"/>
    <n v="0.91822833333333331"/>
    <n v="0.73458266666666672"/>
    <x v="0"/>
    <x v="305"/>
    <x v="1"/>
  </r>
  <r>
    <n v="3063"/>
    <s v="F"/>
    <n v="0.63500000000000001"/>
    <n v="0.505"/>
    <n v="0.16500000000000001"/>
    <n v="1.2509999999999999"/>
    <n v="0.57699999999999996"/>
    <n v="0.22700000000000001"/>
    <n v="0.38250000000000001"/>
    <n v="11"/>
    <n v="14"/>
    <s v="Santiago"/>
    <s v="Vaughan"/>
    <s v="Ohio State University_x0009_"/>
    <n v="5"/>
    <x v="3"/>
    <n v="12.8"/>
    <s v="Category 3"/>
    <e v="#N/A"/>
    <e v="#N/A"/>
    <s v="Yes"/>
    <n v="1.0310024999999998"/>
    <n v="1.0310024999999998"/>
    <x v="0"/>
    <x v="0"/>
    <x v="186"/>
  </r>
  <r>
    <n v="3628"/>
    <s v="M"/>
    <n v="0.71499999999999997"/>
    <n v="0.52500000000000002"/>
    <n v="0.2"/>
    <n v="1.89"/>
    <n v="0.95"/>
    <n v="0.436"/>
    <n v="0.43049999999999999"/>
    <n v="10"/>
    <n v="12"/>
    <s v="Rebecca"/>
    <s v="Bennett"/>
    <s v="University of Houston"/>
    <n v="9"/>
    <x v="7"/>
    <n v="1.9"/>
    <s v="Category 3"/>
    <e v="#N/A"/>
    <e v="#N/A"/>
    <s v="Yes"/>
    <n v="1.0503333333333336"/>
    <n v="1.0503333333333336"/>
    <x v="0"/>
    <x v="0"/>
    <x v="187"/>
  </r>
  <r>
    <n v="4131"/>
    <s v="M"/>
    <n v="0.57999999999999996"/>
    <n v="0.45"/>
    <n v="0.14000000000000001"/>
    <n v="0.82399999999999995"/>
    <n v="0.34649999999999997"/>
    <n v="0.17649999999999999"/>
    <n v="0.26300000000000001"/>
    <n v="10"/>
    <n v="6"/>
    <s v="Martin"/>
    <s v="Gaines"/>
    <s v="San Diego State University"/>
    <n v="1"/>
    <x v="0"/>
    <n v="22.1"/>
    <s v="Category 2"/>
    <e v="#N/A"/>
    <s v="Yes"/>
    <e v="#N/A"/>
    <n v="1.0076266666666664"/>
    <n v="0.80610133333333323"/>
    <x v="0"/>
    <x v="306"/>
    <x v="1"/>
  </r>
  <r>
    <n v="2997"/>
    <s v="F"/>
    <n v="0.62"/>
    <n v="0.5"/>
    <n v="0.17"/>
    <n v="1.1479999999999999"/>
    <n v="0.54749999999999999"/>
    <n v="0.22"/>
    <n v="0.33150000000000002"/>
    <n v="10"/>
    <n v="3"/>
    <s v="Inaya"/>
    <s v="Bernard"/>
    <s v="Stanford University"/>
    <n v="3"/>
    <x v="9"/>
    <n v="3.6"/>
    <s v="Category 3"/>
    <e v="#N/A"/>
    <e v="#N/A"/>
    <s v="Yes"/>
    <n v="1.0293266666666665"/>
    <n v="1.0293266666666665"/>
    <x v="0"/>
    <x v="0"/>
    <x v="188"/>
  </r>
  <r>
    <n v="2304"/>
    <s v="F"/>
    <n v="0.57999999999999996"/>
    <n v="0.45500000000000002"/>
    <n v="0.12"/>
    <n v="0.94"/>
    <n v="0.39900000000000002"/>
    <n v="0.25700000000000001"/>
    <n v="0.26500000000000001"/>
    <n v="11"/>
    <n v="12"/>
    <s v="Rebecca"/>
    <s v="Bennett"/>
    <s v="University of Houston"/>
    <n v="9"/>
    <x v="7"/>
    <n v="1.9"/>
    <s v="Category 2"/>
    <e v="#N/A"/>
    <s v="Yes"/>
    <e v="#N/A"/>
    <n v="1.0011333333333332"/>
    <n v="0.80090666666666666"/>
    <x v="0"/>
    <x v="307"/>
    <x v="1"/>
  </r>
  <r>
    <n v="2354"/>
    <s v="F"/>
    <n v="0.72"/>
    <n v="0.56000000000000005"/>
    <n v="0.17499999999999999"/>
    <n v="1.7264999999999999"/>
    <n v="0.63700000000000001"/>
    <n v="0.34150000000000003"/>
    <n v="0.52500000000000002"/>
    <n v="17"/>
    <n v="3"/>
    <s v="Inaya"/>
    <s v="Bernard"/>
    <s v="Stanford University"/>
    <n v="4"/>
    <x v="2"/>
    <n v="6.1"/>
    <s v="Category 3"/>
    <e v="#N/A"/>
    <e v="#N/A"/>
    <s v="Yes"/>
    <n v="1.0619229166666664"/>
    <n v="1.0619229166666664"/>
    <x v="0"/>
    <x v="0"/>
    <x v="189"/>
  </r>
  <r>
    <n v="170"/>
    <s v="F"/>
    <n v="0.68"/>
    <n v="0.51500000000000001"/>
    <n v="0.17499999999999999"/>
    <n v="1.6185"/>
    <n v="0.51249999999999996"/>
    <n v="0.40899999999999997"/>
    <n v="0.62"/>
    <n v="12"/>
    <n v="9"/>
    <s v="Danica"/>
    <s v="Tyler"/>
    <s v="University of Florida_x0009_"/>
    <n v="10"/>
    <x v="5"/>
    <n v="24.1"/>
    <s v="Category 3"/>
    <e v="#N/A"/>
    <e v="#N/A"/>
    <s v="Yes"/>
    <n v="1.0376395833333334"/>
    <n v="1.0376395833333334"/>
    <x v="0"/>
    <x v="0"/>
    <x v="190"/>
  </r>
  <r>
    <n v="2812"/>
    <s v="M"/>
    <n v="0.72499999999999998"/>
    <n v="0.56999999999999995"/>
    <n v="0.19"/>
    <n v="2.3304999999999998"/>
    <n v="1.2529999999999999"/>
    <n v="0.54100000000000004"/>
    <n v="0.52"/>
    <n v="9"/>
    <n v="12"/>
    <s v="Rebecca"/>
    <s v="Bennett"/>
    <s v="University of Houston"/>
    <n v="1"/>
    <x v="0"/>
    <n v="22.1"/>
    <s v="Category 1"/>
    <s v="Yes"/>
    <e v="#N/A"/>
    <e v="#N/A"/>
    <n v="1.0500991666666666"/>
    <n v="1.5751487499999999"/>
    <x v="5"/>
    <x v="0"/>
    <x v="1"/>
  </r>
  <r>
    <n v="1575"/>
    <s v="M"/>
    <n v="0.48"/>
    <n v="0.35499999999999998"/>
    <n v="0.16"/>
    <n v="0.46400000000000002"/>
    <n v="0.221"/>
    <n v="0.106"/>
    <n v="0.23899999999999999"/>
    <n v="8"/>
    <n v="4"/>
    <s v="Nate"/>
    <s v="Craig"/>
    <s v="NOAA Fisheries"/>
    <n v="2"/>
    <x v="1"/>
    <n v="18"/>
    <s v="Category 2"/>
    <e v="#N/A"/>
    <s v="Yes"/>
    <e v="#N/A"/>
    <n v="0.95977333333333326"/>
    <n v="0.76781866666666665"/>
    <x v="0"/>
    <x v="308"/>
    <x v="1"/>
  </r>
  <r>
    <n v="2943"/>
    <s v="M"/>
    <n v="0.63"/>
    <n v="0.53"/>
    <n v="0.18"/>
    <n v="1.2795000000000001"/>
    <n v="0.61799999999999999"/>
    <n v="0.25600000000000001"/>
    <n v="0.315"/>
    <n v="9"/>
    <n v="14"/>
    <s v="Santiago"/>
    <s v="Vaughan"/>
    <s v="Ohio State University_x0009_"/>
    <n v="9"/>
    <x v="7"/>
    <n v="1.9"/>
    <s v="Category 3"/>
    <e v="#N/A"/>
    <e v="#N/A"/>
    <s v="Yes"/>
    <n v="1.0397516666666669"/>
    <n v="1.0397516666666669"/>
    <x v="0"/>
    <x v="0"/>
    <x v="191"/>
  </r>
  <r>
    <n v="1691"/>
    <s v="M"/>
    <n v="0.625"/>
    <n v="0.5"/>
    <n v="0.17"/>
    <n v="1.0985"/>
    <n v="0.46450000000000002"/>
    <n v="0.22"/>
    <n v="0.35399999999999998"/>
    <n v="9"/>
    <n v="12"/>
    <s v="Rebecca"/>
    <s v="Bennett"/>
    <s v="University of Houston"/>
    <n v="2"/>
    <x v="1"/>
    <n v="18"/>
    <s v="Category 3"/>
    <e v="#N/A"/>
    <e v="#N/A"/>
    <s v="Yes"/>
    <n v="1.0328908333333335"/>
    <n v="1.0328908333333335"/>
    <x v="0"/>
    <x v="0"/>
    <x v="192"/>
  </r>
  <r>
    <n v="3480"/>
    <s v="I"/>
    <n v="0.44"/>
    <n v="0.33"/>
    <n v="0.11"/>
    <n v="0.38"/>
    <n v="0.19700000000000001"/>
    <n v="7.9000000000000001E-2"/>
    <n v="0.09"/>
    <n v="7"/>
    <n v="15"/>
    <s v="Conan"/>
    <s v="Dalton"/>
    <s v="University of Houston"/>
    <n v="9"/>
    <x v="7"/>
    <n v="1.9"/>
    <s v="Category 2"/>
    <e v="#N/A"/>
    <s v="Yes"/>
    <e v="#N/A"/>
    <n v="0.93830000000000002"/>
    <n v="0.75064000000000008"/>
    <x v="0"/>
    <x v="309"/>
    <x v="1"/>
  </r>
  <r>
    <n v="3656"/>
    <s v="M"/>
    <n v="0.53"/>
    <n v="0.41"/>
    <n v="0.125"/>
    <n v="0.76900000000000002"/>
    <n v="0.34599999999999997"/>
    <n v="0.17299999999999999"/>
    <n v="0.215"/>
    <n v="9"/>
    <n v="7"/>
    <s v="Iona"/>
    <s v="Connolly"/>
    <s v="Florida Atlantic University"/>
    <n v="3"/>
    <x v="9"/>
    <n v="3.6"/>
    <s v="Category 2"/>
    <e v="#N/A"/>
    <s v="Yes"/>
    <e v="#N/A"/>
    <n v="0.97808750000000011"/>
    <n v="0.78247000000000011"/>
    <x v="0"/>
    <x v="310"/>
    <x v="1"/>
  </r>
  <r>
    <n v="201"/>
    <s v="F"/>
    <n v="0.45"/>
    <n v="0.34499999999999997"/>
    <n v="0.12"/>
    <n v="0.41649999999999998"/>
    <n v="0.16550000000000001"/>
    <n v="9.5000000000000001E-2"/>
    <n v="0.13500000000000001"/>
    <n v="9"/>
    <n v="13"/>
    <s v="Betty"/>
    <s v="Berg"/>
    <s v="University of Houston"/>
    <n v="2"/>
    <x v="1"/>
    <n v="18"/>
    <s v="Category 2"/>
    <e v="#N/A"/>
    <s v="Yes"/>
    <e v="#N/A"/>
    <n v="0.94556333333333342"/>
    <n v="0.75645066666666683"/>
    <x v="0"/>
    <x v="311"/>
    <x v="1"/>
  </r>
  <r>
    <n v="862"/>
    <s v="F"/>
    <n v="0.59499999999999997"/>
    <n v="0.46500000000000002"/>
    <n v="0.14000000000000001"/>
    <n v="1.113"/>
    <n v="0.51749999999999996"/>
    <n v="0.24399999999999999"/>
    <n v="0.30499999999999999"/>
    <n v="12"/>
    <n v="1"/>
    <s v="Jan"/>
    <s v="Odom"/>
    <s v="University of Houston"/>
    <n v="1"/>
    <x v="0"/>
    <n v="22.1"/>
    <s v="Category 3"/>
    <e v="#N/A"/>
    <e v="#N/A"/>
    <s v="Yes"/>
    <n v="1.0051033333333335"/>
    <n v="1.0051033333333335"/>
    <x v="0"/>
    <x v="0"/>
    <x v="193"/>
  </r>
  <r>
    <n v="261"/>
    <s v="F"/>
    <n v="0.54"/>
    <n v="0.47499999999999998"/>
    <n v="0.155"/>
    <n v="0.92800000000000005"/>
    <n v="0.39400000000000002"/>
    <n v="0.19400000000000001"/>
    <n v="0.26"/>
    <n v="11"/>
    <n v="10"/>
    <s v="Hazel"/>
    <s v="Villa"/>
    <s v="University of Minnesota"/>
    <n v="10"/>
    <x v="5"/>
    <n v="24.1"/>
    <s v="Category 2"/>
    <e v="#N/A"/>
    <s v="Yes"/>
    <e v="#N/A"/>
    <n v="1.00044"/>
    <n v="0.80035200000000006"/>
    <x v="0"/>
    <x v="312"/>
    <x v="1"/>
  </r>
  <r>
    <n v="2467"/>
    <s v="M"/>
    <n v="0.42499999999999999"/>
    <n v="0.32500000000000001"/>
    <n v="0.12"/>
    <n v="0.3755"/>
    <n v="0.14199999999999999"/>
    <n v="0.1065"/>
    <n v="0.105"/>
    <n v="9"/>
    <n v="14"/>
    <s v="Santiago"/>
    <s v="Vaughan"/>
    <s v="Ohio State University_x0009_"/>
    <n v="8"/>
    <x v="4"/>
    <n v="12.3"/>
    <s v="Category 2"/>
    <e v="#N/A"/>
    <s v="Yes"/>
    <e v="#N/A"/>
    <n v="0.93247666666666662"/>
    <n v="0.74598133333333339"/>
    <x v="0"/>
    <x v="313"/>
    <x v="1"/>
  </r>
  <r>
    <n v="3723"/>
    <s v="I"/>
    <n v="0.46500000000000002"/>
    <n v="0.36"/>
    <n v="0.105"/>
    <n v="0.45200000000000001"/>
    <n v="0.22"/>
    <n v="0.159"/>
    <n v="0.10349999999999999"/>
    <n v="9"/>
    <n v="4"/>
    <s v="Nate"/>
    <s v="Craig"/>
    <s v="NOAA Fisheries"/>
    <n v="2"/>
    <x v="1"/>
    <n v="18"/>
    <s v="Category 2"/>
    <e v="#N/A"/>
    <s v="Yes"/>
    <e v="#N/A"/>
    <n v="0.95277666666666661"/>
    <n v="0.76222133333333331"/>
    <x v="0"/>
    <x v="314"/>
    <x v="1"/>
  </r>
  <r>
    <n v="3648"/>
    <s v="I"/>
    <n v="0.48499999999999999"/>
    <n v="0.36499999999999999"/>
    <n v="0.125"/>
    <n v="0.42599999999999999"/>
    <n v="0.16300000000000001"/>
    <n v="9.6500000000000002E-2"/>
    <n v="0.151"/>
    <n v="8"/>
    <n v="13"/>
    <s v="Betty"/>
    <s v="Berg"/>
    <s v="University of Houston"/>
    <n v="2"/>
    <x v="1"/>
    <n v="18"/>
    <s v="Category 2"/>
    <e v="#N/A"/>
    <s v="Yes"/>
    <e v="#N/A"/>
    <n v="0.96380833333333327"/>
    <n v="0.77104666666666666"/>
    <x v="0"/>
    <x v="315"/>
    <x v="1"/>
  </r>
  <r>
    <n v="3118"/>
    <s v="F"/>
    <n v="0.47"/>
    <n v="0.36"/>
    <n v="0.1"/>
    <n v="0.47049999999999997"/>
    <n v="0.16350000000000001"/>
    <n v="8.8999999999999996E-2"/>
    <n v="0.13850000000000001"/>
    <n v="8"/>
    <n v="13"/>
    <s v="Betty"/>
    <s v="Berg"/>
    <s v="University of Houston"/>
    <n v="5"/>
    <x v="3"/>
    <n v="12.8"/>
    <s v="Category 2"/>
    <e v="#N/A"/>
    <s v="Yes"/>
    <e v="#N/A"/>
    <n v="0.95314166666666666"/>
    <n v="0.76251333333333338"/>
    <x v="0"/>
    <x v="316"/>
    <x v="1"/>
  </r>
  <r>
    <n v="1305"/>
    <s v="M"/>
    <n v="0.53500000000000003"/>
    <n v="0.435"/>
    <n v="0.15"/>
    <n v="0.71699999999999997"/>
    <n v="0.34749999999999998"/>
    <n v="0.14449999999999999"/>
    <n v="0.19400000000000001"/>
    <n v="9"/>
    <n v="12"/>
    <s v="Rebecca"/>
    <s v="Bennett"/>
    <s v="University of Houston"/>
    <n v="9"/>
    <x v="7"/>
    <n v="1.9"/>
    <s v="Category 2"/>
    <e v="#N/A"/>
    <s v="Yes"/>
    <e v="#N/A"/>
    <n v="0.99345833333333344"/>
    <n v="0.79476666666666684"/>
    <x v="0"/>
    <x v="317"/>
    <x v="1"/>
  </r>
  <r>
    <n v="968"/>
    <s v="I"/>
    <n v="0.51"/>
    <n v="0.40500000000000003"/>
    <n v="0.13500000000000001"/>
    <n v="0.76900000000000002"/>
    <n v="0.36549999999999999"/>
    <n v="0.1585"/>
    <n v="0.18"/>
    <n v="7"/>
    <n v="15"/>
    <s v="Conan"/>
    <s v="Dalton"/>
    <s v="University of Houston"/>
    <n v="7"/>
    <x v="6"/>
    <n v="2.5"/>
    <s v="Category 2"/>
    <e v="#N/A"/>
    <s v="Yes"/>
    <e v="#N/A"/>
    <n v="0.97103583333333343"/>
    <n v="0.77682866666666683"/>
    <x v="0"/>
    <x v="318"/>
    <x v="1"/>
  </r>
  <r>
    <n v="3986"/>
    <s v="M"/>
    <n v="0.63"/>
    <n v="0.48"/>
    <n v="0.185"/>
    <n v="1.21"/>
    <n v="0.53"/>
    <n v="0.2555"/>
    <n v="0.32200000000000001"/>
    <n v="11"/>
    <n v="5"/>
    <s v="Haniya"/>
    <s v="Talley"/>
    <s v="Prince William Sound Science Center"/>
    <n v="8"/>
    <x v="4"/>
    <n v="12.3"/>
    <s v="Category 3"/>
    <e v="#N/A"/>
    <e v="#N/A"/>
    <s v="Yes"/>
    <n v="1.0266416666666667"/>
    <n v="1.0266416666666667"/>
    <x v="0"/>
    <x v="0"/>
    <x v="194"/>
  </r>
  <r>
    <n v="3729"/>
    <s v="I"/>
    <n v="0.51"/>
    <n v="0.375"/>
    <n v="0.15"/>
    <n v="0.84150000000000003"/>
    <n v="0.38450000000000001"/>
    <n v="0.156"/>
    <n v="0.255"/>
    <n v="10"/>
    <n v="4"/>
    <s v="Nate"/>
    <s v="Craig"/>
    <s v="NOAA Fisheries"/>
    <n v="10"/>
    <x v="5"/>
    <n v="24.1"/>
    <s v="Category 2"/>
    <e v="#N/A"/>
    <s v="Yes"/>
    <e v="#N/A"/>
    <n v="0.95993750000000011"/>
    <n v="0.76795000000000013"/>
    <x v="0"/>
    <x v="319"/>
    <x v="1"/>
  </r>
  <r>
    <n v="3075"/>
    <s v="M"/>
    <n v="0.67500000000000004"/>
    <n v="0.52"/>
    <n v="0.14499999999999999"/>
    <n v="1.3645"/>
    <n v="0.55700000000000005"/>
    <n v="0.34050000000000002"/>
    <n v="0.38500000000000001"/>
    <n v="11"/>
    <n v="7"/>
    <s v="Iona"/>
    <s v="Connolly"/>
    <s v="Florida Atlantic University"/>
    <n v="5"/>
    <x v="3"/>
    <n v="12.8"/>
    <s v="Category 3"/>
    <e v="#N/A"/>
    <e v="#N/A"/>
    <s v="Yes"/>
    <n v="1.0403420833333334"/>
    <n v="1.0403420833333334"/>
    <x v="0"/>
    <x v="0"/>
    <x v="195"/>
  </r>
  <r>
    <n v="1144"/>
    <s v="M"/>
    <n v="0.57499999999999996"/>
    <n v="0.44500000000000001"/>
    <n v="0.14499999999999999"/>
    <n v="0.84699999999999998"/>
    <n v="0.41499999999999998"/>
    <n v="0.19450000000000001"/>
    <n v="0.22"/>
    <n v="9"/>
    <n v="8"/>
    <s v="Kali"/>
    <s v="Metcalfe"/>
    <s v="Mote Marine Laboratory"/>
    <n v="5"/>
    <x v="3"/>
    <n v="12.8"/>
    <s v="Category 3"/>
    <e v="#N/A"/>
    <e v="#N/A"/>
    <s v="Yes"/>
    <n v="1.0040024999999999"/>
    <n v="1.0040024999999999"/>
    <x v="0"/>
    <x v="0"/>
    <x v="196"/>
  </r>
  <r>
    <n v="2032"/>
    <s v="F"/>
    <n v="0.6"/>
    <n v="0.45"/>
    <n v="0.14000000000000001"/>
    <n v="0.83699999999999997"/>
    <n v="0.37"/>
    <n v="0.17699999999999999"/>
    <n v="0.24249999999999999"/>
    <n v="10"/>
    <n v="12"/>
    <s v="Rebecca"/>
    <s v="Bennett"/>
    <s v="University of Houston"/>
    <n v="1"/>
    <x v="0"/>
    <n v="22.1"/>
    <s v="Category 2"/>
    <e v="#N/A"/>
    <s v="Yes"/>
    <e v="#N/A"/>
    <n v="1.0137299999999998"/>
    <n v="0.81098399999999993"/>
    <x v="0"/>
    <x v="320"/>
    <x v="1"/>
  </r>
  <r>
    <n v="3303"/>
    <s v="F"/>
    <n v="0.71"/>
    <n v="0.57499999999999996"/>
    <n v="0.17499999999999999"/>
    <n v="1.5549999999999999"/>
    <n v="0.64649999999999996"/>
    <n v="0.3705"/>
    <n v="0.52"/>
    <n v="15"/>
    <n v="2"/>
    <s v="Tiegan"/>
    <s v="Davie"/>
    <s v="University of California, Davis"/>
    <n v="4"/>
    <x v="2"/>
    <n v="6.1"/>
    <s v="Category 3"/>
    <e v="#N/A"/>
    <e v="#N/A"/>
    <s v="Yes"/>
    <n v="1.0700208333333334"/>
    <n v="1.0700208333333334"/>
    <x v="0"/>
    <x v="0"/>
    <x v="197"/>
  </r>
  <r>
    <n v="4152"/>
    <s v="I"/>
    <n v="0.35"/>
    <n v="0.25"/>
    <n v="7.4999999999999997E-2"/>
    <n v="0.16950000000000001"/>
    <n v="8.3500000000000005E-2"/>
    <n v="3.5499999999999997E-2"/>
    <n v="4.1000000000000002E-2"/>
    <n v="6"/>
    <n v="1"/>
    <s v="Jan"/>
    <s v="Odom"/>
    <s v="University of Houston"/>
    <n v="7"/>
    <x v="6"/>
    <n v="2.5"/>
    <s v="Category 2"/>
    <e v="#N/A"/>
    <s v="Yes"/>
    <e v="#N/A"/>
    <n v="0.89081874999999988"/>
    <n v="0.71265499999999993"/>
    <x v="0"/>
    <x v="321"/>
    <x v="1"/>
  </r>
  <r>
    <n v="3171"/>
    <s v="F"/>
    <n v="0.56999999999999995"/>
    <n v="0.46500000000000002"/>
    <n v="0.155"/>
    <n v="0.872"/>
    <n v="0.32450000000000001"/>
    <n v="0.23899999999999999"/>
    <n v="0.28499999999999998"/>
    <n v="14"/>
    <n v="7"/>
    <s v="Iona"/>
    <s v="Connolly"/>
    <s v="Florida Atlantic University"/>
    <n v="6"/>
    <x v="8"/>
    <n v="14.1"/>
    <s v="Category 2"/>
    <e v="#N/A"/>
    <s v="Yes"/>
    <e v="#N/A"/>
    <n v="1.0093933333333336"/>
    <n v="0.80751466666666694"/>
    <x v="0"/>
    <x v="322"/>
    <x v="1"/>
  </r>
  <r>
    <n v="1308"/>
    <s v="I"/>
    <n v="0.54500000000000004"/>
    <n v="0.435"/>
    <n v="0.13500000000000001"/>
    <n v="0.77149999999999996"/>
    <n v="0.372"/>
    <n v="0.14799999999999999"/>
    <n v="0.22700000000000001"/>
    <n v="8"/>
    <n v="12"/>
    <s v="Rebecca"/>
    <s v="Bennett"/>
    <s v="University of Houston"/>
    <n v="5"/>
    <x v="3"/>
    <n v="12.8"/>
    <s v="Category 2"/>
    <e v="#N/A"/>
    <s v="Yes"/>
    <e v="#N/A"/>
    <n v="0.99259208333333349"/>
    <n v="0.79407366666666679"/>
    <x v="0"/>
    <x v="323"/>
    <x v="1"/>
  </r>
  <r>
    <n v="1377"/>
    <s v="M"/>
    <n v="0.62"/>
    <n v="0.51"/>
    <n v="0.17499999999999999"/>
    <n v="1.2815000000000001"/>
    <n v="0.57150000000000001"/>
    <n v="0.23849999999999999"/>
    <n v="0.39"/>
    <n v="10"/>
    <n v="9"/>
    <s v="Danica"/>
    <s v="Tyler"/>
    <s v="University of Florida_x0009_"/>
    <n v="9"/>
    <x v="7"/>
    <n v="1.9"/>
    <s v="Category 3"/>
    <e v="#N/A"/>
    <e v="#N/A"/>
    <s v="Yes"/>
    <n v="1.0286104166666667"/>
    <n v="1.0286104166666667"/>
    <x v="0"/>
    <x v="0"/>
    <x v="198"/>
  </r>
  <r>
    <n v="510"/>
    <s v="I"/>
    <n v="0.56000000000000005"/>
    <n v="0.44500000000000001"/>
    <n v="0.155"/>
    <n v="0.87350000000000005"/>
    <n v="0.30049999999999999"/>
    <n v="0.20899999999999999"/>
    <n v="0.27500000000000002"/>
    <n v="16"/>
    <n v="6"/>
    <s v="Martin"/>
    <s v="Gaines"/>
    <s v="San Diego State University"/>
    <n v="3"/>
    <x v="9"/>
    <n v="3.6"/>
    <s v="Category 1"/>
    <s v="Yes"/>
    <e v="#N/A"/>
    <e v="#N/A"/>
    <n v="0.99933208333333323"/>
    <n v="1.498998125"/>
    <x v="6"/>
    <x v="0"/>
    <x v="1"/>
  </r>
  <r>
    <n v="2647"/>
    <s v="I"/>
    <n v="0.495"/>
    <n v="0.38"/>
    <n v="0.12"/>
    <n v="0.51200000000000001"/>
    <n v="0.23300000000000001"/>
    <n v="0.1205"/>
    <n v="0.13600000000000001"/>
    <n v="7"/>
    <n v="14"/>
    <s v="Santiago"/>
    <s v="Vaughan"/>
    <s v="Ohio State University_x0009_"/>
    <n v="8"/>
    <x v="4"/>
    <n v="12.3"/>
    <s v="Category 2"/>
    <e v="#N/A"/>
    <s v="Yes"/>
    <e v="#N/A"/>
    <n v="0.96777333333333326"/>
    <n v="0.77421866666666661"/>
    <x v="0"/>
    <x v="324"/>
    <x v="1"/>
  </r>
  <r>
    <n v="3472"/>
    <s v="F"/>
    <n v="0.72499999999999998"/>
    <n v="0.57999999999999996"/>
    <n v="0.185"/>
    <n v="1.5229999999999999"/>
    <n v="0.80449999999999999"/>
    <n v="0.35949999999999999"/>
    <n v="0.4375"/>
    <n v="9"/>
    <n v="14"/>
    <s v="Santiago"/>
    <s v="Vaughan"/>
    <s v="Ohio State University_x0009_"/>
    <n v="5"/>
    <x v="3"/>
    <n v="12.8"/>
    <s v="Category 3"/>
    <e v="#N/A"/>
    <e v="#N/A"/>
    <s v="Yes"/>
    <n v="1.0804258333333334"/>
    <n v="1.0804258333333334"/>
    <x v="0"/>
    <x v="0"/>
    <x v="199"/>
  </r>
  <r>
    <n v="1611"/>
    <s v="I"/>
    <n v="0.54500000000000004"/>
    <n v="0.42"/>
    <n v="0.125"/>
    <n v="0.71699999999999997"/>
    <n v="0.35799999999999998"/>
    <n v="0.112"/>
    <n v="0.22"/>
    <n v="8"/>
    <n v="4"/>
    <s v="Nate"/>
    <s v="Craig"/>
    <s v="NOAA Fisheries"/>
    <n v="10"/>
    <x v="5"/>
    <n v="24.1"/>
    <s v="Category 2"/>
    <e v="#N/A"/>
    <s v="Yes"/>
    <e v="#N/A"/>
    <n v="0.98880416666666671"/>
    <n v="0.79104333333333343"/>
    <x v="0"/>
    <x v="325"/>
    <x v="1"/>
  </r>
  <r>
    <n v="1398"/>
    <s v="M"/>
    <n v="0.64500000000000002"/>
    <n v="0.5"/>
    <n v="0.19500000000000001"/>
    <n v="1.401"/>
    <n v="0.61650000000000005"/>
    <n v="0.35149999999999998"/>
    <n v="0.3725"/>
    <n v="10"/>
    <n v="3"/>
    <s v="Inaya"/>
    <s v="Bernard"/>
    <s v="Stanford University"/>
    <n v="1"/>
    <x v="0"/>
    <n v="22.1"/>
    <s v="Category 3"/>
    <e v="#N/A"/>
    <e v="#N/A"/>
    <s v="Yes"/>
    <n v="1.0337991666666666"/>
    <n v="1.0337991666666666"/>
    <x v="0"/>
    <x v="0"/>
    <x v="200"/>
  </r>
  <r>
    <n v="2668"/>
    <s v="F"/>
    <n v="0.58499999999999996"/>
    <n v="0.45"/>
    <n v="0.15"/>
    <n v="0.93799999999999994"/>
    <n v="0.46700000000000003"/>
    <n v="0.20300000000000001"/>
    <n v="0.22500000000000001"/>
    <n v="7"/>
    <n v="5"/>
    <s v="Haniya"/>
    <s v="Talley"/>
    <s v="Prince William Sound Science Center"/>
    <n v="9"/>
    <x v="7"/>
    <n v="1.9"/>
    <s v="Category 3"/>
    <e v="#N/A"/>
    <e v="#N/A"/>
    <s v="Yes"/>
    <n v="1.0059166666666666"/>
    <n v="1.0059166666666666"/>
    <x v="0"/>
    <x v="0"/>
    <x v="174"/>
  </r>
  <r>
    <n v="3055"/>
    <s v="M"/>
    <n v="0.6"/>
    <n v="0.45"/>
    <n v="0.15"/>
    <n v="0.86650000000000005"/>
    <n v="0.3695"/>
    <n v="0.19550000000000001"/>
    <n v="0.255"/>
    <n v="12"/>
    <n v="6"/>
    <s v="Martin"/>
    <s v="Gaines"/>
    <s v="San Diego State University"/>
    <n v="4"/>
    <x v="2"/>
    <n v="6.1"/>
    <s v="Category 2"/>
    <e v="#N/A"/>
    <s v="Yes"/>
    <e v="#N/A"/>
    <n v="1.0138958333333332"/>
    <n v="0.8111166666666666"/>
    <x v="0"/>
    <x v="326"/>
    <x v="1"/>
  </r>
  <r>
    <n v="1225"/>
    <s v="I"/>
    <n v="0.34499999999999997"/>
    <n v="0.255"/>
    <n v="9.5000000000000001E-2"/>
    <n v="0.19450000000000001"/>
    <n v="9.2499999999999999E-2"/>
    <n v="3.6999999999999998E-2"/>
    <n v="5.5E-2"/>
    <n v="6"/>
    <n v="7"/>
    <s v="Iona"/>
    <s v="Connolly"/>
    <s v="Florida Atlantic University"/>
    <n v="10"/>
    <x v="5"/>
    <n v="24.1"/>
    <s v="Category 2"/>
    <e v="#N/A"/>
    <s v="Yes"/>
    <e v="#N/A"/>
    <n v="0.8901129166666667"/>
    <n v="0.71209033333333338"/>
    <x v="0"/>
    <x v="327"/>
    <x v="1"/>
  </r>
  <r>
    <n v="766"/>
    <s v="M"/>
    <n v="0.54500000000000004"/>
    <n v="0.45"/>
    <n v="0.15"/>
    <n v="0.97799999999999998"/>
    <n v="0.33650000000000002"/>
    <n v="0.1905"/>
    <n v="0.3"/>
    <n v="11"/>
    <n v="13"/>
    <s v="Betty"/>
    <s v="Berg"/>
    <s v="University of Houston"/>
    <n v="7"/>
    <x v="6"/>
    <n v="2.5"/>
    <s v="Category 2"/>
    <e v="#N/A"/>
    <s v="Yes"/>
    <e v="#N/A"/>
    <n v="0.99091666666666678"/>
    <n v="0.79273333333333351"/>
    <x v="0"/>
    <x v="328"/>
    <x v="1"/>
  </r>
  <r>
    <n v="1159"/>
    <s v="M"/>
    <n v="0.60499999999999998"/>
    <n v="0.47499999999999998"/>
    <n v="0.14000000000000001"/>
    <n v="1.1174999999999999"/>
    <n v="0.55500000000000005"/>
    <n v="0.25700000000000001"/>
    <n v="0.27400000000000002"/>
    <n v="9"/>
    <n v="7"/>
    <s v="Iona"/>
    <s v="Connolly"/>
    <s v="Florida Atlantic University"/>
    <n v="5"/>
    <x v="3"/>
    <n v="12.8"/>
    <s v="Category 3"/>
    <e v="#N/A"/>
    <e v="#N/A"/>
    <s v="Yes"/>
    <n v="1.0115749999999999"/>
    <n v="1.0115749999999999"/>
    <x v="0"/>
    <x v="0"/>
    <x v="201"/>
  </r>
  <r>
    <n v="2359"/>
    <s v="F"/>
    <n v="0.61"/>
    <n v="0.48499999999999999"/>
    <n v="0.21"/>
    <n v="1.3445"/>
    <n v="0.53500000000000003"/>
    <n v="0.2205"/>
    <n v="0.51500000000000001"/>
    <n v="20"/>
    <n v="8"/>
    <s v="Kali"/>
    <s v="Metcalfe"/>
    <s v="Mote Marine Laboratory"/>
    <n v="1"/>
    <x v="0"/>
    <n v="22.1"/>
    <s v="Category 2"/>
    <e v="#N/A"/>
    <s v="Yes"/>
    <e v="#N/A"/>
    <n v="1.0224241666666667"/>
    <n v="0.81793933333333335"/>
    <x v="0"/>
    <x v="329"/>
    <x v="1"/>
  </r>
  <r>
    <n v="1065"/>
    <s v="I"/>
    <n v="0.3"/>
    <n v="0.22"/>
    <n v="0.08"/>
    <n v="0.1255"/>
    <n v="5.5E-2"/>
    <n v="2.6499999999999999E-2"/>
    <n v="3.9E-2"/>
    <n v="6"/>
    <n v="12"/>
    <s v="Rebecca"/>
    <s v="Bennett"/>
    <s v="University of Houston"/>
    <n v="3"/>
    <x v="9"/>
    <n v="3.6"/>
    <s v="Category 2"/>
    <e v="#N/A"/>
    <s v="Yes"/>
    <e v="#N/A"/>
    <n v="0.86663999999999997"/>
    <n v="0.69331200000000004"/>
    <x v="0"/>
    <x v="330"/>
    <x v="1"/>
  </r>
  <r>
    <n v="406"/>
    <s v="F"/>
    <n v="0.52500000000000002"/>
    <n v="0.44"/>
    <n v="0.15"/>
    <n v="0.84250000000000003"/>
    <n v="0.36849999999999999"/>
    <n v="0.19850000000000001"/>
    <n v="0.24"/>
    <n v="12"/>
    <n v="12"/>
    <s v="Rebecca"/>
    <s v="Bennett"/>
    <s v="University of Houston"/>
    <n v="2"/>
    <x v="1"/>
    <n v="18"/>
    <s v="Category 2"/>
    <e v="#N/A"/>
    <s v="Yes"/>
    <e v="#N/A"/>
    <n v="0.98656250000000001"/>
    <n v="0.78925000000000001"/>
    <x v="0"/>
    <x v="331"/>
    <x v="1"/>
  </r>
  <r>
    <n v="717"/>
    <s v="I"/>
    <n v="0.28999999999999998"/>
    <n v="0.20499999999999999"/>
    <n v="7.0000000000000007E-2"/>
    <n v="9.7500000000000003E-2"/>
    <n v="3.5999999999999997E-2"/>
    <n v="1.9E-2"/>
    <n v="3.5000000000000003E-2"/>
    <n v="8"/>
    <n v="6"/>
    <s v="Martin"/>
    <s v="Gaines"/>
    <s v="San Diego State University"/>
    <n v="6"/>
    <x v="8"/>
    <n v="14.1"/>
    <s v="Category 2"/>
    <e v="#N/A"/>
    <s v="Yes"/>
    <e v="#N/A"/>
    <n v="0.85963749999999994"/>
    <n v="0.68771000000000004"/>
    <x v="0"/>
    <x v="332"/>
    <x v="1"/>
  </r>
  <r>
    <n v="3263"/>
    <s v="F"/>
    <n v="0.59499999999999997"/>
    <n v="0.48499999999999999"/>
    <n v="0.14499999999999999"/>
    <n v="1.2515000000000001"/>
    <n v="0.50349999999999995"/>
    <n v="0.29249999999999998"/>
    <n v="0.33"/>
    <n v="14"/>
    <n v="10"/>
    <s v="Hazel"/>
    <s v="Villa"/>
    <s v="University of Minnesota"/>
    <n v="8"/>
    <x v="4"/>
    <n v="12.3"/>
    <s v="Category 3"/>
    <e v="#N/A"/>
    <e v="#N/A"/>
    <s v="Yes"/>
    <n v="1.0068112500000002"/>
    <n v="1.0068112500000002"/>
    <x v="0"/>
    <x v="0"/>
    <x v="202"/>
  </r>
  <r>
    <n v="1098"/>
    <s v="I"/>
    <n v="0.48"/>
    <n v="0.38"/>
    <n v="0.125"/>
    <n v="0.62450000000000006"/>
    <n v="0.33950000000000002"/>
    <n v="0.1085"/>
    <n v="0.16650000000000001"/>
    <n v="8"/>
    <n v="5"/>
    <s v="Haniya"/>
    <s v="Talley"/>
    <s v="Prince William Sound Science Center"/>
    <n v="4"/>
    <x v="2"/>
    <n v="6.1"/>
    <s v="Category 2"/>
    <e v="#N/A"/>
    <s v="Yes"/>
    <e v="#N/A"/>
    <n v="0.95804374999999986"/>
    <n v="0.76643499999999998"/>
    <x v="0"/>
    <x v="333"/>
    <x v="1"/>
  </r>
  <r>
    <n v="4055"/>
    <s v="F"/>
    <n v="0.63500000000000001"/>
    <n v="0.5"/>
    <n v="0.18"/>
    <n v="1.2565"/>
    <n v="0.53900000000000003"/>
    <n v="0.29199999999999998"/>
    <n v="0.35"/>
    <n v="10"/>
    <n v="4"/>
    <s v="Nate"/>
    <s v="Craig"/>
    <s v="NOAA Fisheries"/>
    <n v="2"/>
    <x v="1"/>
    <n v="18"/>
    <s v="Category 3"/>
    <e v="#N/A"/>
    <e v="#N/A"/>
    <s v="Yes"/>
    <n v="1.0322616666666664"/>
    <n v="1.0322616666666664"/>
    <x v="0"/>
    <x v="0"/>
    <x v="203"/>
  </r>
  <r>
    <n v="4129"/>
    <s v="M"/>
    <n v="0.55500000000000005"/>
    <n v="0.435"/>
    <n v="0.14499999999999999"/>
    <n v="0.92049999999999998"/>
    <n v="0.40400000000000003"/>
    <n v="0.22750000000000001"/>
    <n v="0.255"/>
    <n v="8"/>
    <n v="10"/>
    <s v="Hazel"/>
    <s v="Villa"/>
    <s v="University of Minnesota"/>
    <n v="4"/>
    <x v="2"/>
    <n v="6.1"/>
    <s v="Category 3"/>
    <e v="#N/A"/>
    <e v="#N/A"/>
    <s v="Yes"/>
    <n v="0.99087875000000003"/>
    <n v="0.99087875000000003"/>
    <x v="0"/>
    <x v="0"/>
    <x v="204"/>
  </r>
  <r>
    <n v="2143"/>
    <s v="I"/>
    <n v="0.46"/>
    <n v="0.35"/>
    <n v="0.11"/>
    <n v="0.39450000000000002"/>
    <n v="0.16850000000000001"/>
    <n v="8.6499999999999994E-2"/>
    <n v="0.125"/>
    <n v="9"/>
    <n v="2"/>
    <s v="Tiegan"/>
    <s v="Davie"/>
    <s v="University of California, Davis"/>
    <n v="6"/>
    <x v="8"/>
    <n v="14.1"/>
    <s v="Category 2"/>
    <e v="#N/A"/>
    <s v="Yes"/>
    <e v="#N/A"/>
    <n v="0.95093249999999996"/>
    <n v="0.76074600000000003"/>
    <x v="0"/>
    <x v="334"/>
    <x v="1"/>
  </r>
  <r>
    <n v="1310"/>
    <s v="I"/>
    <n v="0.54500000000000004"/>
    <n v="0.43"/>
    <n v="0.15"/>
    <n v="0.72850000000000004"/>
    <n v="0.30199999999999999"/>
    <n v="0.13150000000000001"/>
    <n v="0.2545"/>
    <n v="10"/>
    <n v="8"/>
    <s v="Kali"/>
    <s v="Metcalfe"/>
    <s v="Mote Marine Laboratory"/>
    <n v="4"/>
    <x v="2"/>
    <n v="6.1"/>
    <s v="Category 2"/>
    <e v="#N/A"/>
    <s v="Yes"/>
    <e v="#N/A"/>
    <n v="0.99464583333333345"/>
    <n v="0.79571666666666685"/>
    <x v="0"/>
    <x v="335"/>
    <x v="1"/>
  </r>
  <r>
    <n v="1429"/>
    <s v="F"/>
    <n v="0.81499999999999995"/>
    <n v="0.65"/>
    <n v="0.25"/>
    <n v="2.2549999999999999"/>
    <n v="0.89049999999999996"/>
    <n v="0.42"/>
    <n v="0.79749999999999999"/>
    <n v="14"/>
    <n v="12"/>
    <s v="Rebecca"/>
    <s v="Bennett"/>
    <s v="University of Houston"/>
    <n v="4"/>
    <x v="2"/>
    <n v="6.1"/>
    <s v="Category 3"/>
    <e v="#N/A"/>
    <e v="#N/A"/>
    <s v="Yes"/>
    <n v="1.1319583333333332"/>
    <n v="1.1319583333333332"/>
    <x v="0"/>
    <x v="0"/>
    <x v="205"/>
  </r>
  <r>
    <n v="442"/>
    <s v="I"/>
    <n v="0.33500000000000002"/>
    <n v="0.26"/>
    <n v="0.1"/>
    <n v="0.192"/>
    <n v="7.85E-2"/>
    <n v="5.8500000000000003E-2"/>
    <n v="7.0000000000000007E-2"/>
    <n v="8"/>
    <n v="15"/>
    <s v="Conan"/>
    <s v="Dalton"/>
    <s v="University of Houston"/>
    <n v="9"/>
    <x v="7"/>
    <n v="1.9"/>
    <s v="Category 2"/>
    <e v="#N/A"/>
    <s v="Yes"/>
    <e v="#N/A"/>
    <n v="0.88873333333333338"/>
    <n v="0.71098666666666677"/>
    <x v="0"/>
    <x v="336"/>
    <x v="1"/>
  </r>
  <r>
    <n v="72"/>
    <s v="F"/>
    <n v="0.4"/>
    <n v="0.32"/>
    <n v="0.11"/>
    <n v="0.35299999999999998"/>
    <n v="0.14050000000000001"/>
    <n v="9.8500000000000004E-2"/>
    <n v="0.1"/>
    <n v="8"/>
    <n v="9"/>
    <s v="Danica"/>
    <s v="Tyler"/>
    <s v="University of Florida_x0009_"/>
    <n v="1"/>
    <x v="0"/>
    <n v="22.1"/>
    <s v="Category 2"/>
    <e v="#N/A"/>
    <s v="Yes"/>
    <e v="#N/A"/>
    <n v="0.92293833333333331"/>
    <n v="0.73835066666666671"/>
    <x v="0"/>
    <x v="337"/>
    <x v="1"/>
  </r>
  <r>
    <n v="1538"/>
    <s v="I"/>
    <n v="0.35"/>
    <n v="0.26"/>
    <n v="7.4999999999999997E-2"/>
    <n v="0.18"/>
    <n v="0.09"/>
    <n v="2.4500000000000001E-2"/>
    <n v="5.5E-2"/>
    <n v="5"/>
    <n v="8"/>
    <s v="Kali"/>
    <s v="Metcalfe"/>
    <s v="Mote Marine Laboratory"/>
    <n v="10"/>
    <x v="5"/>
    <n v="24.1"/>
    <s v="Category 2"/>
    <e v="#N/A"/>
    <s v="Yes"/>
    <e v="#N/A"/>
    <n v="0.89358333333333329"/>
    <n v="0.71486666666666665"/>
    <x v="0"/>
    <x v="338"/>
    <x v="1"/>
  </r>
  <r>
    <n v="4172"/>
    <s v="M"/>
    <n v="0.56000000000000005"/>
    <n v="0.43"/>
    <n v="0.155"/>
    <n v="0.86750000000000005"/>
    <n v="0.4"/>
    <n v="0.17199999999999999"/>
    <n v="0.22900000000000001"/>
    <n v="8"/>
    <n v="9"/>
    <s v="Danica"/>
    <s v="Tyler"/>
    <s v="University of Florida_x0009_"/>
    <n v="6"/>
    <x v="8"/>
    <n v="14.1"/>
    <s v="Category 3"/>
    <e v="#N/A"/>
    <e v="#N/A"/>
    <s v="Yes"/>
    <n v="0.99457708333333339"/>
    <n v="0.99457708333333339"/>
    <x v="0"/>
    <x v="0"/>
    <x v="206"/>
  </r>
  <r>
    <n v="987"/>
    <s v="F"/>
    <n v="0.56999999999999995"/>
    <n v="0.45500000000000002"/>
    <n v="0.15"/>
    <n v="1.107"/>
    <n v="0.54"/>
    <n v="0.255"/>
    <n v="0.27"/>
    <n v="8"/>
    <n v="13"/>
    <s v="Betty"/>
    <s v="Berg"/>
    <s v="University of Houston"/>
    <n v="6"/>
    <x v="8"/>
    <n v="14.1"/>
    <s v="Category 3"/>
    <e v="#N/A"/>
    <e v="#N/A"/>
    <s v="Yes"/>
    <n v="0.99554166666666677"/>
    <n v="0.99554166666666677"/>
    <x v="0"/>
    <x v="0"/>
    <x v="207"/>
  </r>
  <r>
    <n v="163"/>
    <s v="M"/>
    <n v="0.61"/>
    <n v="0.48499999999999999"/>
    <n v="0.17499999999999999"/>
    <n v="1.2444999999999999"/>
    <n v="0.54400000000000004"/>
    <n v="0.29699999999999999"/>
    <n v="0.34499999999999997"/>
    <n v="12"/>
    <n v="7"/>
    <s v="Iona"/>
    <s v="Connolly"/>
    <s v="Florida Atlantic University"/>
    <n v="10"/>
    <x v="5"/>
    <n v="24.1"/>
    <s v="Category 3"/>
    <e v="#N/A"/>
    <e v="#N/A"/>
    <s v="Yes"/>
    <n v="1.0183312499999999"/>
    <n v="1.0183312499999999"/>
    <x v="0"/>
    <x v="0"/>
    <x v="208"/>
  </r>
  <r>
    <n v="371"/>
    <s v="F"/>
    <n v="0.65"/>
    <n v="0.54500000000000004"/>
    <n v="0.16500000000000001"/>
    <n v="1.5660000000000001"/>
    <n v="0.66449999999999998"/>
    <n v="0.34549999999999997"/>
    <n v="0.41499999999999998"/>
    <n v="16"/>
    <n v="9"/>
    <s v="Danica"/>
    <s v="Tyler"/>
    <s v="University of Florida_x0009_"/>
    <n v="2"/>
    <x v="1"/>
    <n v="18"/>
    <s v="Category 3"/>
    <e v="#N/A"/>
    <e v="#N/A"/>
    <s v="Yes"/>
    <n v="1.0369983333333335"/>
    <n v="1.0369983333333335"/>
    <x v="0"/>
    <x v="0"/>
    <x v="209"/>
  </r>
  <r>
    <n v="3997"/>
    <s v="I"/>
    <n v="0.315"/>
    <n v="0.23"/>
    <n v="0"/>
    <n v="0.13400000000000001"/>
    <n v="5.7500000000000002E-2"/>
    <n v="2.8500000000000001E-2"/>
    <n v="0.35049999999999998"/>
    <n v="6"/>
    <n v="9"/>
    <s v="Danica"/>
    <s v="Tyler"/>
    <s v="University of Florida_x0009_"/>
    <n v="5"/>
    <x v="3"/>
    <n v="12.8"/>
    <s v="Category 2"/>
    <e v="#N/A"/>
    <s v="Yes"/>
    <e v="#N/A"/>
    <n v="0.87273333333333336"/>
    <n v="0.69818666666666673"/>
    <x v="0"/>
    <x v="339"/>
    <x v="1"/>
  </r>
  <r>
    <n v="1133"/>
    <s v="F"/>
    <n v="0.56499999999999995"/>
    <n v="0.45"/>
    <n v="0.17499999999999999"/>
    <n v="1.0095000000000001"/>
    <n v="0.44700000000000001"/>
    <n v="0.23749999999999999"/>
    <n v="0.26450000000000001"/>
    <n v="9"/>
    <n v="6"/>
    <s v="Martin"/>
    <s v="Gaines"/>
    <s v="San Diego State University"/>
    <n v="4"/>
    <x v="2"/>
    <n v="6.1"/>
    <s v="Category 3"/>
    <e v="#N/A"/>
    <e v="#N/A"/>
    <s v="Yes"/>
    <n v="1.0004770833333334"/>
    <n v="1.0004770833333334"/>
    <x v="0"/>
    <x v="0"/>
    <x v="210"/>
  </r>
  <r>
    <n v="1450"/>
    <s v="M"/>
    <n v="0.45"/>
    <n v="0.33500000000000002"/>
    <n v="0.125"/>
    <n v="0.44750000000000001"/>
    <n v="0.2165"/>
    <n v="0.126"/>
    <n v="0.11"/>
    <n v="6"/>
    <n v="9"/>
    <s v="Danica"/>
    <s v="Tyler"/>
    <s v="University of Florida_x0009_"/>
    <n v="8"/>
    <x v="4"/>
    <n v="12.3"/>
    <s v="Category 2"/>
    <e v="#N/A"/>
    <s v="Yes"/>
    <e v="#N/A"/>
    <n v="0.94115625000000003"/>
    <n v="0.75292500000000007"/>
    <x v="0"/>
    <x v="340"/>
    <x v="1"/>
  </r>
  <r>
    <n v="354"/>
    <s v="M"/>
    <n v="0.57999999999999996"/>
    <n v="0.45500000000000002"/>
    <n v="0.17"/>
    <n v="0.93"/>
    <n v="0.40799999999999997"/>
    <n v="0.25900000000000001"/>
    <n v="0.22"/>
    <n v="9"/>
    <n v="2"/>
    <s v="Tiegan"/>
    <s v="Davie"/>
    <s v="University of California, Davis"/>
    <n v="1"/>
    <x v="0"/>
    <n v="22.1"/>
    <s v="Category 3"/>
    <e v="#N/A"/>
    <e v="#N/A"/>
    <s v="Yes"/>
    <n v="1.00935"/>
    <n v="1.00935"/>
    <x v="0"/>
    <x v="0"/>
    <x v="211"/>
  </r>
  <r>
    <n v="585"/>
    <s v="F"/>
    <n v="0.41"/>
    <n v="0.30499999999999999"/>
    <n v="0.1"/>
    <n v="0.36299999999999999"/>
    <n v="0.17349999999999999"/>
    <n v="6.5000000000000002E-2"/>
    <n v="0.11"/>
    <n v="11"/>
    <n v="12"/>
    <s v="Rebecca"/>
    <s v="Bennett"/>
    <s v="University of Houston"/>
    <n v="10"/>
    <x v="5"/>
    <n v="24.1"/>
    <s v="Category 2"/>
    <e v="#N/A"/>
    <s v="Yes"/>
    <e v="#N/A"/>
    <n v="0.92018333333333324"/>
    <n v="0.73614666666666662"/>
    <x v="0"/>
    <x v="341"/>
    <x v="1"/>
  </r>
  <r>
    <n v="1981"/>
    <s v="F"/>
    <n v="0.70499999999999996"/>
    <n v="0.53500000000000003"/>
    <n v="0.22"/>
    <n v="1.8660000000000001"/>
    <n v="0.92900000000000005"/>
    <n v="0.38350000000000001"/>
    <n v="0.4395"/>
    <n v="10"/>
    <n v="3"/>
    <s v="Inaya"/>
    <s v="Bernard"/>
    <s v="Stanford University"/>
    <n v="1"/>
    <x v="0"/>
    <n v="22.1"/>
    <s v="Category 3"/>
    <e v="#N/A"/>
    <e v="#N/A"/>
    <s v="Yes"/>
    <n v="1.0573533333333334"/>
    <n v="1.0573533333333334"/>
    <x v="0"/>
    <x v="0"/>
    <x v="212"/>
  </r>
  <r>
    <n v="1448"/>
    <s v="M"/>
    <n v="0.44"/>
    <n v="0.32"/>
    <n v="0.12"/>
    <n v="0.45650000000000002"/>
    <n v="0.24349999999999999"/>
    <n v="9.1999999999999998E-2"/>
    <n v="0.10249999999999999"/>
    <n v="8"/>
    <n v="6"/>
    <s v="Martin"/>
    <s v="Gaines"/>
    <s v="San Diego State University"/>
    <n v="8"/>
    <x v="4"/>
    <n v="12.3"/>
    <s v="Category 2"/>
    <e v="#N/A"/>
    <s v="Yes"/>
    <e v="#N/A"/>
    <n v="0.93203000000000003"/>
    <n v="0.74562400000000006"/>
    <x v="0"/>
    <x v="342"/>
    <x v="1"/>
  </r>
  <r>
    <n v="2800"/>
    <s v="M"/>
    <n v="0.64"/>
    <n v="0.495"/>
    <n v="0.17"/>
    <n v="1.139"/>
    <n v="0.53949999999999998"/>
    <n v="0.28199999999999997"/>
    <n v="0.28499999999999998"/>
    <n v="10"/>
    <n v="5"/>
    <s v="Haniya"/>
    <s v="Talley"/>
    <s v="Prince William Sound Science Center"/>
    <n v="8"/>
    <x v="4"/>
    <n v="12.3"/>
    <s v="Category 3"/>
    <e v="#N/A"/>
    <e v="#N/A"/>
    <s v="Yes"/>
    <n v="1.0346716666666667"/>
    <n v="1.0346716666666667"/>
    <x v="0"/>
    <x v="0"/>
    <x v="213"/>
  </r>
  <r>
    <n v="2474"/>
    <s v="F"/>
    <n v="0.61499999999999999"/>
    <n v="0.47"/>
    <n v="0.17499999999999999"/>
    <n v="1.2985"/>
    <n v="0.51349999999999996"/>
    <n v="0.34300000000000003"/>
    <n v="0.32"/>
    <n v="14"/>
    <n v="9"/>
    <s v="Danica"/>
    <s v="Tyler"/>
    <s v="University of Florida_x0009_"/>
    <n v="3"/>
    <x v="9"/>
    <n v="3.6"/>
    <s v="Category 3"/>
    <e v="#N/A"/>
    <e v="#N/A"/>
    <s v="Yes"/>
    <n v="1.0129729166666666"/>
    <n v="1.0129729166666666"/>
    <x v="0"/>
    <x v="0"/>
    <x v="214"/>
  </r>
  <r>
    <n v="468"/>
    <s v="M"/>
    <n v="0.65500000000000003"/>
    <n v="0.53"/>
    <n v="0.19500000000000001"/>
    <n v="1.3879999999999999"/>
    <n v="0.56699999999999995"/>
    <n v="0.27350000000000002"/>
    <n v="0.41"/>
    <n v="13"/>
    <n v="15"/>
    <s v="Conan"/>
    <s v="Dalton"/>
    <s v="University of Houston"/>
    <n v="9"/>
    <x v="7"/>
    <n v="1.9"/>
    <s v="Category 3"/>
    <e v="#N/A"/>
    <e v="#N/A"/>
    <s v="Yes"/>
    <n v="1.0475766666666668"/>
    <n v="1.0475766666666668"/>
    <x v="0"/>
    <x v="0"/>
    <x v="215"/>
  </r>
  <r>
    <n v="3005"/>
    <s v="F"/>
    <n v="0.67"/>
    <n v="0.51500000000000001"/>
    <n v="0.17"/>
    <n v="1.4265000000000001"/>
    <n v="0.66049999999999998"/>
    <n v="0.33950000000000002"/>
    <n v="0.37"/>
    <n v="11"/>
    <n v="3"/>
    <s v="Inaya"/>
    <s v="Bernard"/>
    <s v="Stanford University"/>
    <n v="1"/>
    <x v="0"/>
    <n v="22.1"/>
    <s v="Category 3"/>
    <e v="#N/A"/>
    <e v="#N/A"/>
    <s v="Yes"/>
    <n v="1.0403175"/>
    <n v="1.0403175"/>
    <x v="0"/>
    <x v="0"/>
    <x v="216"/>
  </r>
  <r>
    <n v="2145"/>
    <s v="M"/>
    <n v="0.45500000000000002"/>
    <n v="0.35"/>
    <n v="0.105"/>
    <n v="0.40100000000000002"/>
    <n v="0.1575"/>
    <n v="8.3000000000000004E-2"/>
    <n v="0.13500000000000001"/>
    <n v="9"/>
    <n v="13"/>
    <s v="Betty"/>
    <s v="Berg"/>
    <s v="University of Houston"/>
    <n v="6"/>
    <x v="8"/>
    <n v="14.1"/>
    <s v="Category 2"/>
    <e v="#N/A"/>
    <s v="Yes"/>
    <e v="#N/A"/>
    <n v="0.94861749999999989"/>
    <n v="0.75889399999999996"/>
    <x v="0"/>
    <x v="343"/>
    <x v="1"/>
  </r>
  <r>
    <n v="40"/>
    <s v="M"/>
    <n v="0.35499999999999998"/>
    <n v="0.28999999999999998"/>
    <n v="0.09"/>
    <n v="0.32750000000000001"/>
    <n v="0.13400000000000001"/>
    <n v="8.5999999999999993E-2"/>
    <n v="0.09"/>
    <n v="9"/>
    <n v="8"/>
    <s v="Kali"/>
    <s v="Metcalfe"/>
    <s v="Mote Marine Laboratory"/>
    <n v="4"/>
    <x v="2"/>
    <n v="6.1"/>
    <s v="Category 2"/>
    <e v="#N/A"/>
    <s v="Yes"/>
    <e v="#N/A"/>
    <n v="0.89807916666666665"/>
    <n v="0.71846333333333334"/>
    <x v="0"/>
    <x v="344"/>
    <x v="1"/>
  </r>
  <r>
    <n v="332"/>
    <s v="F"/>
    <n v="0.4"/>
    <n v="0.32500000000000001"/>
    <n v="0.12"/>
    <n v="0.31850000000000001"/>
    <n v="0.13400000000000001"/>
    <n v="5.6500000000000002E-2"/>
    <n v="9.5000000000000001E-2"/>
    <n v="8"/>
    <n v="11"/>
    <s v="Naima"/>
    <s v="Reyes"/>
    <s v="University of Houston"/>
    <n v="3"/>
    <x v="9"/>
    <n v="3.6"/>
    <s v="Category 2"/>
    <e v="#N/A"/>
    <s v="Yes"/>
    <e v="#N/A"/>
    <n v="0.92680333333333331"/>
    <n v="0.74144266666666669"/>
    <x v="0"/>
    <x v="345"/>
    <x v="1"/>
  </r>
  <r>
    <n v="1894"/>
    <s v="I"/>
    <n v="0.56499999999999995"/>
    <n v="0.46"/>
    <n v="0.155"/>
    <n v="0.87150000000000005"/>
    <n v="0.3755"/>
    <n v="0.215"/>
    <n v="0.25"/>
    <n v="10"/>
    <n v="5"/>
    <s v="Haniya"/>
    <s v="Talley"/>
    <s v="Prince William Sound Science Center"/>
    <n v="6"/>
    <x v="8"/>
    <n v="14.1"/>
    <s v="Category 2"/>
    <e v="#N/A"/>
    <s v="Yes"/>
    <e v="#N/A"/>
    <n v="1.0060804166666668"/>
    <n v="0.80486433333333351"/>
    <x v="0"/>
    <x v="346"/>
    <x v="1"/>
  </r>
  <r>
    <n v="2017"/>
    <s v="M"/>
    <n v="0.505"/>
    <n v="0.39"/>
    <n v="0.12"/>
    <n v="0.65300000000000002"/>
    <n v="0.33150000000000002"/>
    <n v="0.13850000000000001"/>
    <n v="0.16700000000000001"/>
    <n v="9"/>
    <n v="11"/>
    <s v="Naima"/>
    <s v="Reyes"/>
    <s v="University of Houston"/>
    <n v="3"/>
    <x v="9"/>
    <n v="3.6"/>
    <s v="Category 2"/>
    <e v="#N/A"/>
    <s v="Yes"/>
    <e v="#N/A"/>
    <n v="0.96786000000000005"/>
    <n v="0.77428800000000009"/>
    <x v="0"/>
    <x v="347"/>
    <x v="1"/>
  </r>
  <r>
    <n v="844"/>
    <s v="M"/>
    <n v="0.505"/>
    <n v="0.44"/>
    <n v="0.14000000000000001"/>
    <n v="0.82750000000000001"/>
    <n v="0.34150000000000003"/>
    <n v="0.1855"/>
    <n v="0.23899999999999999"/>
    <n v="8"/>
    <n v="13"/>
    <s v="Betty"/>
    <s v="Berg"/>
    <s v="University of Houston"/>
    <n v="2"/>
    <x v="1"/>
    <n v="18"/>
    <s v="Category 2"/>
    <e v="#N/A"/>
    <s v="Yes"/>
    <e v="#N/A"/>
    <n v="0.9791416666666668"/>
    <n v="0.78331333333333353"/>
    <x v="0"/>
    <x v="348"/>
    <x v="1"/>
  </r>
  <r>
    <n v="3264"/>
    <s v="M"/>
    <n v="0.56499999999999995"/>
    <n v="0.45"/>
    <n v="0.115"/>
    <n v="0.90849999999999997"/>
    <n v="0.39800000000000002"/>
    <n v="0.19700000000000001"/>
    <n v="0.28999999999999998"/>
    <n v="17"/>
    <n v="3"/>
    <s v="Inaya"/>
    <s v="Bernard"/>
    <s v="Stanford University"/>
    <n v="9"/>
    <x v="7"/>
    <n v="1.9"/>
    <s v="Category 2"/>
    <e v="#N/A"/>
    <s v="Yes"/>
    <e v="#N/A"/>
    <n v="0.99517958333333334"/>
    <n v="0.79614366666666669"/>
    <x v="0"/>
    <x v="349"/>
    <x v="1"/>
  </r>
  <r>
    <n v="235"/>
    <s v="I"/>
    <n v="0.44"/>
    <n v="0.35"/>
    <n v="0.13500000000000001"/>
    <n v="0.435"/>
    <n v="0.18149999999999999"/>
    <n v="8.3000000000000004E-2"/>
    <n v="0.125"/>
    <n v="12"/>
    <n v="5"/>
    <s v="Haniya"/>
    <s v="Talley"/>
    <s v="Prince William Sound Science Center"/>
    <n v="5"/>
    <x v="3"/>
    <n v="12.8"/>
    <s v="Category 2"/>
    <e v="#N/A"/>
    <s v="Yes"/>
    <e v="#N/A"/>
    <n v="0.9441208333333333"/>
    <n v="0.75529666666666673"/>
    <x v="0"/>
    <x v="350"/>
    <x v="1"/>
  </r>
  <r>
    <n v="2634"/>
    <s v="I"/>
    <n v="0.42499999999999999"/>
    <n v="0.33"/>
    <n v="0.115"/>
    <n v="0.32650000000000001"/>
    <n v="0.13150000000000001"/>
    <n v="7.6999999999999999E-2"/>
    <n v="0.10299999999999999"/>
    <n v="6"/>
    <n v="8"/>
    <s v="Kali"/>
    <s v="Metcalfe"/>
    <s v="Mote Marine Laboratory"/>
    <n v="4"/>
    <x v="2"/>
    <n v="6.1"/>
    <s v="Category 2"/>
    <e v="#N/A"/>
    <s v="Yes"/>
    <e v="#N/A"/>
    <n v="0.9361579166666667"/>
    <n v="0.74892633333333336"/>
    <x v="0"/>
    <x v="351"/>
    <x v="1"/>
  </r>
  <r>
    <n v="2532"/>
    <s v="M"/>
    <n v="0.60499999999999998"/>
    <n v="0.47499999999999998"/>
    <n v="0.17499999999999999"/>
    <n v="1.2010000000000001"/>
    <n v="0.53949999999999998"/>
    <n v="0.27500000000000002"/>
    <n v="0.309"/>
    <n v="10"/>
    <n v="10"/>
    <s v="Hazel"/>
    <s v="Villa"/>
    <s v="University of Minnesota"/>
    <n v="10"/>
    <x v="5"/>
    <n v="24.1"/>
    <s v="Category 3"/>
    <e v="#N/A"/>
    <e v="#N/A"/>
    <s v="Yes"/>
    <n v="1.0149624999999998"/>
    <n v="1.0149624999999998"/>
    <x v="0"/>
    <x v="0"/>
    <x v="217"/>
  </r>
  <r>
    <n v="2505"/>
    <s v="I"/>
    <n v="0.31"/>
    <n v="0.24"/>
    <n v="0.105"/>
    <n v="0.28849999999999998"/>
    <n v="0.11799999999999999"/>
    <n v="6.5000000000000002E-2"/>
    <n v="8.3000000000000004E-2"/>
    <n v="6"/>
    <n v="7"/>
    <s v="Iona"/>
    <s v="Connolly"/>
    <s v="Florida Atlantic University"/>
    <n v="9"/>
    <x v="7"/>
    <n v="1.9"/>
    <s v="Category 2"/>
    <e v="#N/A"/>
    <s v="Yes"/>
    <e v="#N/A"/>
    <n v="0.86914874999999991"/>
    <n v="0.69531900000000002"/>
    <x v="0"/>
    <x v="352"/>
    <x v="1"/>
  </r>
  <r>
    <n v="537"/>
    <s v="I"/>
    <n v="0.52"/>
    <n v="0.40500000000000003"/>
    <n v="0.14000000000000001"/>
    <n v="0.57750000000000001"/>
    <n v="0.2"/>
    <n v="0.14499999999999999"/>
    <n v="0.17899999999999999"/>
    <n v="11"/>
    <n v="5"/>
    <s v="Haniya"/>
    <s v="Talley"/>
    <s v="Prince William Sound Science Center"/>
    <n v="5"/>
    <x v="3"/>
    <n v="12.8"/>
    <s v="Category 2"/>
    <e v="#N/A"/>
    <s v="Yes"/>
    <e v="#N/A"/>
    <n v="0.98330833333333334"/>
    <n v="0.78664666666666672"/>
    <x v="0"/>
    <x v="353"/>
    <x v="1"/>
  </r>
  <r>
    <n v="1458"/>
    <s v="F"/>
    <n v="0.47499999999999998"/>
    <n v="0.36499999999999999"/>
    <n v="0.115"/>
    <n v="0.56599999999999995"/>
    <n v="0.28100000000000003"/>
    <n v="0.11700000000000001"/>
    <n v="0.13350000000000001"/>
    <n v="7"/>
    <n v="1"/>
    <s v="Jan"/>
    <s v="Odom"/>
    <s v="University of Houston"/>
    <n v="10"/>
    <x v="5"/>
    <n v="24.1"/>
    <s v="Category 2"/>
    <e v="#N/A"/>
    <s v="Yes"/>
    <e v="#N/A"/>
    <n v="0.95311499999999993"/>
    <n v="0.76249199999999995"/>
    <x v="0"/>
    <x v="354"/>
    <x v="1"/>
  </r>
  <r>
    <n v="3345"/>
    <s v="I"/>
    <n v="0.495"/>
    <n v="0.38"/>
    <n v="0.14499999999999999"/>
    <n v="0.51500000000000001"/>
    <n v="0.17499999999999999"/>
    <n v="9.8000000000000004E-2"/>
    <n v="0.21199999999999999"/>
    <n v="13"/>
    <n v="15"/>
    <s v="Conan"/>
    <s v="Dalton"/>
    <s v="University of Houston"/>
    <n v="8"/>
    <x v="4"/>
    <n v="12.3"/>
    <s v="Category 2"/>
    <e v="#N/A"/>
    <s v="Yes"/>
    <e v="#N/A"/>
    <n v="0.96977916666666664"/>
    <n v="0.77582333333333331"/>
    <x v="0"/>
    <x v="355"/>
    <x v="1"/>
  </r>
  <r>
    <n v="3792"/>
    <s v="F"/>
    <n v="0.65"/>
    <n v="0.495"/>
    <n v="0.17499999999999999"/>
    <n v="1.2270000000000001"/>
    <n v="0.52800000000000002"/>
    <n v="0.25800000000000001"/>
    <n v="0.37"/>
    <n v="11"/>
    <n v="14"/>
    <s v="Santiago"/>
    <s v="Vaughan"/>
    <s v="Ohio State University_x0009_"/>
    <n v="5"/>
    <x v="3"/>
    <n v="12.8"/>
    <s v="Category 3"/>
    <e v="#N/A"/>
    <e v="#N/A"/>
    <s v="Yes"/>
    <n v="1.0356541666666668"/>
    <n v="1.0356541666666668"/>
    <x v="0"/>
    <x v="0"/>
    <x v="218"/>
  </r>
  <r>
    <n v="2567"/>
    <s v="F"/>
    <n v="0.45500000000000002"/>
    <n v="0.35"/>
    <n v="0.12"/>
    <n v="0.45550000000000002"/>
    <n v="0.19450000000000001"/>
    <n v="0.1045"/>
    <n v="0.13750000000000001"/>
    <n v="7"/>
    <n v="1"/>
    <s v="Jan"/>
    <s v="Odom"/>
    <s v="University of Houston"/>
    <n v="3"/>
    <x v="9"/>
    <n v="3.6"/>
    <s v="Category 2"/>
    <e v="#N/A"/>
    <s v="Yes"/>
    <e v="#N/A"/>
    <n v="0.94707666666666657"/>
    <n v="0.7576613333333333"/>
    <x v="0"/>
    <x v="356"/>
    <x v="1"/>
  </r>
  <r>
    <n v="2315"/>
    <s v="F"/>
    <n v="0.57999999999999996"/>
    <n v="0.47499999999999998"/>
    <n v="0.13500000000000001"/>
    <n v="0.92500000000000004"/>
    <n v="0.39100000000000001"/>
    <n v="0.16500000000000001"/>
    <n v="0.27500000000000002"/>
    <n v="14"/>
    <n v="10"/>
    <s v="Hazel"/>
    <s v="Villa"/>
    <s v="University of Minnesota"/>
    <n v="6"/>
    <x v="8"/>
    <n v="14.1"/>
    <s v="Category 2"/>
    <e v="#N/A"/>
    <s v="Yes"/>
    <e v="#N/A"/>
    <n v="1.0108124999999999"/>
    <n v="0.80864999999999998"/>
    <x v="0"/>
    <x v="357"/>
    <x v="1"/>
  </r>
  <r>
    <n v="3021"/>
    <s v="I"/>
    <n v="0.45"/>
    <n v="0.34"/>
    <n v="0.125"/>
    <n v="0.40450000000000003"/>
    <n v="0.17100000000000001"/>
    <n v="7.0000000000000007E-2"/>
    <n v="0.13450000000000001"/>
    <n v="8"/>
    <n v="15"/>
    <s v="Conan"/>
    <s v="Dalton"/>
    <s v="University of Houston"/>
    <n v="10"/>
    <x v="5"/>
    <n v="24.1"/>
    <s v="Category 2"/>
    <e v="#N/A"/>
    <s v="Yes"/>
    <e v="#N/A"/>
    <n v="0.94479374999999999"/>
    <n v="0.75583500000000003"/>
    <x v="0"/>
    <x v="358"/>
    <x v="1"/>
  </r>
  <r>
    <n v="232"/>
    <s v="M"/>
    <n v="0.56499999999999995"/>
    <n v="0.44"/>
    <n v="0.17499999999999999"/>
    <n v="0.90249999999999997"/>
    <n v="0.31"/>
    <n v="0.193"/>
    <n v="0.32500000000000001"/>
    <n v="14"/>
    <n v="5"/>
    <s v="Haniya"/>
    <s v="Talley"/>
    <s v="Prince William Sound Science Center"/>
    <n v="7"/>
    <x v="6"/>
    <n v="2.5"/>
    <s v="Category 2"/>
    <e v="#N/A"/>
    <s v="Yes"/>
    <e v="#N/A"/>
    <n v="1.0011562500000002"/>
    <n v="0.80092500000000022"/>
    <x v="0"/>
    <x v="359"/>
    <x v="1"/>
  </r>
  <r>
    <n v="25"/>
    <s v="F"/>
    <n v="0.61499999999999999"/>
    <n v="0.48"/>
    <n v="0.16500000000000001"/>
    <n v="1.1615"/>
    <n v="0.51300000000000001"/>
    <n v="0.30099999999999999"/>
    <n v="0.30499999999999999"/>
    <n v="10"/>
    <n v="3"/>
    <s v="Inaya"/>
    <s v="Bernard"/>
    <s v="Stanford University"/>
    <n v="2"/>
    <x v="1"/>
    <n v="18"/>
    <s v="Category 3"/>
    <e v="#N/A"/>
    <e v="#N/A"/>
    <s v="Yes"/>
    <n v="1.0195079166666665"/>
    <n v="1.0195079166666665"/>
    <x v="0"/>
    <x v="0"/>
    <x v="219"/>
  </r>
  <r>
    <n v="55"/>
    <s v="M"/>
    <n v="0.40500000000000003"/>
    <n v="0.31"/>
    <n v="0.1"/>
    <n v="0.38500000000000001"/>
    <n v="0.17299999999999999"/>
    <n v="9.1499999999999998E-2"/>
    <n v="0.11"/>
    <n v="7"/>
    <n v="4"/>
    <s v="Nate"/>
    <s v="Craig"/>
    <s v="NOAA Fisheries"/>
    <n v="7"/>
    <x v="6"/>
    <n v="2.5"/>
    <s v="Category 2"/>
    <e v="#N/A"/>
    <s v="Yes"/>
    <e v="#N/A"/>
    <n v="0.91908333333333336"/>
    <n v="0.73526666666666673"/>
    <x v="0"/>
    <x v="360"/>
    <x v="1"/>
  </r>
  <r>
    <n v="2414"/>
    <s v="F"/>
    <n v="0.505"/>
    <n v="0.38"/>
    <n v="0.14499999999999999"/>
    <n v="0.65100000000000002"/>
    <n v="0.29349999999999998"/>
    <n v="0.19"/>
    <n v="0.17"/>
    <n v="12"/>
    <n v="12"/>
    <s v="Rebecca"/>
    <s v="Bennett"/>
    <s v="University of Houston"/>
    <n v="4"/>
    <x v="2"/>
    <n v="6.1"/>
    <s v="Category 2"/>
    <e v="#N/A"/>
    <s v="Yes"/>
    <e v="#N/A"/>
    <n v="0.96733250000000004"/>
    <n v="0.77386600000000005"/>
    <x v="0"/>
    <x v="361"/>
    <x v="1"/>
  </r>
  <r>
    <n v="3320"/>
    <s v="F"/>
    <n v="0.70499999999999996"/>
    <n v="0.55500000000000005"/>
    <n v="0.2"/>
    <n v="1.4684999999999999"/>
    <n v="0.47149999999999997"/>
    <n v="0.32350000000000001"/>
    <n v="0.52"/>
    <n v="19"/>
    <n v="10"/>
    <s v="Hazel"/>
    <s v="Villa"/>
    <s v="University of Minnesota"/>
    <n v="4"/>
    <x v="2"/>
    <n v="6.1"/>
    <s v="Category 2"/>
    <e v="#N/A"/>
    <s v="Yes"/>
    <e v="#N/A"/>
    <n v="1.0710500000000001"/>
    <n v="0.85684000000000005"/>
    <x v="0"/>
    <x v="362"/>
    <x v="1"/>
  </r>
  <r>
    <n v="1528"/>
    <s v="M"/>
    <n v="0.72"/>
    <n v="0.56499999999999995"/>
    <n v="0.2"/>
    <n v="2.1055000000000001"/>
    <n v="1.0169999999999999"/>
    <n v="0.36299999999999999"/>
    <n v="0.49399999999999999"/>
    <n v="12"/>
    <n v="6"/>
    <s v="Martin"/>
    <s v="Gaines"/>
    <s v="San Diego State University"/>
    <n v="8"/>
    <x v="4"/>
    <n v="12.3"/>
    <s v="Category 3"/>
    <e v="#N/A"/>
    <e v="#N/A"/>
    <s v="Yes"/>
    <n v="1.0581499999999999"/>
    <n v="1.0581499999999999"/>
    <x v="0"/>
    <x v="0"/>
    <x v="220"/>
  </r>
  <r>
    <n v="3011"/>
    <s v="I"/>
    <n v="0.375"/>
    <n v="0.26"/>
    <n v="0.08"/>
    <n v="0.20749999999999999"/>
    <n v="0.09"/>
    <n v="4.1500000000000002E-2"/>
    <n v="7.0000000000000007E-2"/>
    <n v="6"/>
    <n v="1"/>
    <s v="Jan"/>
    <s v="Odom"/>
    <s v="University of Houston"/>
    <n v="7"/>
    <x v="6"/>
    <n v="2.5"/>
    <s v="Category 2"/>
    <e v="#N/A"/>
    <s v="Yes"/>
    <e v="#N/A"/>
    <n v="0.90060000000000007"/>
    <n v="0.72048000000000012"/>
    <x v="0"/>
    <x v="363"/>
    <x v="1"/>
  </r>
  <r>
    <n v="653"/>
    <s v="I"/>
    <n v="0.47"/>
    <n v="0.35"/>
    <n v="0.13"/>
    <n v="0.46600000000000003"/>
    <n v="0.1845"/>
    <n v="9.9000000000000005E-2"/>
    <n v="0.14499999999999999"/>
    <n v="11"/>
    <n v="5"/>
    <s v="Haniya"/>
    <s v="Talley"/>
    <s v="Prince William Sound Science Center"/>
    <n v="4"/>
    <x v="2"/>
    <n v="6.1"/>
    <s v="Category 2"/>
    <e v="#N/A"/>
    <s v="Yes"/>
    <e v="#N/A"/>
    <n v="0.95236333333333323"/>
    <n v="0.7618906666666666"/>
    <x v="0"/>
    <x v="364"/>
    <x v="1"/>
  </r>
  <r>
    <n v="238"/>
    <s v="I"/>
    <n v="0.13"/>
    <n v="0.1"/>
    <n v="0.03"/>
    <n v="1.2999999999999999E-2"/>
    <n v="4.4999999999999997E-3"/>
    <n v="3.0000000000000001E-3"/>
    <n v="4.0000000000000001E-3"/>
    <n v="3"/>
    <n v="1"/>
    <s v="Jan"/>
    <s v="Odom"/>
    <s v="University of Houston"/>
    <n v="6"/>
    <x v="8"/>
    <n v="14.1"/>
    <s v="Category 2"/>
    <e v="#N/A"/>
    <s v="Yes"/>
    <e v="#N/A"/>
    <n v="0.77586500000000003"/>
    <n v="0.62069200000000002"/>
    <x v="0"/>
    <x v="365"/>
    <x v="1"/>
  </r>
  <r>
    <n v="2005"/>
    <s v="I"/>
    <n v="0.375"/>
    <n v="0.27500000000000002"/>
    <n v="8.5000000000000006E-2"/>
    <n v="0.22"/>
    <n v="0.109"/>
    <n v="0.05"/>
    <n v="6.0499999999999998E-2"/>
    <n v="7"/>
    <n v="15"/>
    <s v="Conan"/>
    <s v="Dalton"/>
    <s v="University of Houston"/>
    <n v="9"/>
    <x v="7"/>
    <n v="1.9"/>
    <s v="Category 2"/>
    <e v="#N/A"/>
    <s v="Yes"/>
    <e v="#N/A"/>
    <n v="0.90511666666666679"/>
    <n v="0.72409333333333348"/>
    <x v="0"/>
    <x v="366"/>
    <x v="1"/>
  </r>
  <r>
    <n v="1451"/>
    <s v="I"/>
    <n v="0.45500000000000002"/>
    <n v="0.33500000000000002"/>
    <n v="0.13500000000000001"/>
    <n v="0.501"/>
    <n v="0.27400000000000002"/>
    <n v="9.9500000000000005E-2"/>
    <n v="0.1065"/>
    <n v="7"/>
    <n v="12"/>
    <s v="Rebecca"/>
    <s v="Bennett"/>
    <s v="University of Houston"/>
    <n v="1"/>
    <x v="0"/>
    <n v="22.1"/>
    <s v="Category 2"/>
    <e v="#N/A"/>
    <s v="Yes"/>
    <e v="#N/A"/>
    <n v="0.94120583333333341"/>
    <n v="0.75296466666666673"/>
    <x v="0"/>
    <x v="367"/>
    <x v="1"/>
  </r>
  <r>
    <n v="1087"/>
    <s v="I"/>
    <n v="0.44500000000000001"/>
    <n v="0.33500000000000002"/>
    <n v="0.11"/>
    <n v="0.41099999999999998"/>
    <n v="0.19850000000000001"/>
    <n v="9.35E-2"/>
    <n v="0.109"/>
    <n v="8"/>
    <n v="10"/>
    <s v="Hazel"/>
    <s v="Villa"/>
    <s v="University of Minnesota"/>
    <n v="7"/>
    <x v="6"/>
    <n v="2.5"/>
    <s v="Category 2"/>
    <e v="#N/A"/>
    <s v="Yes"/>
    <e v="#N/A"/>
    <n v="0.94013499999999994"/>
    <n v="0.752108"/>
    <x v="0"/>
    <x v="368"/>
    <x v="1"/>
  </r>
  <r>
    <n v="1672"/>
    <s v="M"/>
    <n v="0.61"/>
    <n v="0.47"/>
    <n v="0.16"/>
    <n v="1.022"/>
    <n v="0.44900000000000001"/>
    <n v="0.23449999999999999"/>
    <n v="0.29449999999999998"/>
    <n v="9"/>
    <n v="9"/>
    <s v="Danica"/>
    <s v="Tyler"/>
    <s v="University of Florida_x0009_"/>
    <n v="10"/>
    <x v="5"/>
    <n v="24.1"/>
    <s v="Category 3"/>
    <e v="#N/A"/>
    <e v="#N/A"/>
    <s v="Yes"/>
    <n v="1.01912"/>
    <n v="1.01912"/>
    <x v="0"/>
    <x v="0"/>
    <x v="221"/>
  </r>
  <r>
    <n v="1920"/>
    <s v="I"/>
    <n v="0.60499999999999998"/>
    <n v="0.49"/>
    <n v="0.16500000000000001"/>
    <n v="1.071"/>
    <n v="0.48199999999999998"/>
    <n v="0.19350000000000001"/>
    <n v="0.35199999999999998"/>
    <n v="10"/>
    <n v="2"/>
    <s v="Tiegan"/>
    <s v="Davie"/>
    <s v="University of California, Davis"/>
    <n v="10"/>
    <x v="5"/>
    <n v="24.1"/>
    <s v="Category 3"/>
    <e v="#N/A"/>
    <e v="#N/A"/>
    <s v="Yes"/>
    <n v="1.0230524999999999"/>
    <n v="1.0230524999999999"/>
    <x v="0"/>
    <x v="0"/>
    <x v="222"/>
  </r>
  <r>
    <n v="1356"/>
    <s v="F"/>
    <n v="0.6"/>
    <n v="0.46500000000000002"/>
    <n v="0.155"/>
    <n v="1.04"/>
    <n v="0.47549999999999998"/>
    <n v="0.25"/>
    <n v="0.28000000000000003"/>
    <n v="11"/>
    <n v="9"/>
    <s v="Danica"/>
    <s v="Tyler"/>
    <s v="University of Florida_x0009_"/>
    <n v="4"/>
    <x v="2"/>
    <n v="6.1"/>
    <s v="Category 3"/>
    <e v="#N/A"/>
    <e v="#N/A"/>
    <s v="Yes"/>
    <n v="1.0125333333333333"/>
    <n v="1.0125333333333333"/>
    <x v="0"/>
    <x v="0"/>
    <x v="223"/>
  </r>
  <r>
    <n v="3567"/>
    <s v="M"/>
    <n v="0.57499999999999996"/>
    <n v="0.45"/>
    <n v="0.155"/>
    <n v="0.88600000000000001"/>
    <n v="0.36049999999999999"/>
    <n v="0.21099999999999999"/>
    <n v="0.25750000000000001"/>
    <n v="9"/>
    <n v="13"/>
    <s v="Betty"/>
    <s v="Berg"/>
    <s v="University of Houston"/>
    <n v="4"/>
    <x v="2"/>
    <n v="6.1"/>
    <s v="Category 2"/>
    <e v="#N/A"/>
    <s v="Yes"/>
    <e v="#N/A"/>
    <n v="1.0054883333333331"/>
    <n v="0.80439066666666648"/>
    <x v="0"/>
    <x v="369"/>
    <x v="1"/>
  </r>
  <r>
    <n v="230"/>
    <s v="F"/>
    <n v="0.53"/>
    <n v="0.41499999999999998"/>
    <n v="0.16"/>
    <n v="0.78300000000000003"/>
    <n v="0.29349999999999998"/>
    <n v="0.158"/>
    <n v="0.245"/>
    <n v="15"/>
    <n v="12"/>
    <s v="Rebecca"/>
    <s v="Bennett"/>
    <s v="University of Houston"/>
    <n v="4"/>
    <x v="2"/>
    <n v="6.1"/>
    <s v="Category 2"/>
    <e v="#N/A"/>
    <s v="Yes"/>
    <e v="#N/A"/>
    <n v="0.98367999999999989"/>
    <n v="0.78694399999999998"/>
    <x v="0"/>
    <x v="370"/>
    <x v="1"/>
  </r>
  <r>
    <n v="2654"/>
    <s v="I"/>
    <n v="0.52"/>
    <n v="0.39500000000000002"/>
    <n v="0.13500000000000001"/>
    <n v="0.63300000000000001"/>
    <n v="0.29849999999999999"/>
    <n v="0.1295"/>
    <n v="0.17499999999999999"/>
    <n v="9"/>
    <n v="6"/>
    <s v="Martin"/>
    <s v="Gaines"/>
    <s v="San Diego State University"/>
    <n v="2"/>
    <x v="1"/>
    <n v="18"/>
    <s v="Category 2"/>
    <e v="#N/A"/>
    <s v="Yes"/>
    <e v="#N/A"/>
    <n v="0.97704249999999992"/>
    <n v="0.78163399999999994"/>
    <x v="0"/>
    <x v="371"/>
    <x v="1"/>
  </r>
  <r>
    <n v="885"/>
    <s v="M"/>
    <n v="0.66"/>
    <n v="0.52"/>
    <n v="0.19"/>
    <n v="1.5580000000000001"/>
    <n v="0.755"/>
    <n v="0.29799999999999999"/>
    <n v="0.4"/>
    <n v="10"/>
    <n v="14"/>
    <s v="Santiago"/>
    <s v="Vaughan"/>
    <s v="Ohio State University_x0009_"/>
    <n v="6"/>
    <x v="8"/>
    <n v="14.1"/>
    <s v="Category 3"/>
    <e v="#N/A"/>
    <e v="#N/A"/>
    <s v="Yes"/>
    <n v="1.0388033333333333"/>
    <n v="1.0388033333333333"/>
    <x v="0"/>
    <x v="0"/>
    <x v="224"/>
  </r>
  <r>
    <n v="528"/>
    <s v="F"/>
    <n v="0.56999999999999995"/>
    <n v="0.44500000000000001"/>
    <n v="0.155"/>
    <n v="0.73299999999999998"/>
    <n v="0.28199999999999997"/>
    <n v="0.159"/>
    <n v="0.23499999999999999"/>
    <n v="14"/>
    <n v="13"/>
    <s v="Betty"/>
    <s v="Berg"/>
    <s v="University of Houston"/>
    <n v="4"/>
    <x v="2"/>
    <n v="6.1"/>
    <s v="Category 2"/>
    <e v="#N/A"/>
    <s v="Yes"/>
    <e v="#N/A"/>
    <n v="1.0084025000000001"/>
    <n v="0.80672200000000016"/>
    <x v="0"/>
    <x v="372"/>
    <x v="1"/>
  </r>
  <r>
    <n v="2023"/>
    <s v="F"/>
    <n v="0.53"/>
    <n v="0.43"/>
    <n v="0.15"/>
    <n v="0.74099999999999999"/>
    <n v="0.32500000000000001"/>
    <n v="0.1855"/>
    <n v="0.19600000000000001"/>
    <n v="9"/>
    <n v="4"/>
    <s v="Nate"/>
    <s v="Craig"/>
    <s v="NOAA Fisheries"/>
    <n v="3"/>
    <x v="9"/>
    <n v="3.6"/>
    <s v="Category 2"/>
    <e v="#N/A"/>
    <s v="Yes"/>
    <e v="#N/A"/>
    <n v="0.98912500000000003"/>
    <n v="0.79130000000000011"/>
    <x v="0"/>
    <x v="373"/>
    <x v="1"/>
  </r>
  <r>
    <n v="854"/>
    <s v="M"/>
    <n v="0.56999999999999995"/>
    <n v="0.45500000000000002"/>
    <n v="0.15"/>
    <n v="0.95199999999999996"/>
    <n v="0.38950000000000001"/>
    <n v="0.2155"/>
    <n v="0.27450000000000002"/>
    <n v="9"/>
    <n v="14"/>
    <s v="Santiago"/>
    <s v="Vaughan"/>
    <s v="Ohio State University_x0009_"/>
    <n v="5"/>
    <x v="3"/>
    <n v="12.8"/>
    <s v="Category 2"/>
    <e v="#N/A"/>
    <s v="Yes"/>
    <e v="#N/A"/>
    <n v="1.002"/>
    <n v="0.80160000000000009"/>
    <x v="0"/>
    <x v="374"/>
    <x v="1"/>
  </r>
  <r>
    <n v="2649"/>
    <s v="M"/>
    <n v="0.5"/>
    <n v="0.38"/>
    <n v="0.12"/>
    <n v="0.57650000000000001"/>
    <n v="0.27300000000000002"/>
    <n v="0.13500000000000001"/>
    <n v="0.14499999999999999"/>
    <n v="9"/>
    <n v="12"/>
    <s v="Rebecca"/>
    <s v="Bennett"/>
    <s v="University of Houston"/>
    <n v="7"/>
    <x v="6"/>
    <n v="2.5"/>
    <s v="Category 2"/>
    <e v="#N/A"/>
    <s v="Yes"/>
    <e v="#N/A"/>
    <n v="0.9664299999999999"/>
    <n v="0.77314399999999994"/>
    <x v="0"/>
    <x v="375"/>
    <x v="1"/>
  </r>
  <r>
    <n v="2603"/>
    <s v="M"/>
    <n v="0.61499999999999999"/>
    <n v="0.47"/>
    <n v="0.155"/>
    <n v="1.2"/>
    <n v="0.50849999999999995"/>
    <n v="0.32"/>
    <n v="0.29199999999999998"/>
    <n v="8"/>
    <n v="10"/>
    <s v="Hazel"/>
    <s v="Villa"/>
    <s v="University of Minnesota"/>
    <n v="6"/>
    <x v="8"/>
    <n v="14.1"/>
    <s v="Category 3"/>
    <e v="#N/A"/>
    <e v="#N/A"/>
    <s v="Yes"/>
    <n v="1.0126666666666666"/>
    <n v="1.0126666666666666"/>
    <x v="0"/>
    <x v="0"/>
    <x v="225"/>
  </r>
  <r>
    <n v="2557"/>
    <s v="I"/>
    <n v="0.38"/>
    <n v="0.28499999999999998"/>
    <n v="8.5000000000000006E-2"/>
    <n v="0.23699999999999999"/>
    <n v="0.115"/>
    <n v="4.0500000000000001E-2"/>
    <n v="7.0000000000000007E-2"/>
    <n v="6"/>
    <n v="4"/>
    <s v="Nate"/>
    <s v="Craig"/>
    <s v="NOAA Fisheries"/>
    <n v="5"/>
    <x v="3"/>
    <n v="12.8"/>
    <s v="Category 2"/>
    <e v="#N/A"/>
    <s v="Yes"/>
    <e v="#N/A"/>
    <n v="0.90922416666666661"/>
    <n v="0.72737933333333338"/>
    <x v="0"/>
    <x v="376"/>
    <x v="1"/>
  </r>
  <r>
    <n v="936"/>
    <s v="I"/>
    <n v="0.45"/>
    <n v="0.34499999999999997"/>
    <n v="0.11"/>
    <n v="0.47"/>
    <n v="0.23549999999999999"/>
    <n v="8.5500000000000007E-2"/>
    <n v="0.1135"/>
    <n v="7"/>
    <n v="5"/>
    <s v="Haniya"/>
    <s v="Talley"/>
    <s v="Prince William Sound Science Center"/>
    <n v="2"/>
    <x v="1"/>
    <n v="18"/>
    <s v="Category 2"/>
    <e v="#N/A"/>
    <s v="Yes"/>
    <e v="#N/A"/>
    <n v="0.94228333333333336"/>
    <n v="0.75382666666666676"/>
    <x v="0"/>
    <x v="377"/>
    <x v="1"/>
  </r>
  <r>
    <n v="768"/>
    <s v="M"/>
    <n v="0.34499999999999997"/>
    <n v="0.27"/>
    <n v="9.5000000000000001E-2"/>
    <n v="0.19700000000000001"/>
    <n v="6.6500000000000004E-2"/>
    <n v="0.05"/>
    <n v="7.0000000000000007E-2"/>
    <n v="9"/>
    <n v="14"/>
    <s v="Santiago"/>
    <s v="Vaughan"/>
    <s v="Ohio State University_x0009_"/>
    <n v="9"/>
    <x v="7"/>
    <n v="1.9"/>
    <s v="Category 2"/>
    <e v="#N/A"/>
    <s v="Yes"/>
    <e v="#N/A"/>
    <n v="0.89498583333333337"/>
    <n v="0.71598866666666672"/>
    <x v="0"/>
    <x v="378"/>
    <x v="1"/>
  </r>
  <r>
    <n v="3149"/>
    <s v="F"/>
    <n v="0.71"/>
    <n v="0.53"/>
    <n v="0.19500000000000001"/>
    <n v="1.8745000000000001"/>
    <n v="0.67549999999999999"/>
    <n v="0.40649999999999997"/>
    <n v="0.6855"/>
    <n v="12"/>
    <n v="14"/>
    <s v="Santiago"/>
    <s v="Vaughan"/>
    <s v="Ohio State University_x0009_"/>
    <n v="6"/>
    <x v="8"/>
    <n v="14.1"/>
    <s v="Category 3"/>
    <e v="#N/A"/>
    <e v="#N/A"/>
    <s v="Yes"/>
    <n v="1.0492879166666667"/>
    <n v="1.0492879166666667"/>
    <x v="0"/>
    <x v="0"/>
    <x v="226"/>
  </r>
  <r>
    <n v="2377"/>
    <s v="F"/>
    <n v="0.43"/>
    <n v="0.34"/>
    <n v="0.11"/>
    <n v="0.38200000000000001"/>
    <n v="0.154"/>
    <n v="9.5500000000000002E-2"/>
    <n v="0.109"/>
    <n v="8"/>
    <n v="10"/>
    <s v="Hazel"/>
    <s v="Villa"/>
    <s v="University of Minnesota"/>
    <n v="8"/>
    <x v="4"/>
    <n v="12.3"/>
    <s v="Category 2"/>
    <e v="#N/A"/>
    <s v="Yes"/>
    <e v="#N/A"/>
    <n v="0.93820333333333328"/>
    <n v="0.75056266666666671"/>
    <x v="0"/>
    <x v="379"/>
    <x v="1"/>
  </r>
  <r>
    <n v="818"/>
    <s v="I"/>
    <n v="0.35"/>
    <n v="0.27"/>
    <n v="0.09"/>
    <n v="0.20549999999999999"/>
    <n v="7.4999999999999997E-2"/>
    <n v="5.7500000000000002E-2"/>
    <n v="6.2E-2"/>
    <n v="6"/>
    <n v="7"/>
    <s v="Iona"/>
    <s v="Connolly"/>
    <s v="Florida Atlantic University"/>
    <n v="1"/>
    <x v="0"/>
    <n v="22.1"/>
    <s v="Category 2"/>
    <e v="#N/A"/>
    <s v="Yes"/>
    <e v="#N/A"/>
    <n v="0.89604916666666667"/>
    <n v="0.71683933333333338"/>
    <x v="0"/>
    <x v="380"/>
    <x v="1"/>
  </r>
  <r>
    <n v="2223"/>
    <s v="F"/>
    <n v="0.625"/>
    <n v="0.52500000000000002"/>
    <n v="0.19500000000000001"/>
    <n v="1.3520000000000001"/>
    <n v="0.45050000000000001"/>
    <n v="0.2445"/>
    <n v="0.53"/>
    <n v="13"/>
    <n v="5"/>
    <s v="Haniya"/>
    <s v="Talley"/>
    <s v="Prince William Sound Science Center"/>
    <n v="3"/>
    <x v="9"/>
    <n v="3.6"/>
    <s v="Category 3"/>
    <e v="#N/A"/>
    <e v="#N/A"/>
    <s v="Yes"/>
    <n v="1.0371400000000002"/>
    <n v="1.0371400000000002"/>
    <x v="0"/>
    <x v="0"/>
    <x v="227"/>
  </r>
  <r>
    <n v="2582"/>
    <s v="F"/>
    <n v="0.53"/>
    <n v="0.42"/>
    <n v="0.17"/>
    <n v="0.82799999999999996"/>
    <n v="0.41"/>
    <n v="0.20799999999999999"/>
    <n v="0.15049999999999999"/>
    <n v="6"/>
    <n v="9"/>
    <s v="Danica"/>
    <s v="Tyler"/>
    <s v="University of Florida_x0009_"/>
    <n v="2"/>
    <x v="1"/>
    <n v="18"/>
    <s v="Category 3"/>
    <e v="#N/A"/>
    <e v="#N/A"/>
    <s v="Yes"/>
    <n v="0.98492666666666662"/>
    <n v="0.98492666666666662"/>
    <x v="0"/>
    <x v="0"/>
    <x v="228"/>
  </r>
  <r>
    <n v="2777"/>
    <s v="M"/>
    <n v="0.58499999999999996"/>
    <n v="0.46500000000000002"/>
    <n v="0.16500000000000001"/>
    <n v="0.88500000000000001"/>
    <n v="0.40250000000000002"/>
    <n v="0.16250000000000001"/>
    <n v="0.27400000000000002"/>
    <n v="10"/>
    <n v="12"/>
    <s v="Rebecca"/>
    <s v="Bennett"/>
    <s v="University of Houston"/>
    <n v="8"/>
    <x v="4"/>
    <n v="12.3"/>
    <s v="Category 3"/>
    <e v="#N/A"/>
    <e v="#N/A"/>
    <s v="Yes"/>
    <n v="1.0153375"/>
    <n v="1.0153375"/>
    <x v="0"/>
    <x v="0"/>
    <x v="229"/>
  </r>
  <r>
    <n v="975"/>
    <s v="F"/>
    <n v="0.53"/>
    <n v="0.42499999999999999"/>
    <n v="0.13"/>
    <n v="0.75849999999999995"/>
    <n v="0.32500000000000001"/>
    <n v="0.19700000000000001"/>
    <n v="0.20499999999999999"/>
    <n v="8"/>
    <n v="2"/>
    <s v="Tiegan"/>
    <s v="Davie"/>
    <s v="University of California, Davis"/>
    <n v="1"/>
    <x v="0"/>
    <n v="22.1"/>
    <s v="Category 2"/>
    <e v="#N/A"/>
    <s v="Yes"/>
    <e v="#N/A"/>
    <n v="0.9842008333333333"/>
    <n v="0.78736066666666671"/>
    <x v="0"/>
    <x v="381"/>
    <x v="1"/>
  </r>
  <r>
    <n v="1574"/>
    <s v="I"/>
    <n v="0.48"/>
    <n v="0.37"/>
    <n v="0.12"/>
    <n v="0.53600000000000003"/>
    <n v="0.251"/>
    <n v="0.114"/>
    <n v="0.15"/>
    <n v="8"/>
    <n v="2"/>
    <s v="Tiegan"/>
    <s v="Davie"/>
    <s v="University of California, Davis"/>
    <n v="2"/>
    <x v="1"/>
    <n v="18"/>
    <s v="Category 2"/>
    <e v="#N/A"/>
    <s v="Yes"/>
    <e v="#N/A"/>
    <n v="0.95831999999999995"/>
    <n v="0.766656"/>
    <x v="0"/>
    <x v="382"/>
    <x v="1"/>
  </r>
  <r>
    <n v="3580"/>
    <s v="F"/>
    <n v="0.6"/>
    <n v="0.48499999999999999"/>
    <n v="0.14499999999999999"/>
    <n v="0.77600000000000002"/>
    <n v="0.35449999999999998"/>
    <n v="0.1585"/>
    <n v="0.23899999999999999"/>
    <n v="9"/>
    <n v="13"/>
    <s v="Betty"/>
    <s v="Berg"/>
    <s v="University of Houston"/>
    <n v="3"/>
    <x v="9"/>
    <n v="3.6"/>
    <s v="Category 2"/>
    <e v="#N/A"/>
    <s v="Yes"/>
    <e v="#N/A"/>
    <n v="1.0286866666666665"/>
    <n v="0.82294933333333331"/>
    <x v="0"/>
    <x v="383"/>
    <x v="1"/>
  </r>
  <r>
    <n v="3664"/>
    <s v="I"/>
    <n v="0.55000000000000004"/>
    <n v="0.4"/>
    <n v="0.13500000000000001"/>
    <n v="0.71699999999999997"/>
    <n v="0.33150000000000002"/>
    <n v="0.14949999999999999"/>
    <n v="0.221"/>
    <n v="9"/>
    <n v="1"/>
    <s v="Jan"/>
    <s v="Odom"/>
    <s v="University of Houston"/>
    <n v="8"/>
    <x v="4"/>
    <n v="12.3"/>
    <s v="Category 2"/>
    <e v="#N/A"/>
    <s v="Yes"/>
    <e v="#N/A"/>
    <n v="0.98499916666666665"/>
    <n v="0.78799933333333338"/>
    <x v="0"/>
    <x v="384"/>
    <x v="1"/>
  </r>
  <r>
    <n v="1456"/>
    <s v="M"/>
    <n v="0.47499999999999998"/>
    <n v="0.37"/>
    <n v="0.125"/>
    <n v="0.64900000000000002"/>
    <n v="0.34699999999999998"/>
    <n v="0.13600000000000001"/>
    <n v="0.14199999999999999"/>
    <n v="8"/>
    <n v="4"/>
    <s v="Nate"/>
    <s v="Craig"/>
    <s v="NOAA Fisheries"/>
    <n v="9"/>
    <x v="7"/>
    <n v="1.9"/>
    <s v="Category 2"/>
    <e v="#N/A"/>
    <s v="Yes"/>
    <e v="#N/A"/>
    <n v="0.95192083333333333"/>
    <n v="0.76153666666666675"/>
    <x v="0"/>
    <x v="385"/>
    <x v="1"/>
  </r>
  <r>
    <n v="2422"/>
    <s v="I"/>
    <n v="0.52"/>
    <n v="0.41499999999999998"/>
    <n v="0.16"/>
    <n v="0.59499999999999997"/>
    <n v="0.21049999999999999"/>
    <n v="0.14199999999999999"/>
    <n v="0.26"/>
    <n v="15"/>
    <n v="10"/>
    <s v="Hazel"/>
    <s v="Villa"/>
    <s v="University of Minnesota"/>
    <n v="9"/>
    <x v="7"/>
    <n v="1.9"/>
    <s v="Category 2"/>
    <e v="#N/A"/>
    <s v="Yes"/>
    <e v="#N/A"/>
    <n v="0.98786666666666645"/>
    <n v="0.79029333333333318"/>
    <x v="0"/>
    <x v="386"/>
    <x v="1"/>
  </r>
  <r>
    <n v="2926"/>
    <s v="I"/>
    <n v="0.60499999999999998"/>
    <n v="0.48"/>
    <n v="0.155"/>
    <n v="0.99950000000000006"/>
    <n v="0.42499999999999999"/>
    <n v="0.19850000000000001"/>
    <n v="0.3"/>
    <n v="10"/>
    <n v="15"/>
    <s v="Conan"/>
    <s v="Dalton"/>
    <s v="University of Houston"/>
    <n v="6"/>
    <x v="8"/>
    <n v="14.1"/>
    <s v="Category 3"/>
    <e v="#N/A"/>
    <e v="#N/A"/>
    <s v="Yes"/>
    <n v="1.0208537499999999"/>
    <n v="1.0208537499999999"/>
    <x v="0"/>
    <x v="0"/>
    <x v="230"/>
  </r>
  <r>
    <n v="2263"/>
    <s v="F"/>
    <n v="0.57999999999999996"/>
    <n v="0.45500000000000002"/>
    <n v="0.16"/>
    <n v="0.92149999999999999"/>
    <n v="0.312"/>
    <n v="0.19600000000000001"/>
    <n v="0.3"/>
    <n v="17"/>
    <n v="13"/>
    <s v="Betty"/>
    <s v="Berg"/>
    <s v="University of Houston"/>
    <n v="10"/>
    <x v="5"/>
    <n v="24.1"/>
    <s v="Category 2"/>
    <e v="#N/A"/>
    <s v="Yes"/>
    <e v="#N/A"/>
    <n v="1.00814"/>
    <n v="0.80651200000000012"/>
    <x v="0"/>
    <x v="387"/>
    <x v="1"/>
  </r>
  <r>
    <n v="2745"/>
    <s v="M"/>
    <n v="0.48"/>
    <n v="0.375"/>
    <n v="0.12"/>
    <n v="0.58950000000000002"/>
    <n v="0.2535"/>
    <n v="0.128"/>
    <n v="0.17199999999999999"/>
    <n v="11"/>
    <n v="7"/>
    <s v="Iona"/>
    <s v="Connolly"/>
    <s v="Florida Atlantic University"/>
    <n v="2"/>
    <x v="1"/>
    <n v="18"/>
    <s v="Category 2"/>
    <e v="#N/A"/>
    <s v="Yes"/>
    <e v="#N/A"/>
    <n v="0.95748999999999995"/>
    <n v="0.76599200000000001"/>
    <x v="0"/>
    <x v="388"/>
    <x v="1"/>
  </r>
  <r>
    <n v="3007"/>
    <s v="M"/>
    <n v="0.7"/>
    <n v="0.54500000000000004"/>
    <n v="0.185"/>
    <n v="1.6134999999999999"/>
    <n v="0.75"/>
    <n v="0.40350000000000003"/>
    <n v="0.36849999999999999"/>
    <n v="11"/>
    <n v="15"/>
    <s v="Conan"/>
    <s v="Dalton"/>
    <s v="University of Houston"/>
    <n v="2"/>
    <x v="1"/>
    <n v="18"/>
    <s v="Category 3"/>
    <e v="#N/A"/>
    <e v="#N/A"/>
    <s v="Yes"/>
    <n v="1.0571829166666666"/>
    <n v="1.0571829166666666"/>
    <x v="0"/>
    <x v="0"/>
    <x v="231"/>
  </r>
  <r>
    <n v="83"/>
    <s v="F"/>
    <n v="0.52"/>
    <n v="0.42499999999999999"/>
    <n v="0.16500000000000001"/>
    <n v="0.98850000000000005"/>
    <n v="0.39600000000000002"/>
    <n v="0.22500000000000001"/>
    <n v="0.32"/>
    <n v="16"/>
    <n v="6"/>
    <s v="Martin"/>
    <s v="Gaines"/>
    <s v="San Diego State University"/>
    <n v="2"/>
    <x v="1"/>
    <n v="18"/>
    <s v="Category 2"/>
    <e v="#N/A"/>
    <s v="Yes"/>
    <e v="#N/A"/>
    <n v="0.97628374999999989"/>
    <n v="0.78102699999999992"/>
    <x v="0"/>
    <x v="389"/>
    <x v="1"/>
  </r>
  <r>
    <n v="2705"/>
    <s v="M"/>
    <n v="0.7"/>
    <n v="0.52500000000000002"/>
    <n v="0.17499999999999999"/>
    <n v="1.7585"/>
    <n v="0.87450000000000006"/>
    <n v="0.36149999999999999"/>
    <n v="0.47"/>
    <n v="10"/>
    <n v="15"/>
    <s v="Conan"/>
    <s v="Dalton"/>
    <s v="University of Houston"/>
    <n v="4"/>
    <x v="2"/>
    <n v="6.1"/>
    <s v="Category 3"/>
    <e v="#N/A"/>
    <e v="#N/A"/>
    <s v="Yes"/>
    <n v="1.0423895833333334"/>
    <n v="1.0423895833333334"/>
    <x v="0"/>
    <x v="0"/>
    <x v="232"/>
  </r>
  <r>
    <n v="1972"/>
    <s v="F"/>
    <n v="0.67500000000000004"/>
    <n v="0.51"/>
    <n v="0.185"/>
    <n v="1.4730000000000001"/>
    <n v="0.62949999999999995"/>
    <n v="0.30249999999999999"/>
    <n v="0.42449999999999999"/>
    <n v="11"/>
    <n v="7"/>
    <s v="Iona"/>
    <s v="Connolly"/>
    <s v="Florida Atlantic University"/>
    <n v="6"/>
    <x v="8"/>
    <n v="14.1"/>
    <s v="Category 3"/>
    <e v="#N/A"/>
    <e v="#N/A"/>
    <s v="Yes"/>
    <n v="1.0422175"/>
    <n v="1.0422175"/>
    <x v="0"/>
    <x v="0"/>
    <x v="233"/>
  </r>
  <r>
    <n v="4010"/>
    <s v="M"/>
    <n v="0.61"/>
    <n v="0.49"/>
    <n v="0.16"/>
    <n v="1.1459999999999999"/>
    <n v="0.59699999999999998"/>
    <n v="0.246"/>
    <n v="0.26500000000000001"/>
    <n v="8"/>
    <n v="11"/>
    <s v="Naima"/>
    <s v="Reyes"/>
    <s v="University of Houston"/>
    <n v="6"/>
    <x v="8"/>
    <n v="14.1"/>
    <s v="Category 3"/>
    <e v="#N/A"/>
    <e v="#N/A"/>
    <s v="Yes"/>
    <n v="1.0208266666666665"/>
    <n v="1.0208266666666665"/>
    <x v="0"/>
    <x v="0"/>
    <x v="234"/>
  </r>
  <r>
    <n v="882"/>
    <s v="M"/>
    <n v="0.65500000000000003"/>
    <n v="0.52"/>
    <n v="0.16500000000000001"/>
    <n v="1.4095"/>
    <n v="0.58599999999999997"/>
    <n v="0.29099999999999998"/>
    <n v="0.40500000000000003"/>
    <n v="9"/>
    <n v="10"/>
    <s v="Hazel"/>
    <s v="Villa"/>
    <s v="University of Minnesota"/>
    <n v="1"/>
    <x v="0"/>
    <n v="22.1"/>
    <s v="Category 3"/>
    <e v="#N/A"/>
    <e v="#N/A"/>
    <s v="Yes"/>
    <n v="1.0364612500000001"/>
    <n v="1.0364612500000001"/>
    <x v="0"/>
    <x v="0"/>
    <x v="235"/>
  </r>
  <r>
    <n v="455"/>
    <s v="F"/>
    <n v="0.64500000000000002"/>
    <n v="0.55000000000000004"/>
    <n v="0.17499999999999999"/>
    <n v="1.2915000000000001"/>
    <n v="0.56999999999999995"/>
    <n v="0.30449999999999999"/>
    <n v="0.33"/>
    <n v="14"/>
    <n v="6"/>
    <s v="Martin"/>
    <s v="Gaines"/>
    <s v="San Diego State University"/>
    <n v="10"/>
    <x v="5"/>
    <n v="24.1"/>
    <s v="Category 3"/>
    <e v="#N/A"/>
    <e v="#N/A"/>
    <s v="Yes"/>
    <n v="1.0499020833333335"/>
    <n v="1.0499020833333335"/>
    <x v="0"/>
    <x v="0"/>
    <x v="236"/>
  </r>
  <r>
    <n v="3683"/>
    <s v="M"/>
    <n v="0.62"/>
    <n v="0.5"/>
    <n v="0.18"/>
    <n v="1.3915"/>
    <n v="0.72599999999999998"/>
    <n v="0.27950000000000003"/>
    <n v="0.33200000000000002"/>
    <n v="11"/>
    <n v="9"/>
    <s v="Danica"/>
    <s v="Tyler"/>
    <s v="University of Florida_x0009_"/>
    <n v="1"/>
    <x v="0"/>
    <n v="22.1"/>
    <s v="Category 3"/>
    <e v="#N/A"/>
    <e v="#N/A"/>
    <s v="Yes"/>
    <n v="1.0223116666666665"/>
    <n v="1.0223116666666665"/>
    <x v="0"/>
    <x v="0"/>
    <x v="237"/>
  </r>
  <r>
    <n v="1335"/>
    <s v="F"/>
    <n v="0.57499999999999996"/>
    <n v="0.42"/>
    <n v="0.13500000000000001"/>
    <n v="0.85699999999999998"/>
    <n v="0.46100000000000002"/>
    <n v="0.14699999999999999"/>
    <n v="0.21249999999999999"/>
    <n v="10"/>
    <n v="13"/>
    <s v="Betty"/>
    <s v="Berg"/>
    <s v="University of Houston"/>
    <n v="10"/>
    <x v="5"/>
    <n v="24.1"/>
    <s v="Category 3"/>
    <e v="#N/A"/>
    <e v="#N/A"/>
    <s v="Yes"/>
    <n v="0.99381583333333312"/>
    <n v="0.99381583333333312"/>
    <x v="0"/>
    <x v="0"/>
    <x v="238"/>
  </r>
  <r>
    <n v="2289"/>
    <s v="I"/>
    <n v="0.33"/>
    <n v="0.26500000000000001"/>
    <n v="0.09"/>
    <n v="0.18"/>
    <n v="6.8000000000000005E-2"/>
    <n v="3.5999999999999997E-2"/>
    <n v="0.06"/>
    <n v="6"/>
    <n v="10"/>
    <s v="Hazel"/>
    <s v="Villa"/>
    <s v="University of Minnesota"/>
    <n v="9"/>
    <x v="7"/>
    <n v="1.9"/>
    <s v="Category 2"/>
    <e v="#N/A"/>
    <s v="Yes"/>
    <e v="#N/A"/>
    <n v="0.88903333333333334"/>
    <n v="0.71122666666666667"/>
    <x v="0"/>
    <x v="390"/>
    <x v="1"/>
  </r>
  <r>
    <n v="3342"/>
    <s v="F"/>
    <n v="0.49"/>
    <n v="0.39"/>
    <n v="0.13500000000000001"/>
    <n v="0.59"/>
    <n v="0.215"/>
    <n v="0.125"/>
    <n v="0.1845"/>
    <n v="12"/>
    <n v="3"/>
    <s v="Inaya"/>
    <s v="Bernard"/>
    <s v="Stanford University"/>
    <n v="6"/>
    <x v="8"/>
    <n v="14.1"/>
    <s v="Category 2"/>
    <e v="#N/A"/>
    <s v="Yes"/>
    <e v="#N/A"/>
    <n v="0.96727500000000011"/>
    <n v="0.77382000000000017"/>
    <x v="0"/>
    <x v="391"/>
    <x v="1"/>
  </r>
  <r>
    <n v="783"/>
    <s v="M"/>
    <n v="0.51500000000000001"/>
    <n v="0.435"/>
    <n v="0.14499999999999999"/>
    <n v="0.88149999999999995"/>
    <n v="0.29199999999999998"/>
    <n v="0.20599999999999999"/>
    <n v="0.255"/>
    <n v="10"/>
    <n v="14"/>
    <s v="Santiago"/>
    <s v="Vaughan"/>
    <s v="Ohio State University_x0009_"/>
    <n v="5"/>
    <x v="3"/>
    <n v="12.8"/>
    <s v="Category 2"/>
    <e v="#N/A"/>
    <s v="Yes"/>
    <e v="#N/A"/>
    <n v="0.97920291666666659"/>
    <n v="0.78336233333333327"/>
    <x v="0"/>
    <x v="392"/>
    <x v="1"/>
  </r>
  <r>
    <n v="3078"/>
    <s v="M"/>
    <n v="0.68500000000000005"/>
    <n v="0.51"/>
    <n v="0.16500000000000001"/>
    <n v="1.5449999999999999"/>
    <n v="0.68600000000000005"/>
    <n v="0.3775"/>
    <n v="0.40550000000000003"/>
    <n v="10"/>
    <n v="9"/>
    <s v="Danica"/>
    <s v="Tyler"/>
    <s v="University of Florida_x0009_"/>
    <n v="9"/>
    <x v="7"/>
    <n v="1.9"/>
    <s v="Category 3"/>
    <e v="#N/A"/>
    <e v="#N/A"/>
    <s v="Yes"/>
    <n v="1.0378208333333334"/>
    <n v="1.0378208333333334"/>
    <x v="0"/>
    <x v="0"/>
    <x v="239"/>
  </r>
  <r>
    <n v="2155"/>
    <s v="M"/>
    <n v="0.55000000000000004"/>
    <n v="0.44"/>
    <n v="0.13500000000000001"/>
    <n v="0.879"/>
    <n v="0.36799999999999999"/>
    <n v="0.20949999999999999"/>
    <n v="0.26500000000000001"/>
    <n v="10"/>
    <n v="8"/>
    <s v="Kali"/>
    <s v="Metcalfe"/>
    <s v="Mote Marine Laboratory"/>
    <n v="7"/>
    <x v="6"/>
    <n v="2.5"/>
    <s v="Category 2"/>
    <e v="#N/A"/>
    <s v="Yes"/>
    <e v="#N/A"/>
    <n v="0.99117750000000004"/>
    <n v="0.79294200000000004"/>
    <x v="0"/>
    <x v="393"/>
    <x v="1"/>
  </r>
  <r>
    <n v="947"/>
    <s v="F"/>
    <n v="0.47"/>
    <n v="0.36499999999999999"/>
    <n v="0.12"/>
    <n v="0.58199999999999996"/>
    <n v="0.28999999999999998"/>
    <n v="9.1999999999999998E-2"/>
    <n v="0.14599999999999999"/>
    <n v="8"/>
    <n v="14"/>
    <s v="Santiago"/>
    <s v="Vaughan"/>
    <s v="Ohio State University_x0009_"/>
    <n v="6"/>
    <x v="8"/>
    <n v="14.1"/>
    <s v="Category 2"/>
    <e v="#N/A"/>
    <s v="Yes"/>
    <e v="#N/A"/>
    <n v="0.95117333333333332"/>
    <n v="0.76093866666666665"/>
    <x v="0"/>
    <x v="394"/>
    <x v="1"/>
  </r>
  <r>
    <n v="2071"/>
    <s v="I"/>
    <n v="0.55000000000000004"/>
    <n v="0.42"/>
    <n v="0.115"/>
    <n v="0.66800000000000004"/>
    <n v="0.29249999999999998"/>
    <n v="0.13700000000000001"/>
    <n v="0.20899999999999999"/>
    <n v="11"/>
    <n v="11"/>
    <s v="Naima"/>
    <s v="Reyes"/>
    <s v="University of Houston"/>
    <n v="3"/>
    <x v="9"/>
    <n v="3.6"/>
    <s v="Category 2"/>
    <e v="#N/A"/>
    <s v="Yes"/>
    <e v="#N/A"/>
    <n v="0.99160333333333317"/>
    <n v="0.79328266666666658"/>
    <x v="0"/>
    <x v="395"/>
    <x v="1"/>
  </r>
  <r>
    <n v="2775"/>
    <s v="F"/>
    <n v="0.57999999999999996"/>
    <n v="0.42499999999999999"/>
    <n v="0.15"/>
    <n v="0.84399999999999997"/>
    <n v="0.36449999999999999"/>
    <n v="0.185"/>
    <n v="0.27050000000000002"/>
    <n v="9"/>
    <n v="11"/>
    <s v="Naima"/>
    <s v="Reyes"/>
    <s v="University of Houston"/>
    <n v="2"/>
    <x v="1"/>
    <n v="18"/>
    <s v="Category 2"/>
    <e v="#N/A"/>
    <s v="Yes"/>
    <e v="#N/A"/>
    <n v="0.99983333333333324"/>
    <n v="0.79986666666666661"/>
    <x v="0"/>
    <x v="396"/>
    <x v="1"/>
  </r>
  <r>
    <n v="2251"/>
    <s v="M"/>
    <n v="0.65500000000000003"/>
    <n v="0.59"/>
    <n v="0.2"/>
    <n v="1.5455000000000001"/>
    <n v="0.65400000000000003"/>
    <n v="0.3765"/>
    <n v="0.41499999999999998"/>
    <n v="11"/>
    <n v="7"/>
    <s v="Iona"/>
    <s v="Connolly"/>
    <s v="Florida Atlantic University"/>
    <n v="1"/>
    <x v="0"/>
    <n v="22.1"/>
    <s v="Category 3"/>
    <e v="#N/A"/>
    <e v="#N/A"/>
    <s v="Yes"/>
    <n v="1.0634833333333333"/>
    <n v="1.0634833333333333"/>
    <x v="0"/>
    <x v="0"/>
    <x v="240"/>
  </r>
  <r>
    <n v="1789"/>
    <s v="F"/>
    <n v="0.54500000000000004"/>
    <n v="0.41499999999999998"/>
    <n v="0.2"/>
    <n v="1.3580000000000001"/>
    <n v="0.56699999999999995"/>
    <n v="0.318"/>
    <n v="0.40300000000000002"/>
    <n v="10"/>
    <n v="4"/>
    <s v="Nate"/>
    <s v="Craig"/>
    <s v="NOAA Fisheries"/>
    <n v="4"/>
    <x v="2"/>
    <n v="6.1"/>
    <s v="Category 3"/>
    <e v="#N/A"/>
    <e v="#N/A"/>
    <s v="Yes"/>
    <n v="0.97473333333333334"/>
    <n v="0.97473333333333334"/>
    <x v="0"/>
    <x v="0"/>
    <x v="241"/>
  </r>
  <r>
    <n v="103"/>
    <s v="M"/>
    <n v="0.53"/>
    <n v="0.435"/>
    <n v="0.16"/>
    <n v="0.88300000000000001"/>
    <n v="0.316"/>
    <n v="0.16400000000000001"/>
    <n v="0.33500000000000002"/>
    <n v="15"/>
    <n v="10"/>
    <s v="Hazel"/>
    <s v="Villa"/>
    <s v="University of Minnesota"/>
    <n v="3"/>
    <x v="9"/>
    <n v="3.6"/>
    <s v="Category 2"/>
    <e v="#N/A"/>
    <s v="Yes"/>
    <e v="#N/A"/>
    <n v="0.9863466666666667"/>
    <n v="0.78907733333333341"/>
    <x v="0"/>
    <x v="397"/>
    <x v="1"/>
  </r>
  <r>
    <n v="567"/>
    <s v="I"/>
    <n v="0.48499999999999999"/>
    <n v="0.35499999999999998"/>
    <n v="0.13"/>
    <n v="0.58099999999999996"/>
    <n v="0.245"/>
    <n v="0.13200000000000001"/>
    <n v="0.16800000000000001"/>
    <n v="12"/>
    <n v="1"/>
    <s v="Jan"/>
    <s v="Odom"/>
    <s v="University of Houston"/>
    <n v="5"/>
    <x v="3"/>
    <n v="12.8"/>
    <s v="Category 2"/>
    <e v="#N/A"/>
    <s v="Yes"/>
    <e v="#N/A"/>
    <n v="0.95385500000000001"/>
    <n v="0.7630840000000001"/>
    <x v="0"/>
    <x v="398"/>
    <x v="1"/>
  </r>
  <r>
    <n v="3440"/>
    <s v="I"/>
    <n v="0.44"/>
    <n v="0.35"/>
    <n v="0.125"/>
    <n v="0.45600000000000002"/>
    <n v="0.21"/>
    <n v="9.5500000000000002E-2"/>
    <n v="0.13100000000000001"/>
    <n v="8"/>
    <n v="4"/>
    <s v="Nate"/>
    <s v="Craig"/>
    <s v="NOAA Fisheries"/>
    <n v="2"/>
    <x v="1"/>
    <n v="18"/>
    <s v="Category 2"/>
    <e v="#N/A"/>
    <s v="Yes"/>
    <e v="#N/A"/>
    <n v="0.94243333333333323"/>
    <n v="0.75394666666666665"/>
    <x v="0"/>
    <x v="399"/>
    <x v="1"/>
  </r>
  <r>
    <n v="3752"/>
    <s v="I"/>
    <n v="0.45"/>
    <n v="0.33500000000000002"/>
    <n v="0.115"/>
    <n v="0.39350000000000002"/>
    <n v="0.19500000000000001"/>
    <n v="7.0999999999999994E-2"/>
    <n v="0.11"/>
    <n v="7"/>
    <n v="10"/>
    <s v="Hazel"/>
    <s v="Villa"/>
    <s v="University of Minnesota"/>
    <n v="8"/>
    <x v="4"/>
    <n v="12.3"/>
    <s v="Category 2"/>
    <e v="#N/A"/>
    <s v="Yes"/>
    <e v="#N/A"/>
    <n v="0.94297541666666662"/>
    <n v="0.75438033333333332"/>
    <x v="0"/>
    <x v="400"/>
    <x v="1"/>
  </r>
  <r>
    <n v="3289"/>
    <s v="F"/>
    <n v="0.60499999999999998"/>
    <n v="0.47499999999999998"/>
    <n v="0.14499999999999999"/>
    <n v="1.0185"/>
    <n v="0.46949999999999997"/>
    <n v="0.22500000000000001"/>
    <n v="0.27"/>
    <n v="15"/>
    <n v="10"/>
    <s v="Hazel"/>
    <s v="Villa"/>
    <s v="University of Minnesota"/>
    <n v="7"/>
    <x v="6"/>
    <n v="2.5"/>
    <s v="Category 3"/>
    <e v="#N/A"/>
    <e v="#N/A"/>
    <s v="Yes"/>
    <n v="1.0167137499999999"/>
    <n v="1.0167137499999999"/>
    <x v="0"/>
    <x v="0"/>
    <x v="242"/>
  </r>
  <r>
    <n v="180"/>
    <s v="M"/>
    <n v="0.57999999999999996"/>
    <n v="0.47499999999999998"/>
    <n v="0.15"/>
    <n v="0.97"/>
    <n v="0.38500000000000001"/>
    <n v="0.2165"/>
    <n v="0.35"/>
    <n v="11"/>
    <n v="12"/>
    <s v="Rebecca"/>
    <s v="Bennett"/>
    <s v="University of Houston"/>
    <n v="4"/>
    <x v="2"/>
    <n v="6.1"/>
    <s v="Category 2"/>
    <e v="#N/A"/>
    <s v="Yes"/>
    <e v="#N/A"/>
    <n v="1.0112499999999998"/>
    <n v="0.80899999999999983"/>
    <x v="0"/>
    <x v="401"/>
    <x v="1"/>
  </r>
  <r>
    <n v="3341"/>
    <s v="I"/>
    <n v="0.54"/>
    <n v="0.435"/>
    <n v="0.14499999999999999"/>
    <n v="0.97"/>
    <n v="0.42849999999999999"/>
    <n v="0.22"/>
    <n v="0.26400000000000001"/>
    <n v="17"/>
    <n v="1"/>
    <s v="Jan"/>
    <s v="Odom"/>
    <s v="University of Houston"/>
    <n v="7"/>
    <x v="6"/>
    <n v="2.5"/>
    <s v="Category 1"/>
    <s v="Yes"/>
    <e v="#N/A"/>
    <e v="#N/A"/>
    <n v="0.98377500000000018"/>
    <n v="1.4756625000000003"/>
    <x v="7"/>
    <x v="0"/>
    <x v="1"/>
  </r>
  <r>
    <n v="2700"/>
    <s v="M"/>
    <n v="0.67"/>
    <n v="0.5"/>
    <n v="0.2"/>
    <n v="1.2689999999999999"/>
    <n v="0.57599999999999996"/>
    <n v="0.29849999999999999"/>
    <n v="0.35099999999999998"/>
    <n v="11"/>
    <n v="13"/>
    <s v="Betty"/>
    <s v="Berg"/>
    <s v="University of Houston"/>
    <n v="6"/>
    <x v="8"/>
    <n v="14.1"/>
    <s v="Category 3"/>
    <e v="#N/A"/>
    <e v="#N/A"/>
    <s v="Yes"/>
    <n v="1.0476999999999999"/>
    <n v="1.0476999999999999"/>
    <x v="0"/>
    <x v="0"/>
    <x v="243"/>
  </r>
  <r>
    <n v="3452"/>
    <s v="M"/>
    <n v="0.55000000000000004"/>
    <n v="0.44"/>
    <n v="0.155"/>
    <n v="0.91549999999999998"/>
    <n v="0.36449999999999999"/>
    <n v="0.19500000000000001"/>
    <n v="0.25"/>
    <n v="8"/>
    <n v="5"/>
    <s v="Haniya"/>
    <s v="Talley"/>
    <s v="Prince William Sound Science Center"/>
    <n v="5"/>
    <x v="3"/>
    <n v="12.8"/>
    <s v="Category 2"/>
    <e v="#N/A"/>
    <s v="Yes"/>
    <e v="#N/A"/>
    <n v="0.99261708333333332"/>
    <n v="0.7940936666666667"/>
    <x v="0"/>
    <x v="402"/>
    <x v="1"/>
  </r>
  <r>
    <n v="801"/>
    <s v="M"/>
    <n v="0.46"/>
    <n v="0.34"/>
    <n v="0.13500000000000001"/>
    <n v="0.495"/>
    <n v="0.16550000000000001"/>
    <n v="0.11700000000000001"/>
    <n v="0.185"/>
    <n v="10"/>
    <n v="12"/>
    <s v="Rebecca"/>
    <s v="Bennett"/>
    <s v="University of Houston"/>
    <n v="10"/>
    <x v="5"/>
    <n v="24.1"/>
    <s v="Category 2"/>
    <e v="#N/A"/>
    <s v="Yes"/>
    <e v="#N/A"/>
    <n v="0.94480416666666667"/>
    <n v="0.75584333333333342"/>
    <x v="0"/>
    <x v="403"/>
    <x v="1"/>
  </r>
  <r>
    <n v="2788"/>
    <s v="F"/>
    <n v="0.61"/>
    <n v="0.45"/>
    <n v="0.13"/>
    <n v="0.87250000000000005"/>
    <n v="0.38900000000000001"/>
    <n v="0.17150000000000001"/>
    <n v="0.27200000000000002"/>
    <n v="11"/>
    <n v="5"/>
    <s v="Haniya"/>
    <s v="Talley"/>
    <s v="Prince William Sound Science Center"/>
    <n v="5"/>
    <x v="3"/>
    <n v="12.8"/>
    <s v="Category 2"/>
    <e v="#N/A"/>
    <s v="Yes"/>
    <e v="#N/A"/>
    <n v="1.0140708333333333"/>
    <n v="0.81125666666666663"/>
    <x v="0"/>
    <x v="404"/>
    <x v="1"/>
  </r>
  <r>
    <n v="307"/>
    <s v="I"/>
    <n v="0.16500000000000001"/>
    <n v="0.12"/>
    <n v="0.03"/>
    <n v="2.1499999999999998E-2"/>
    <n v="7.0000000000000001E-3"/>
    <n v="5.0000000000000001E-3"/>
    <n v="5.0000000000000001E-3"/>
    <n v="3"/>
    <n v="11"/>
    <s v="Naima"/>
    <s v="Reyes"/>
    <s v="University of Houston"/>
    <n v="10"/>
    <x v="5"/>
    <n v="24.1"/>
    <s v="Category 2"/>
    <e v="#N/A"/>
    <s v="Yes"/>
    <e v="#N/A"/>
    <n v="0.79367416666666657"/>
    <n v="0.6349393333333333"/>
    <x v="0"/>
    <x v="405"/>
    <x v="1"/>
  </r>
  <r>
    <n v="3654"/>
    <s v="I"/>
    <n v="0.53"/>
    <n v="0.42499999999999999"/>
    <n v="0.13"/>
    <n v="0.78100000000000003"/>
    <n v="0.39050000000000001"/>
    <n v="0.20050000000000001"/>
    <n v="0.215"/>
    <n v="9"/>
    <n v="3"/>
    <s v="Inaya"/>
    <s v="Bernard"/>
    <s v="Stanford University"/>
    <n v="2"/>
    <x v="1"/>
    <n v="18"/>
    <s v="Category 2"/>
    <e v="#N/A"/>
    <s v="Yes"/>
    <e v="#N/A"/>
    <n v="0.98318833333333333"/>
    <n v="0.78655066666666673"/>
    <x v="0"/>
    <x v="406"/>
    <x v="1"/>
  </r>
  <r>
    <n v="2755"/>
    <s v="I"/>
    <n v="0.52500000000000002"/>
    <n v="0.38500000000000001"/>
    <n v="0.13"/>
    <n v="0.60699999999999998"/>
    <n v="0.23549999999999999"/>
    <n v="0.125"/>
    <n v="0.19500000000000001"/>
    <n v="8"/>
    <n v="6"/>
    <s v="Martin"/>
    <s v="Gaines"/>
    <s v="San Diego State University"/>
    <n v="5"/>
    <x v="3"/>
    <n v="12.8"/>
    <s v="Category 2"/>
    <e v="#N/A"/>
    <s v="Yes"/>
    <e v="#N/A"/>
    <n v="0.97601833333333343"/>
    <n v="0.78081466666666677"/>
    <x v="0"/>
    <x v="407"/>
    <x v="1"/>
  </r>
  <r>
    <n v="3426"/>
    <s v="F"/>
    <n v="0.65"/>
    <n v="0.54500000000000004"/>
    <n v="0.185"/>
    <n v="1.5055000000000001"/>
    <n v="0.65649999999999997"/>
    <n v="0.34100000000000003"/>
    <n v="0.43"/>
    <n v="10"/>
    <n v="12"/>
    <s v="Rebecca"/>
    <s v="Bennett"/>
    <s v="University of Houston"/>
    <n v="2"/>
    <x v="1"/>
    <n v="18"/>
    <s v="Category 3"/>
    <e v="#N/A"/>
    <e v="#N/A"/>
    <s v="Yes"/>
    <n v="1.0443862500000001"/>
    <n v="1.0443862500000001"/>
    <x v="0"/>
    <x v="0"/>
    <x v="244"/>
  </r>
  <r>
    <n v="4094"/>
    <s v="M"/>
    <n v="0.63"/>
    <n v="0.48499999999999999"/>
    <n v="0.18"/>
    <n v="1.2435"/>
    <n v="0.51749999999999996"/>
    <n v="0.308"/>
    <n v="0.37"/>
    <n v="11"/>
    <n v="8"/>
    <s v="Kali"/>
    <s v="Metcalfe"/>
    <s v="Mote Marine Laboratory"/>
    <n v="10"/>
    <x v="5"/>
    <n v="24.1"/>
    <s v="Category 3"/>
    <e v="#N/A"/>
    <e v="#N/A"/>
    <s v="Yes"/>
    <n v="1.0260716666666667"/>
    <n v="1.0260716666666667"/>
    <x v="0"/>
    <x v="0"/>
    <x v="245"/>
  </r>
  <r>
    <n v="2499"/>
    <s v="M"/>
    <n v="0.495"/>
    <n v="0.4"/>
    <n v="0.14000000000000001"/>
    <n v="0.77749999999999997"/>
    <n v="0.20150000000000001"/>
    <n v="0.18"/>
    <n v="0.25"/>
    <n v="15"/>
    <n v="4"/>
    <s v="Nate"/>
    <s v="Craig"/>
    <s v="NOAA Fisheries"/>
    <n v="1"/>
    <x v="0"/>
    <n v="22.1"/>
    <s v="Category 2"/>
    <e v="#N/A"/>
    <s v="Yes"/>
    <e v="#N/A"/>
    <n v="0.96464166666666662"/>
    <n v="0.77171333333333336"/>
    <x v="0"/>
    <x v="408"/>
    <x v="1"/>
  </r>
  <r>
    <n v="3260"/>
    <s v="M"/>
    <n v="0.64"/>
    <n v="0.505"/>
    <n v="0.16500000000000001"/>
    <n v="1.4435"/>
    <n v="0.61450000000000005"/>
    <n v="0.30349999999999999"/>
    <n v="0.39"/>
    <n v="18"/>
    <n v="8"/>
    <s v="Kali"/>
    <s v="Metcalfe"/>
    <s v="Mote Marine Laboratory"/>
    <n v="3"/>
    <x v="9"/>
    <n v="3.6"/>
    <s v="Category 2"/>
    <e v="#N/A"/>
    <s v="Yes"/>
    <e v="#N/A"/>
    <n v="1.0251295833333331"/>
    <n v="0.82010366666666656"/>
    <x v="0"/>
    <x v="409"/>
    <x v="1"/>
  </r>
  <r>
    <n v="2220"/>
    <s v="F"/>
    <n v="0.48499999999999999"/>
    <n v="0.375"/>
    <n v="0.14499999999999999"/>
    <n v="0.58850000000000002"/>
    <n v="0.23849999999999999"/>
    <n v="0.11550000000000001"/>
    <n v="0.19"/>
    <n v="13"/>
    <n v="14"/>
    <s v="Santiago"/>
    <s v="Vaughan"/>
    <s v="Ohio State University_x0009_"/>
    <n v="5"/>
    <x v="3"/>
    <n v="12.8"/>
    <s v="Category 2"/>
    <e v="#N/A"/>
    <s v="Yes"/>
    <e v="#N/A"/>
    <n v="0.96165541666666665"/>
    <n v="0.76932433333333339"/>
    <x v="0"/>
    <x v="410"/>
    <x v="1"/>
  </r>
  <r>
    <n v="3180"/>
    <s v="I"/>
    <n v="0.27"/>
    <n v="0.19500000000000001"/>
    <n v="7.0000000000000007E-2"/>
    <n v="0.10199999999999999"/>
    <n v="4.4999999999999998E-2"/>
    <n v="1.35E-2"/>
    <n v="3.4000000000000002E-2"/>
    <n v="8"/>
    <n v="14"/>
    <s v="Santiago"/>
    <s v="Vaughan"/>
    <s v="Ohio State University_x0009_"/>
    <n v="9"/>
    <x v="7"/>
    <n v="1.9"/>
    <s v="Category 2"/>
    <e v="#N/A"/>
    <s v="Yes"/>
    <e v="#N/A"/>
    <n v="0.84938999999999998"/>
    <n v="0.679512"/>
    <x v="0"/>
    <x v="411"/>
    <x v="1"/>
  </r>
  <r>
    <n v="3321"/>
    <s v="F"/>
    <n v="0.53500000000000003"/>
    <n v="0.42499999999999999"/>
    <n v="0.155"/>
    <n v="0.77649999999999997"/>
    <n v="0.30199999999999999"/>
    <n v="0.1565"/>
    <n v="0.25"/>
    <n v="16"/>
    <n v="7"/>
    <s v="Iona"/>
    <s v="Connolly"/>
    <s v="Florida Atlantic University"/>
    <n v="9"/>
    <x v="7"/>
    <n v="1.9"/>
    <s v="Category 2"/>
    <e v="#N/A"/>
    <s v="Yes"/>
    <e v="#N/A"/>
    <n v="0.98829291666666674"/>
    <n v="0.79063433333333344"/>
    <x v="0"/>
    <x v="412"/>
    <x v="1"/>
  </r>
  <r>
    <n v="1288"/>
    <s v="I"/>
    <n v="0.505"/>
    <n v="0.40500000000000003"/>
    <n v="0.13"/>
    <n v="0.60150000000000003"/>
    <n v="0.30149999999999999"/>
    <n v="0.11"/>
    <n v="0.18"/>
    <n v="8"/>
    <n v="4"/>
    <s v="Nate"/>
    <s v="Craig"/>
    <s v="NOAA Fisheries"/>
    <n v="5"/>
    <x v="3"/>
    <n v="12.8"/>
    <s v="Category 2"/>
    <e v="#N/A"/>
    <s v="Yes"/>
    <e v="#N/A"/>
    <n v="0.97626583333333339"/>
    <n v="0.7810126666666668"/>
    <x v="0"/>
    <x v="413"/>
    <x v="1"/>
  </r>
  <r>
    <n v="2323"/>
    <s v="M"/>
    <n v="0.53"/>
    <n v="0.435"/>
    <n v="0.13500000000000001"/>
    <n v="0.73650000000000004"/>
    <n v="0.32750000000000001"/>
    <n v="0.13150000000000001"/>
    <n v="0.22"/>
    <n v="12"/>
    <n v="6"/>
    <s v="Martin"/>
    <s v="Gaines"/>
    <s v="San Diego State University"/>
    <n v="10"/>
    <x v="5"/>
    <n v="24.1"/>
    <s v="Category 2"/>
    <e v="#N/A"/>
    <s v="Yes"/>
    <e v="#N/A"/>
    <n v="0.98913791666666673"/>
    <n v="0.79131033333333345"/>
    <x v="0"/>
    <x v="414"/>
    <x v="1"/>
  </r>
  <r>
    <n v="3601"/>
    <s v="I"/>
    <n v="0.17499999999999999"/>
    <n v="0.125"/>
    <n v="0.04"/>
    <n v="2.8000000000000001E-2"/>
    <n v="9.4999999999999998E-3"/>
    <n v="8.0000000000000002E-3"/>
    <n v="8.9999999999999993E-3"/>
    <n v="4"/>
    <n v="7"/>
    <s v="Iona"/>
    <s v="Connolly"/>
    <s v="Florida Atlantic University"/>
    <n v="2"/>
    <x v="1"/>
    <n v="18"/>
    <s v="Category 2"/>
    <e v="#N/A"/>
    <s v="Yes"/>
    <e v="#N/A"/>
    <n v="0.79831999999999992"/>
    <n v="0.638656"/>
    <x v="0"/>
    <x v="415"/>
    <x v="1"/>
  </r>
  <r>
    <n v="2127"/>
    <s v="F"/>
    <n v="0.5"/>
    <n v="0.4"/>
    <n v="0.125"/>
    <n v="0.57650000000000001"/>
    <n v="0.23949999999999999"/>
    <n v="0.126"/>
    <n v="0.185"/>
    <n v="10"/>
    <n v="7"/>
    <s v="Iona"/>
    <s v="Connolly"/>
    <s v="Florida Atlantic University"/>
    <n v="8"/>
    <x v="4"/>
    <n v="12.3"/>
    <s v="Category 2"/>
    <e v="#N/A"/>
    <s v="Yes"/>
    <e v="#N/A"/>
    <n v="0.97357708333333337"/>
    <n v="0.77886166666666679"/>
    <x v="0"/>
    <x v="416"/>
    <x v="1"/>
  </r>
  <r>
    <n v="4117"/>
    <s v="M"/>
    <n v="0.625"/>
    <n v="0.48"/>
    <n v="0.16"/>
    <n v="1.2415"/>
    <n v="0.65749999999999997"/>
    <n v="0.26250000000000001"/>
    <n v="0.27850000000000003"/>
    <n v="9"/>
    <n v="11"/>
    <s v="Naima"/>
    <s v="Reyes"/>
    <s v="University of Houston"/>
    <n v="9"/>
    <x v="7"/>
    <n v="1.9"/>
    <s v="Category 3"/>
    <e v="#N/A"/>
    <e v="#N/A"/>
    <s v="Yes"/>
    <n v="1.0186733333333333"/>
    <n v="1.0186733333333333"/>
    <x v="0"/>
    <x v="0"/>
    <x v="246"/>
  </r>
  <r>
    <n v="812"/>
    <s v="F"/>
    <n v="0.49"/>
    <n v="0.36499999999999999"/>
    <n v="0.13"/>
    <n v="0.6835"/>
    <n v="0.16500000000000001"/>
    <n v="0.13150000000000001"/>
    <n v="0.20499999999999999"/>
    <n v="21"/>
    <n v="5"/>
    <s v="Haniya"/>
    <s v="Talley"/>
    <s v="Prince William Sound Science Center"/>
    <n v="6"/>
    <x v="8"/>
    <n v="14.1"/>
    <s v="Category 2"/>
    <e v="#N/A"/>
    <s v="Yes"/>
    <e v="#N/A"/>
    <n v="0.95424249999999999"/>
    <n v="0.76339400000000002"/>
    <x v="0"/>
    <x v="417"/>
    <x v="1"/>
  </r>
  <r>
    <n v="2194"/>
    <s v="I"/>
    <n v="0.215"/>
    <n v="0.17"/>
    <n v="5.5E-2"/>
    <n v="6.0499999999999998E-2"/>
    <n v="2.0500000000000001E-2"/>
    <n v="1.4E-2"/>
    <n v="0.02"/>
    <n v="6"/>
    <n v="3"/>
    <s v="Inaya"/>
    <s v="Bernard"/>
    <s v="Stanford University"/>
    <n v="9"/>
    <x v="7"/>
    <n v="1.9"/>
    <s v="Category 2"/>
    <e v="#N/A"/>
    <s v="Yes"/>
    <e v="#N/A"/>
    <n v="0.82485458333333339"/>
    <n v="0.65988366666666676"/>
    <x v="0"/>
    <x v="418"/>
    <x v="1"/>
  </r>
  <r>
    <n v="775"/>
    <s v="M"/>
    <n v="0.49"/>
    <n v="0.38"/>
    <n v="0.14000000000000001"/>
    <n v="0.76049999999999995"/>
    <n v="0.245"/>
    <n v="0.16700000000000001"/>
    <n v="0.185"/>
    <n v="10"/>
    <n v="14"/>
    <s v="Santiago"/>
    <s v="Vaughan"/>
    <s v="Ohio State University_x0009_"/>
    <n v="3"/>
    <x v="9"/>
    <n v="3.6"/>
    <s v="Category 2"/>
    <e v="#N/A"/>
    <s v="Yes"/>
    <e v="#N/A"/>
    <n v="0.95704500000000003"/>
    <n v="0.76563600000000009"/>
    <x v="0"/>
    <x v="419"/>
    <x v="1"/>
  </r>
  <r>
    <n v="2382"/>
    <s v="M"/>
    <n v="0.155"/>
    <n v="0.115"/>
    <n v="2.5000000000000001E-2"/>
    <n v="2.4E-2"/>
    <n v="8.9999999999999993E-3"/>
    <n v="5.0000000000000001E-3"/>
    <n v="7.4999999999999997E-3"/>
    <n v="5"/>
    <n v="12"/>
    <s v="Rebecca"/>
    <s v="Bennett"/>
    <s v="University of Houston"/>
    <n v="9"/>
    <x v="7"/>
    <n v="1.9"/>
    <s v="Category 2"/>
    <e v="#N/A"/>
    <s v="Yes"/>
    <e v="#N/A"/>
    <n v="0.78850000000000009"/>
    <n v="0.63080000000000014"/>
    <x v="0"/>
    <x v="420"/>
    <x v="1"/>
  </r>
  <r>
    <n v="2821"/>
    <s v="I"/>
    <n v="0.375"/>
    <n v="0.28499999999999998"/>
    <n v="0.09"/>
    <n v="0.2545"/>
    <n v="0.11899999999999999"/>
    <n v="5.9499999999999997E-2"/>
    <n v="6.7500000000000004E-2"/>
    <n v="6"/>
    <n v="2"/>
    <s v="Tiegan"/>
    <s v="Davie"/>
    <s v="University of California, Davis"/>
    <n v="3"/>
    <x v="9"/>
    <n v="3.6"/>
    <s v="Category 2"/>
    <e v="#N/A"/>
    <s v="Yes"/>
    <e v="#N/A"/>
    <n v="0.90685083333333338"/>
    <n v="0.72548066666666677"/>
    <x v="0"/>
    <x v="421"/>
    <x v="1"/>
  </r>
  <r>
    <n v="871"/>
    <s v="M"/>
    <n v="0.61499999999999999"/>
    <n v="0.505"/>
    <n v="0.16500000000000001"/>
    <n v="1.34"/>
    <n v="0.53149999999999997"/>
    <n v="0.28149999999999997"/>
    <n v="0.41"/>
    <n v="12"/>
    <n v="13"/>
    <s v="Betty"/>
    <s v="Berg"/>
    <s v="University of Houston"/>
    <n v="4"/>
    <x v="2"/>
    <n v="6.1"/>
    <s v="Category 3"/>
    <e v="#N/A"/>
    <e v="#N/A"/>
    <s v="Yes"/>
    <n v="1.0208499999999998"/>
    <n v="1.0208499999999998"/>
    <x v="0"/>
    <x v="0"/>
    <x v="247"/>
  </r>
  <r>
    <n v="2196"/>
    <s v="I"/>
    <n v="0.26"/>
    <n v="0.215"/>
    <n v="0.08"/>
    <n v="9.9000000000000005E-2"/>
    <n v="3.6999999999999998E-2"/>
    <n v="2.5499999999999998E-2"/>
    <n v="4.4999999999999998E-2"/>
    <n v="5"/>
    <n v="2"/>
    <s v="Tiegan"/>
    <s v="Davie"/>
    <s v="University of California, Davis"/>
    <n v="8"/>
    <x v="4"/>
    <n v="12.3"/>
    <s v="Category 2"/>
    <e v="#N/A"/>
    <s v="Yes"/>
    <e v="#N/A"/>
    <n v="0.85305333333333344"/>
    <n v="0.68244266666666675"/>
    <x v="0"/>
    <x v="422"/>
    <x v="1"/>
  </r>
  <r>
    <n v="619"/>
    <s v="M"/>
    <n v="0.31"/>
    <n v="0.22500000000000001"/>
    <n v="7.4999999999999997E-2"/>
    <n v="0.1295"/>
    <n v="4.5499999999999999E-2"/>
    <n v="3.3500000000000002E-2"/>
    <n v="4.3999999999999997E-2"/>
    <n v="9"/>
    <n v="7"/>
    <s v="Iona"/>
    <s v="Connolly"/>
    <s v="Florida Atlantic University"/>
    <n v="2"/>
    <x v="1"/>
    <n v="18"/>
    <s v="Category 2"/>
    <e v="#N/A"/>
    <s v="Yes"/>
    <e v="#N/A"/>
    <n v="0.87131874999999992"/>
    <n v="0.69705499999999998"/>
    <x v="0"/>
    <x v="423"/>
    <x v="1"/>
  </r>
  <r>
    <n v="3237"/>
    <s v="I"/>
    <n v="0.34499999999999997"/>
    <n v="0.28499999999999998"/>
    <n v="0.1"/>
    <n v="0.2225"/>
    <n v="8.6499999999999994E-2"/>
    <n v="5.8000000000000003E-2"/>
    <n v="7.4999999999999997E-2"/>
    <n v="8"/>
    <n v="13"/>
    <s v="Betty"/>
    <s v="Berg"/>
    <s v="University of Houston"/>
    <n v="10"/>
    <x v="5"/>
    <n v="24.1"/>
    <s v="Category 2"/>
    <e v="#N/A"/>
    <s v="Yes"/>
    <e v="#N/A"/>
    <n v="0.89887499999999998"/>
    <n v="0.71910000000000007"/>
    <x v="0"/>
    <x v="424"/>
    <x v="1"/>
  </r>
  <r>
    <n v="1082"/>
    <s v="I"/>
    <n v="0.435"/>
    <n v="0.33"/>
    <n v="0.11"/>
    <n v="0.41299999999999998"/>
    <n v="0.20549999999999999"/>
    <n v="9.6000000000000002E-2"/>
    <n v="9.6000000000000002E-2"/>
    <n v="6"/>
    <n v="6"/>
    <s v="Martin"/>
    <s v="Gaines"/>
    <s v="San Diego State University"/>
    <n v="9"/>
    <x v="7"/>
    <n v="1.9"/>
    <s v="Category 2"/>
    <e v="#N/A"/>
    <s v="Yes"/>
    <e v="#N/A"/>
    <n v="0.9350383333333333"/>
    <n v="0.74803066666666673"/>
    <x v="0"/>
    <x v="425"/>
    <x v="1"/>
  </r>
  <r>
    <n v="358"/>
    <s v="F"/>
    <n v="0.64500000000000002"/>
    <n v="0.52500000000000002"/>
    <n v="0.19"/>
    <n v="1.8085"/>
    <n v="0.70350000000000001"/>
    <n v="0.38850000000000001"/>
    <n v="0.39500000000000002"/>
    <n v="18"/>
    <n v="10"/>
    <s v="Hazel"/>
    <s v="Villa"/>
    <s v="University of Minnesota"/>
    <n v="7"/>
    <x v="6"/>
    <n v="2.5"/>
    <s v="Category 3"/>
    <e v="#N/A"/>
    <e v="#N/A"/>
    <s v="Yes"/>
    <n v="1.0267025000000001"/>
    <n v="1.0267025000000001"/>
    <x v="0"/>
    <x v="0"/>
    <x v="248"/>
  </r>
  <r>
    <n v="3635"/>
    <s v="I"/>
    <n v="0.36"/>
    <n v="0.26500000000000001"/>
    <n v="8.5000000000000006E-2"/>
    <n v="0.1895"/>
    <n v="7.2499999999999995E-2"/>
    <n v="5.1499999999999997E-2"/>
    <n v="5.5E-2"/>
    <n v="6"/>
    <n v="14"/>
    <s v="Santiago"/>
    <s v="Vaughan"/>
    <s v="Ohio State University_x0009_"/>
    <n v="3"/>
    <x v="9"/>
    <n v="3.6"/>
    <s v="Category 2"/>
    <e v="#N/A"/>
    <s v="Yes"/>
    <e v="#N/A"/>
    <n v="0.89838458333333338"/>
    <n v="0.71870766666666674"/>
    <x v="0"/>
    <x v="426"/>
    <x v="1"/>
  </r>
  <r>
    <n v="573"/>
    <s v="F"/>
    <n v="0.59"/>
    <n v="0.45500000000000002"/>
    <n v="0.155"/>
    <n v="1.0660000000000001"/>
    <n v="0.38200000000000001"/>
    <n v="0.22750000000000001"/>
    <n v="0.41499999999999998"/>
    <n v="20"/>
    <n v="2"/>
    <s v="Tiegan"/>
    <s v="Davie"/>
    <s v="University of California, Davis"/>
    <n v="4"/>
    <x v="2"/>
    <n v="6.1"/>
    <s v="Category 2"/>
    <e v="#N/A"/>
    <s v="Yes"/>
    <e v="#N/A"/>
    <n v="1.0048049999999999"/>
    <n v="0.803844"/>
    <x v="0"/>
    <x v="427"/>
    <x v="1"/>
  </r>
  <r>
    <n v="383"/>
    <s v="M"/>
    <n v="0.48499999999999999"/>
    <n v="0.4"/>
    <n v="0.13500000000000001"/>
    <n v="0.66300000000000003"/>
    <n v="0.313"/>
    <n v="0.13700000000000001"/>
    <n v="0.2"/>
    <n v="10"/>
    <n v="13"/>
    <s v="Betty"/>
    <s v="Berg"/>
    <s v="University of Houston"/>
    <n v="6"/>
    <x v="8"/>
    <n v="14.1"/>
    <s v="Category 2"/>
    <e v="#N/A"/>
    <s v="Yes"/>
    <e v="#N/A"/>
    <n v="0.96571750000000001"/>
    <n v="0.77257400000000009"/>
    <x v="0"/>
    <x v="428"/>
    <x v="1"/>
  </r>
  <r>
    <n v="560"/>
    <s v="I"/>
    <n v="0.52"/>
    <n v="0.4"/>
    <n v="0.14499999999999999"/>
    <n v="0.66"/>
    <n v="0.26700000000000002"/>
    <n v="0.1055"/>
    <n v="0.22"/>
    <n v="13"/>
    <n v="9"/>
    <s v="Danica"/>
    <s v="Tyler"/>
    <s v="University of Florida_x0009_"/>
    <n v="10"/>
    <x v="5"/>
    <n v="24.1"/>
    <s v="Category 2"/>
    <e v="#N/A"/>
    <s v="Yes"/>
    <e v="#N/A"/>
    <n v="0.97861666666666658"/>
    <n v="0.78289333333333333"/>
    <x v="0"/>
    <x v="429"/>
    <x v="1"/>
  </r>
  <r>
    <n v="4176"/>
    <s v="F"/>
    <n v="0.625"/>
    <n v="0.48499999999999999"/>
    <n v="0.15"/>
    <n v="1.0945"/>
    <n v="0.53100000000000003"/>
    <n v="0.26100000000000001"/>
    <n v="0.29599999999999999"/>
    <n v="10"/>
    <n v="9"/>
    <s v="Danica"/>
    <s v="Tyler"/>
    <s v="University of Florida_x0009_"/>
    <n v="9"/>
    <x v="7"/>
    <n v="1.9"/>
    <s v="Category 3"/>
    <e v="#N/A"/>
    <e v="#N/A"/>
    <s v="Yes"/>
    <n v="1.0243958333333334"/>
    <n v="1.0243958333333334"/>
    <x v="0"/>
    <x v="0"/>
    <x v="249"/>
  </r>
  <r>
    <n v="4171"/>
    <s v="M"/>
    <n v="0.55000000000000004"/>
    <n v="0.43"/>
    <n v="0.13"/>
    <n v="0.83950000000000002"/>
    <n v="0.3155"/>
    <n v="0.19550000000000001"/>
    <n v="0.24049999999999999"/>
    <n v="10"/>
    <n v="12"/>
    <s v="Rebecca"/>
    <s v="Bennett"/>
    <s v="University of Houston"/>
    <n v="4"/>
    <x v="2"/>
    <n v="6.1"/>
    <s v="Category 2"/>
    <e v="#N/A"/>
    <s v="Yes"/>
    <e v="#N/A"/>
    <n v="0.9888891666666666"/>
    <n v="0.79111133333333328"/>
    <x v="0"/>
    <x v="430"/>
    <x v="1"/>
  </r>
  <r>
    <n v="1525"/>
    <s v="F"/>
    <n v="0.7"/>
    <n v="0.55000000000000004"/>
    <n v="0.17"/>
    <n v="1.6839999999999999"/>
    <n v="0.75349999999999995"/>
    <n v="0.32650000000000001"/>
    <n v="0.32"/>
    <n v="11"/>
    <n v="12"/>
    <s v="Rebecca"/>
    <s v="Bennett"/>
    <s v="University of Houston"/>
    <n v="5"/>
    <x v="3"/>
    <n v="12.8"/>
    <s v="Category 3"/>
    <e v="#N/A"/>
    <e v="#N/A"/>
    <s v="Yes"/>
    <n v="1.0521133333333335"/>
    <n v="1.0521133333333335"/>
    <x v="0"/>
    <x v="0"/>
    <x v="250"/>
  </r>
  <r>
    <n v="271"/>
    <s v="F"/>
    <n v="0.64"/>
    <n v="0.52500000000000002"/>
    <n v="0.215"/>
    <n v="1.7789999999999999"/>
    <n v="0.45350000000000001"/>
    <n v="0.28549999999999998"/>
    <n v="0.55000000000000004"/>
    <n v="22"/>
    <n v="4"/>
    <s v="Nate"/>
    <s v="Craig"/>
    <s v="NOAA Fisheries"/>
    <n v="4"/>
    <x v="2"/>
    <n v="6.1"/>
    <s v="Category 2"/>
    <e v="#N/A"/>
    <s v="Yes"/>
    <e v="#N/A"/>
    <n v="1.0334808333333334"/>
    <n v="0.82678466666666672"/>
    <x v="0"/>
    <x v="431"/>
    <x v="1"/>
  </r>
  <r>
    <n v="1925"/>
    <s v="F"/>
    <n v="0.61"/>
    <n v="0.46"/>
    <n v="0.155"/>
    <n v="0.95699999999999996"/>
    <n v="0.42549999999999999"/>
    <n v="0.19750000000000001"/>
    <n v="0.26500000000000001"/>
    <n v="8"/>
    <n v="2"/>
    <s v="Tiegan"/>
    <s v="Davie"/>
    <s v="University of California, Davis"/>
    <n v="1"/>
    <x v="0"/>
    <n v="22.1"/>
    <s v="Category 3"/>
    <e v="#N/A"/>
    <e v="#N/A"/>
    <s v="Yes"/>
    <n v="1.0175891666666665"/>
    <n v="1.0175891666666665"/>
    <x v="0"/>
    <x v="0"/>
    <x v="251"/>
  </r>
  <r>
    <n v="3071"/>
    <s v="F"/>
    <n v="0.65500000000000003"/>
    <n v="0.49"/>
    <n v="0.16"/>
    <n v="1.204"/>
    <n v="0.54549999999999998"/>
    <n v="0.26150000000000001"/>
    <n v="0.32250000000000001"/>
    <n v="9"/>
    <n v="14"/>
    <s v="Santiago"/>
    <s v="Vaughan"/>
    <s v="Ohio State University_x0009_"/>
    <n v="6"/>
    <x v="8"/>
    <n v="14.1"/>
    <s v="Category 3"/>
    <e v="#N/A"/>
    <e v="#N/A"/>
    <s v="Yes"/>
    <n v="1.0335066666666668"/>
    <n v="1.0335066666666668"/>
    <x v="0"/>
    <x v="0"/>
    <x v="252"/>
  </r>
  <r>
    <n v="296"/>
    <s v="I"/>
    <n v="0.29499999999999998"/>
    <n v="0.215"/>
    <n v="8.5000000000000006E-2"/>
    <n v="0.128"/>
    <n v="4.9000000000000002E-2"/>
    <n v="3.4000000000000002E-2"/>
    <n v="0.04"/>
    <n v="6"/>
    <n v="13"/>
    <s v="Betty"/>
    <s v="Berg"/>
    <s v="University of Houston"/>
    <n v="9"/>
    <x v="7"/>
    <n v="1.9"/>
    <s v="Category 2"/>
    <e v="#N/A"/>
    <s v="Yes"/>
    <e v="#N/A"/>
    <n v="0.86328000000000005"/>
    <n v="0.69062400000000013"/>
    <x v="0"/>
    <x v="432"/>
    <x v="1"/>
  </r>
  <r>
    <n v="2091"/>
    <s v="M"/>
    <n v="0.77500000000000002"/>
    <n v="0.56999999999999995"/>
    <n v="0.22"/>
    <n v="2.032"/>
    <n v="0.73499999999999999"/>
    <n v="0.47549999999999998"/>
    <n v="0.65849999999999997"/>
    <n v="17"/>
    <n v="15"/>
    <s v="Conan"/>
    <s v="Dalton"/>
    <s v="University of Houston"/>
    <n v="3"/>
    <x v="9"/>
    <n v="3.6"/>
    <s v="Category 1"/>
    <s v="Yes"/>
    <e v="#N/A"/>
    <e v="#N/A"/>
    <n v="1.0873733333333335"/>
    <n v="1.6310600000000002"/>
    <x v="8"/>
    <x v="0"/>
    <x v="1"/>
  </r>
  <r>
    <n v="4063"/>
    <s v="M"/>
    <n v="0.63"/>
    <n v="0.49"/>
    <n v="0.15"/>
    <n v="1.1955"/>
    <n v="0.58450000000000002"/>
    <n v="0.25700000000000001"/>
    <n v="0.3"/>
    <n v="9"/>
    <n v="15"/>
    <s v="Conan"/>
    <s v="Dalton"/>
    <s v="University of Houston"/>
    <n v="10"/>
    <x v="5"/>
    <n v="24.1"/>
    <s v="Category 3"/>
    <e v="#N/A"/>
    <e v="#N/A"/>
    <s v="Yes"/>
    <n v="1.0235208333333334"/>
    <n v="1.0235208333333334"/>
    <x v="0"/>
    <x v="0"/>
    <x v="253"/>
  </r>
  <r>
    <n v="3895"/>
    <s v="M"/>
    <n v="0.495"/>
    <n v="0.38"/>
    <n v="0.13500000000000001"/>
    <n v="0.62949999999999995"/>
    <n v="0.26300000000000001"/>
    <n v="0.14249999999999999"/>
    <n v="0.215"/>
    <n v="12"/>
    <n v="7"/>
    <s v="Iona"/>
    <s v="Connolly"/>
    <s v="Florida Atlantic University"/>
    <n v="8"/>
    <x v="4"/>
    <n v="12.3"/>
    <s v="Category 2"/>
    <e v="#N/A"/>
    <s v="Yes"/>
    <e v="#N/A"/>
    <n v="0.96386374999999991"/>
    <n v="0.77109099999999997"/>
    <x v="0"/>
    <x v="433"/>
    <x v="1"/>
  </r>
  <r>
    <n v="456"/>
    <s v="M"/>
    <n v="0.57499999999999996"/>
    <n v="0.47"/>
    <n v="0.14000000000000001"/>
    <n v="0.83750000000000002"/>
    <n v="0.34849999999999998"/>
    <n v="0.17349999999999999"/>
    <n v="0.24"/>
    <n v="11"/>
    <n v="1"/>
    <s v="Jan"/>
    <s v="Odom"/>
    <s v="University of Houston"/>
    <n v="3"/>
    <x v="9"/>
    <n v="3.6"/>
    <s v="Category 2"/>
    <e v="#N/A"/>
    <s v="Yes"/>
    <e v="#N/A"/>
    <n v="1.0120416666666667"/>
    <n v="0.80963333333333343"/>
    <x v="0"/>
    <x v="434"/>
    <x v="1"/>
  </r>
  <r>
    <n v="1576"/>
    <s v="I"/>
    <n v="0.48499999999999999"/>
    <n v="0.375"/>
    <n v="0.13"/>
    <n v="0.60250000000000004"/>
    <n v="0.29349999999999998"/>
    <n v="0.1285"/>
    <n v="0.16"/>
    <n v="7"/>
    <n v="1"/>
    <s v="Jan"/>
    <s v="Odom"/>
    <s v="University of Houston"/>
    <n v="2"/>
    <x v="1"/>
    <n v="18"/>
    <s v="Category 2"/>
    <e v="#N/A"/>
    <s v="Yes"/>
    <e v="#N/A"/>
    <n v="0.95955416666666671"/>
    <n v="0.76764333333333346"/>
    <x v="0"/>
    <x v="435"/>
    <x v="1"/>
  </r>
  <r>
    <n v="3371"/>
    <s v="M"/>
    <n v="0.45500000000000002"/>
    <n v="0.34499999999999997"/>
    <n v="0.125"/>
    <n v="0.44"/>
    <n v="0.16900000000000001"/>
    <n v="0.1065"/>
    <n v="0.13500000000000001"/>
    <n v="12"/>
    <n v="4"/>
    <s v="Nate"/>
    <s v="Craig"/>
    <s v="NOAA Fisheries"/>
    <n v="9"/>
    <x v="7"/>
    <n v="1.9"/>
    <s v="Category 2"/>
    <e v="#N/A"/>
    <s v="Yes"/>
    <e v="#N/A"/>
    <n v="0.94650000000000001"/>
    <n v="0.7572000000000001"/>
    <x v="0"/>
    <x v="436"/>
    <x v="1"/>
  </r>
  <r>
    <n v="89"/>
    <s v="F"/>
    <n v="0.46"/>
    <n v="0.35499999999999998"/>
    <n v="0.13"/>
    <n v="0.51700000000000002"/>
    <n v="0.2205"/>
    <n v="0.114"/>
    <n v="0.16500000000000001"/>
    <n v="9"/>
    <n v="12"/>
    <s v="Rebecca"/>
    <s v="Bennett"/>
    <s v="University of Houston"/>
    <n v="5"/>
    <x v="3"/>
    <n v="12.8"/>
    <s v="Category 2"/>
    <e v="#N/A"/>
    <s v="Yes"/>
    <e v="#N/A"/>
    <n v="0.9484016666666667"/>
    <n v="0.75872133333333336"/>
    <x v="0"/>
    <x v="437"/>
    <x v="1"/>
  </r>
  <r>
    <n v="2253"/>
    <s v="F"/>
    <n v="0.56999999999999995"/>
    <n v="0.46"/>
    <n v="0.17"/>
    <n v="1.1000000000000001"/>
    <n v="0.41249999999999998"/>
    <n v="0.2205"/>
    <n v="0.38"/>
    <n v="14"/>
    <n v="4"/>
    <s v="Nate"/>
    <s v="Craig"/>
    <s v="NOAA Fisheries"/>
    <n v="6"/>
    <x v="8"/>
    <n v="14.1"/>
    <s v="Category 3"/>
    <e v="#N/A"/>
    <e v="#N/A"/>
    <s v="Yes"/>
    <n v="1.0011666666666668"/>
    <n v="1.0011666666666668"/>
    <x v="0"/>
    <x v="0"/>
    <x v="254"/>
  </r>
  <r>
    <n v="1756"/>
    <s v="F"/>
    <n v="0.72"/>
    <n v="0.52500000000000002"/>
    <n v="0.18"/>
    <n v="1.4450000000000001"/>
    <n v="0.63100000000000001"/>
    <n v="0.32150000000000001"/>
    <n v="0.435"/>
    <n v="7"/>
    <n v="15"/>
    <s v="Conan"/>
    <s v="Dalton"/>
    <s v="University of Houston"/>
    <n v="9"/>
    <x v="7"/>
    <n v="1.9"/>
    <s v="Category 3"/>
    <e v="#N/A"/>
    <e v="#N/A"/>
    <s v="Yes"/>
    <n v="1.0620166666666666"/>
    <n v="1.0620166666666666"/>
    <x v="0"/>
    <x v="0"/>
    <x v="255"/>
  </r>
  <r>
    <n v="2974"/>
    <s v="M"/>
    <n v="0.73499999999999999"/>
    <n v="0.59"/>
    <n v="0.20499999999999999"/>
    <n v="2.0870000000000002"/>
    <n v="0.90900000000000003"/>
    <n v="0.47399999999999998"/>
    <n v="0.625"/>
    <n v="12"/>
    <n v="9"/>
    <s v="Danica"/>
    <s v="Tyler"/>
    <s v="University of Florida_x0009_"/>
    <n v="4"/>
    <x v="2"/>
    <n v="6.1"/>
    <s v="Category 3"/>
    <e v="#N/A"/>
    <e v="#N/A"/>
    <s v="Yes"/>
    <n v="1.0738391666666667"/>
    <n v="1.0738391666666667"/>
    <x v="0"/>
    <x v="0"/>
    <x v="256"/>
  </r>
  <r>
    <n v="107"/>
    <s v="F"/>
    <n v="0.54500000000000004"/>
    <n v="0.43"/>
    <n v="0.16500000000000001"/>
    <n v="0.80200000000000005"/>
    <n v="0.29349999999999998"/>
    <n v="0.183"/>
    <n v="0.28000000000000003"/>
    <n v="11"/>
    <n v="1"/>
    <s v="Jan"/>
    <s v="Odom"/>
    <s v="University of Houston"/>
    <n v="7"/>
    <x v="6"/>
    <n v="2.5"/>
    <s v="Category 2"/>
    <e v="#N/A"/>
    <s v="Yes"/>
    <e v="#N/A"/>
    <n v="0.99358833333333352"/>
    <n v="0.79487066666666684"/>
    <x v="0"/>
    <x v="438"/>
    <x v="1"/>
  </r>
  <r>
    <n v="3517"/>
    <s v="F"/>
    <n v="0.7"/>
    <n v="0.57499999999999996"/>
    <n v="0.2"/>
    <n v="1.7364999999999999"/>
    <n v="0.77549999999999997"/>
    <n v="0.39650000000000002"/>
    <n v="0.46100000000000002"/>
    <n v="11"/>
    <n v="4"/>
    <s v="Nate"/>
    <s v="Craig"/>
    <s v="NOAA Fisheries"/>
    <n v="4"/>
    <x v="2"/>
    <n v="6.1"/>
    <s v="Category 3"/>
    <e v="#N/A"/>
    <e v="#N/A"/>
    <s v="Yes"/>
    <n v="1.0671166666666667"/>
    <n v="1.0671166666666667"/>
    <x v="0"/>
    <x v="0"/>
    <x v="257"/>
  </r>
  <r>
    <n v="453"/>
    <s v="F"/>
    <n v="0.66500000000000004"/>
    <n v="0.55500000000000005"/>
    <n v="0.19500000000000001"/>
    <n v="1.4384999999999999"/>
    <n v="0.58099999999999996"/>
    <n v="0.35399999999999998"/>
    <n v="0.36"/>
    <n v="17"/>
    <n v="4"/>
    <s v="Nate"/>
    <s v="Craig"/>
    <s v="NOAA Fisheries"/>
    <n v="4"/>
    <x v="2"/>
    <n v="6.1"/>
    <s v="Category 3"/>
    <e v="#N/A"/>
    <e v="#N/A"/>
    <s v="Yes"/>
    <n v="1.0575179166666666"/>
    <n v="1.0575179166666666"/>
    <x v="0"/>
    <x v="0"/>
    <x v="258"/>
  </r>
  <r>
    <n v="2420"/>
    <s v="F"/>
    <n v="0.46500000000000002"/>
    <n v="0.36"/>
    <n v="0.12"/>
    <n v="0.47649999999999998"/>
    <n v="0.192"/>
    <n v="0.1125"/>
    <n v="0.16"/>
    <n v="10"/>
    <n v="14"/>
    <s v="Santiago"/>
    <s v="Vaughan"/>
    <s v="Ohio State University_x0009_"/>
    <n v="5"/>
    <x v="3"/>
    <n v="12.8"/>
    <s v="Category 2"/>
    <e v="#N/A"/>
    <s v="Yes"/>
    <e v="#N/A"/>
    <n v="0.9527633333333333"/>
    <n v="0.7622106666666667"/>
    <x v="0"/>
    <x v="439"/>
    <x v="1"/>
  </r>
  <r>
    <n v="710"/>
    <s v="I"/>
    <n v="0.29499999999999998"/>
    <n v="0.22500000000000001"/>
    <n v="0.09"/>
    <n v="0.1105"/>
    <n v="4.0500000000000001E-2"/>
    <n v="2.4500000000000001E-2"/>
    <n v="3.2000000000000001E-2"/>
    <n v="7"/>
    <n v="13"/>
    <s v="Betty"/>
    <s v="Berg"/>
    <s v="University of Houston"/>
    <n v="7"/>
    <x v="6"/>
    <n v="2.5"/>
    <s v="Category 2"/>
    <e v="#N/A"/>
    <s v="Yes"/>
    <e v="#N/A"/>
    <n v="0.86762416666666664"/>
    <n v="0.6940993333333334"/>
    <x v="0"/>
    <x v="440"/>
    <x v="1"/>
  </r>
  <r>
    <n v="954"/>
    <s v="F"/>
    <n v="0.48499999999999999"/>
    <n v="0.37"/>
    <n v="0.115"/>
    <n v="0.47849999999999998"/>
    <n v="0.19950000000000001"/>
    <n v="9.5500000000000002E-2"/>
    <n v="0.129"/>
    <n v="7"/>
    <n v="9"/>
    <s v="Danica"/>
    <s v="Tyler"/>
    <s v="University of Florida_x0009_"/>
    <n v="4"/>
    <x v="2"/>
    <n v="6.1"/>
    <s v="Category 2"/>
    <e v="#N/A"/>
    <s v="Yes"/>
    <e v="#N/A"/>
    <n v="0.96227125000000002"/>
    <n v="0.76981700000000008"/>
    <x v="0"/>
    <x v="441"/>
    <x v="1"/>
  </r>
  <r>
    <n v="44"/>
    <s v="I"/>
    <n v="0.20499999999999999"/>
    <n v="0.15"/>
    <n v="5.5E-2"/>
    <n v="4.2000000000000003E-2"/>
    <n v="2.5499999999999998E-2"/>
    <n v="1.4999999999999999E-2"/>
    <n v="1.2E-2"/>
    <n v="5"/>
    <n v="7"/>
    <s v="Iona"/>
    <s v="Connolly"/>
    <s v="Florida Atlantic University"/>
    <n v="4"/>
    <x v="2"/>
    <n v="6.1"/>
    <s v="Category 2"/>
    <e v="#N/A"/>
    <s v="Yes"/>
    <e v="#N/A"/>
    <n v="0.8159183333333333"/>
    <n v="0.65273466666666669"/>
    <x v="0"/>
    <x v="442"/>
    <x v="1"/>
  </r>
  <r>
    <n v="3568"/>
    <s v="I"/>
    <n v="0.57999999999999996"/>
    <n v="0.46"/>
    <n v="0.14000000000000001"/>
    <n v="0.92649999999999999"/>
    <n v="0.41349999999999998"/>
    <n v="0.1845"/>
    <n v="0.27"/>
    <n v="10"/>
    <n v="13"/>
    <s v="Betty"/>
    <s v="Berg"/>
    <s v="University of Houston"/>
    <n v="4"/>
    <x v="2"/>
    <n v="6.1"/>
    <s v="Category 3"/>
    <e v="#N/A"/>
    <e v="#N/A"/>
    <s v="Yes"/>
    <n v="1.0065183333333334"/>
    <n v="1.0065183333333334"/>
    <x v="0"/>
    <x v="0"/>
    <x v="259"/>
  </r>
  <r>
    <n v="3813"/>
    <s v="F"/>
    <n v="0.61"/>
    <n v="0.49"/>
    <n v="0.17"/>
    <n v="1.137"/>
    <n v="0.46050000000000002"/>
    <n v="0.28249999999999997"/>
    <n v="0.34399999999999997"/>
    <n v="12"/>
    <n v="7"/>
    <s v="Iona"/>
    <s v="Connolly"/>
    <s v="Florida Atlantic University"/>
    <n v="8"/>
    <x v="4"/>
    <n v="12.3"/>
    <s v="Category 3"/>
    <e v="#N/A"/>
    <e v="#N/A"/>
    <s v="Yes"/>
    <n v="1.0230816666666667"/>
    <n v="1.0230816666666667"/>
    <x v="0"/>
    <x v="0"/>
    <x v="260"/>
  </r>
  <r>
    <n v="914"/>
    <s v="I"/>
    <n v="0.37"/>
    <n v="0.28999999999999998"/>
    <n v="9.5000000000000001E-2"/>
    <n v="0.249"/>
    <n v="0.1045"/>
    <n v="5.8000000000000003E-2"/>
    <n v="6.7000000000000004E-2"/>
    <n v="6"/>
    <n v="1"/>
    <s v="Jan"/>
    <s v="Odom"/>
    <s v="University of Houston"/>
    <n v="2"/>
    <x v="1"/>
    <n v="18"/>
    <s v="Category 2"/>
    <e v="#N/A"/>
    <s v="Yes"/>
    <e v="#N/A"/>
    <n v="0.90734249999999994"/>
    <n v="0.72587400000000002"/>
    <x v="0"/>
    <x v="443"/>
    <x v="1"/>
  </r>
  <r>
    <n v="2175"/>
    <s v="F"/>
    <n v="0.64500000000000002"/>
    <n v="0.5"/>
    <n v="0.17"/>
    <n v="1.1845000000000001"/>
    <n v="0.48049999999999998"/>
    <n v="0.27400000000000002"/>
    <n v="0.35499999999999998"/>
    <n v="13"/>
    <n v="3"/>
    <s v="Inaya"/>
    <s v="Bernard"/>
    <s v="Stanford University"/>
    <n v="9"/>
    <x v="7"/>
    <n v="1.9"/>
    <s v="Category 3"/>
    <e v="#N/A"/>
    <e v="#N/A"/>
    <s v="Yes"/>
    <n v="1.0362608333333332"/>
    <n v="1.0362608333333332"/>
    <x v="0"/>
    <x v="0"/>
    <x v="261"/>
  </r>
  <r>
    <n v="136"/>
    <s v="F"/>
    <n v="0.42499999999999999"/>
    <n v="0.33"/>
    <n v="0.115"/>
    <n v="0.40600000000000003"/>
    <n v="0.16350000000000001"/>
    <n v="8.1000000000000003E-2"/>
    <n v="0.13550000000000001"/>
    <n v="8"/>
    <n v="11"/>
    <s v="Naima"/>
    <s v="Reyes"/>
    <s v="University of Houston"/>
    <n v="5"/>
    <x v="3"/>
    <n v="12.8"/>
    <s v="Category 2"/>
    <e v="#N/A"/>
    <s v="Yes"/>
    <e v="#N/A"/>
    <n v="0.93238166666666666"/>
    <n v="0.74590533333333342"/>
    <x v="0"/>
    <x v="444"/>
    <x v="1"/>
  </r>
  <r>
    <n v="1893"/>
    <s v="M"/>
    <n v="0.56499999999999995"/>
    <n v="0.45"/>
    <n v="0.16"/>
    <n v="0.89500000000000002"/>
    <n v="0.41499999999999998"/>
    <n v="0.19500000000000001"/>
    <n v="0.246"/>
    <n v="9"/>
    <n v="10"/>
    <s v="Hazel"/>
    <s v="Villa"/>
    <s v="University of Minnesota"/>
    <n v="5"/>
    <x v="3"/>
    <n v="12.8"/>
    <s v="Category 3"/>
    <e v="#N/A"/>
    <e v="#N/A"/>
    <s v="Yes"/>
    <n v="1.0025333333333333"/>
    <n v="1.0025333333333333"/>
    <x v="0"/>
    <x v="0"/>
    <x v="262"/>
  </r>
  <r>
    <n v="1558"/>
    <s v="I"/>
    <n v="0.42499999999999999"/>
    <n v="0.32500000000000001"/>
    <n v="0.11"/>
    <n v="0.317"/>
    <n v="0.13500000000000001"/>
    <n v="4.8000000000000001E-2"/>
    <n v="0.09"/>
    <n v="8"/>
    <n v="14"/>
    <s v="Santiago"/>
    <s v="Vaughan"/>
    <s v="Ohio State University_x0009_"/>
    <n v="1"/>
    <x v="0"/>
    <n v="22.1"/>
    <s v="Category 2"/>
    <e v="#N/A"/>
    <s v="Yes"/>
    <e v="#N/A"/>
    <n v="0.93467833333333328"/>
    <n v="0.74774266666666667"/>
    <x v="0"/>
    <x v="445"/>
    <x v="1"/>
  </r>
  <r>
    <n v="1135"/>
    <s v="F"/>
    <n v="0.56999999999999995"/>
    <n v="0.44500000000000001"/>
    <n v="0.14499999999999999"/>
    <n v="0.87749999999999995"/>
    <n v="0.41199999999999998"/>
    <n v="0.217"/>
    <n v="0.22"/>
    <n v="8"/>
    <n v="5"/>
    <s v="Haniya"/>
    <s v="Talley"/>
    <s v="Prince William Sound Science Center"/>
    <n v="8"/>
    <x v="4"/>
    <n v="12.3"/>
    <s v="Category 3"/>
    <e v="#N/A"/>
    <e v="#N/A"/>
    <s v="Yes"/>
    <n v="1.0010395833333334"/>
    <n v="1.0010395833333334"/>
    <x v="0"/>
    <x v="0"/>
    <x v="263"/>
  </r>
  <r>
    <n v="1974"/>
    <s v="M"/>
    <n v="0.68"/>
    <n v="0.54"/>
    <n v="0.155"/>
    <n v="1.534"/>
    <n v="0.67100000000000004"/>
    <n v="0.379"/>
    <n v="0.38400000000000001"/>
    <n v="10"/>
    <n v="5"/>
    <s v="Haniya"/>
    <s v="Talley"/>
    <s v="Prince William Sound Science Center"/>
    <n v="10"/>
    <x v="5"/>
    <n v="24.1"/>
    <s v="Category 3"/>
    <e v="#N/A"/>
    <e v="#N/A"/>
    <s v="Yes"/>
    <n v="1.0440283333333333"/>
    <n v="1.0440283333333333"/>
    <x v="0"/>
    <x v="0"/>
    <x v="264"/>
  </r>
  <r>
    <n v="2453"/>
    <s v="M"/>
    <n v="0.39500000000000002"/>
    <n v="0.30499999999999999"/>
    <n v="0.105"/>
    <n v="0.28199999999999997"/>
    <n v="9.7500000000000003E-2"/>
    <n v="6.5000000000000002E-2"/>
    <n v="9.6000000000000002E-2"/>
    <n v="9"/>
    <n v="2"/>
    <s v="Tiegan"/>
    <s v="Davie"/>
    <s v="University of California, Davis"/>
    <n v="1"/>
    <x v="0"/>
    <n v="22.1"/>
    <s v="Category 2"/>
    <e v="#N/A"/>
    <s v="Yes"/>
    <e v="#N/A"/>
    <n v="0.91946833333333333"/>
    <n v="0.73557466666666671"/>
    <x v="0"/>
    <x v="446"/>
    <x v="1"/>
  </r>
  <r>
    <n v="3461"/>
    <s v="M"/>
    <n v="0.62"/>
    <n v="0.48499999999999999"/>
    <n v="0.16500000000000001"/>
    <n v="1.1325000000000001"/>
    <n v="0.52349999999999997"/>
    <n v="0.2505"/>
    <n v="0.28249999999999997"/>
    <n v="9"/>
    <n v="14"/>
    <s v="Santiago"/>
    <s v="Vaughan"/>
    <s v="Ohio State University_x0009_"/>
    <n v="3"/>
    <x v="9"/>
    <n v="3.6"/>
    <s v="Category 3"/>
    <e v="#N/A"/>
    <e v="#N/A"/>
    <s v="Yes"/>
    <n v="1.0239770833333333"/>
    <n v="1.0239770833333333"/>
    <x v="0"/>
    <x v="0"/>
    <x v="265"/>
  </r>
  <r>
    <n v="1965"/>
    <s v="F"/>
    <n v="0.66"/>
    <n v="0.53500000000000003"/>
    <n v="0.20499999999999999"/>
    <n v="1.4415"/>
    <n v="0.59250000000000003"/>
    <n v="0.27750000000000002"/>
    <n v="0.49"/>
    <n v="10"/>
    <n v="5"/>
    <s v="Haniya"/>
    <s v="Talley"/>
    <s v="Prince William Sound Science Center"/>
    <n v="10"/>
    <x v="5"/>
    <n v="24.1"/>
    <s v="Category 3"/>
    <e v="#N/A"/>
    <e v="#N/A"/>
    <s v="Yes"/>
    <n v="1.0514845833333331"/>
    <n v="1.0514845833333331"/>
    <x v="0"/>
    <x v="0"/>
    <x v="266"/>
  </r>
  <r>
    <n v="3717"/>
    <s v="I"/>
    <n v="0.23499999999999999"/>
    <n v="0.13"/>
    <n v="7.4999999999999997E-2"/>
    <n v="0.1585"/>
    <n v="6.8500000000000005E-2"/>
    <n v="3.6999999999999998E-2"/>
    <n v="4.65E-2"/>
    <n v="5"/>
    <n v="10"/>
    <s v="Hazel"/>
    <s v="Villa"/>
    <s v="University of Minnesota"/>
    <n v="5"/>
    <x v="3"/>
    <n v="12.8"/>
    <s v="Category 2"/>
    <e v="#N/A"/>
    <s v="Yes"/>
    <e v="#N/A"/>
    <n v="0.81308124999999998"/>
    <n v="0.65046500000000007"/>
    <x v="0"/>
    <x v="447"/>
    <x v="1"/>
  </r>
  <r>
    <n v="153"/>
    <s v="F"/>
    <n v="0.63500000000000001"/>
    <n v="0.51500000000000001"/>
    <n v="0.19"/>
    <n v="1.3714999999999999"/>
    <n v="0.50649999999999995"/>
    <n v="0.30499999999999999"/>
    <n v="0.45"/>
    <n v="10"/>
    <n v="11"/>
    <s v="Naima"/>
    <s v="Reyes"/>
    <s v="University of Houston"/>
    <n v="1"/>
    <x v="0"/>
    <n v="22.1"/>
    <s v="Category 3"/>
    <e v="#N/A"/>
    <e v="#N/A"/>
    <s v="Yes"/>
    <n v="1.0353308333333333"/>
    <n v="1.0353308333333333"/>
    <x v="0"/>
    <x v="0"/>
    <x v="267"/>
  </r>
  <r>
    <n v="4001"/>
    <s v="I"/>
    <n v="0.45500000000000002"/>
    <n v="0.35"/>
    <n v="0.13500000000000001"/>
    <n v="0.53649999999999998"/>
    <n v="0.28549999999999998"/>
    <n v="8.5500000000000007E-2"/>
    <n v="0.13250000000000001"/>
    <n v="7"/>
    <n v="13"/>
    <s v="Betty"/>
    <s v="Berg"/>
    <s v="University of Houston"/>
    <n v="6"/>
    <x v="8"/>
    <n v="14.1"/>
    <s v="Category 2"/>
    <e v="#N/A"/>
    <s v="Yes"/>
    <e v="#N/A"/>
    <n v="0.94463791666666663"/>
    <n v="0.75571033333333337"/>
    <x v="0"/>
    <x v="448"/>
    <x v="1"/>
  </r>
  <r>
    <n v="3870"/>
    <s v="F"/>
    <n v="0.49"/>
    <n v="0.38500000000000001"/>
    <n v="0.16"/>
    <n v="0.65600000000000003"/>
    <n v="0.2455"/>
    <n v="0.17100000000000001"/>
    <n v="0.20499999999999999"/>
    <n v="9"/>
    <n v="6"/>
    <s v="Martin"/>
    <s v="Gaines"/>
    <s v="San Diego State University"/>
    <n v="1"/>
    <x v="0"/>
    <n v="22.1"/>
    <s v="Category 2"/>
    <e v="#N/A"/>
    <s v="Yes"/>
    <e v="#N/A"/>
    <n v="0.96542666666666666"/>
    <n v="0.77234133333333332"/>
    <x v="0"/>
    <x v="449"/>
    <x v="1"/>
  </r>
  <r>
    <n v="1759"/>
    <s v="M"/>
    <n v="0.73499999999999999"/>
    <n v="0.59"/>
    <n v="0.215"/>
    <n v="1.7470000000000001"/>
    <n v="0.72750000000000004"/>
    <n v="0.40300000000000002"/>
    <n v="0.55700000000000005"/>
    <n v="11"/>
    <n v="3"/>
    <s v="Inaya"/>
    <s v="Bernard"/>
    <s v="Stanford University"/>
    <n v="6"/>
    <x v="8"/>
    <n v="14.1"/>
    <s v="Category 3"/>
    <e v="#N/A"/>
    <e v="#N/A"/>
    <s v="Yes"/>
    <n v="1.0878008333333333"/>
    <n v="1.0878008333333333"/>
    <x v="0"/>
    <x v="0"/>
    <x v="268"/>
  </r>
  <r>
    <n v="2868"/>
    <s v="I"/>
    <n v="0.32500000000000001"/>
    <n v="0.25"/>
    <n v="7.4999999999999997E-2"/>
    <n v="0.1585"/>
    <n v="7.4999999999999997E-2"/>
    <n v="3.0499999999999999E-2"/>
    <n v="4.5499999999999999E-2"/>
    <n v="6"/>
    <n v="2"/>
    <s v="Tiegan"/>
    <s v="Davie"/>
    <s v="University of California, Davis"/>
    <n v="3"/>
    <x v="9"/>
    <n v="3.6"/>
    <s v="Category 2"/>
    <e v="#N/A"/>
    <s v="Yes"/>
    <e v="#N/A"/>
    <n v="0.88308124999999993"/>
    <n v="0.70646500000000001"/>
    <x v="0"/>
    <x v="450"/>
    <x v="1"/>
  </r>
  <r>
    <n v="2880"/>
    <s v="I"/>
    <n v="0.47"/>
    <n v="0.38500000000000001"/>
    <n v="0.13"/>
    <n v="0.58699999999999997"/>
    <n v="0.26400000000000001"/>
    <n v="0.11700000000000001"/>
    <n v="0.17399999999999999"/>
    <n v="8"/>
    <n v="2"/>
    <s v="Tiegan"/>
    <s v="Davie"/>
    <s v="University of California, Davis"/>
    <n v="10"/>
    <x v="5"/>
    <n v="24.1"/>
    <s v="Category 2"/>
    <e v="#N/A"/>
    <s v="Yes"/>
    <e v="#N/A"/>
    <n v="0.95858500000000002"/>
    <n v="0.76686800000000011"/>
    <x v="0"/>
    <x v="451"/>
    <x v="1"/>
  </r>
  <r>
    <n v="2157"/>
    <s v="M"/>
    <n v="0.61"/>
    <n v="0.5"/>
    <n v="0.16500000000000001"/>
    <n v="1.2715000000000001"/>
    <n v="0.49149999999999999"/>
    <n v="0.185"/>
    <n v="0.49"/>
    <n v="12"/>
    <n v="13"/>
    <s v="Betty"/>
    <s v="Berg"/>
    <s v="University of Houston"/>
    <n v="3"/>
    <x v="9"/>
    <n v="3.6"/>
    <s v="Category 3"/>
    <e v="#N/A"/>
    <e v="#N/A"/>
    <s v="Yes"/>
    <n v="1.0201995833333333"/>
    <n v="1.0201995833333333"/>
    <x v="0"/>
    <x v="0"/>
    <x v="269"/>
  </r>
  <r>
    <n v="4056"/>
    <s v="F"/>
    <n v="0.64500000000000002"/>
    <n v="0.5"/>
    <n v="0.15"/>
    <n v="1.159"/>
    <n v="0.46750000000000003"/>
    <n v="0.33550000000000002"/>
    <n v="0.31"/>
    <n v="9"/>
    <n v="15"/>
    <s v="Conan"/>
    <s v="Dalton"/>
    <s v="University of Houston"/>
    <n v="9"/>
    <x v="7"/>
    <n v="1.9"/>
    <s v="Category 3"/>
    <e v="#N/A"/>
    <e v="#N/A"/>
    <s v="Yes"/>
    <n v="1.0333749999999999"/>
    <n v="1.0333749999999999"/>
    <x v="0"/>
    <x v="0"/>
    <x v="270"/>
  </r>
  <r>
    <n v="287"/>
    <s v="M"/>
    <n v="0.53"/>
    <n v="0.435"/>
    <n v="0.155"/>
    <n v="0.69899999999999995"/>
    <n v="0.28799999999999998"/>
    <n v="0.1595"/>
    <n v="0.20499999999999999"/>
    <n v="10"/>
    <n v="12"/>
    <s v="Rebecca"/>
    <s v="Bennett"/>
    <s v="University of Houston"/>
    <n v="9"/>
    <x v="7"/>
    <n v="1.9"/>
    <s v="Category 2"/>
    <e v="#N/A"/>
    <s v="Yes"/>
    <e v="#N/A"/>
    <n v="0.9931241666666667"/>
    <n v="0.79449933333333345"/>
    <x v="0"/>
    <x v="452"/>
    <x v="1"/>
  </r>
  <r>
    <n v="1751"/>
    <s v="F"/>
    <n v="0.71"/>
    <n v="0.56999999999999995"/>
    <n v="0.19500000000000001"/>
    <n v="1.9804999999999999"/>
    <n v="0.99250000000000005"/>
    <n v="0.49249999999999999"/>
    <n v="0.48"/>
    <n v="12"/>
    <n v="5"/>
    <s v="Haniya"/>
    <s v="Talley"/>
    <s v="Prince William Sound Science Center"/>
    <n v="9"/>
    <x v="7"/>
    <n v="1.9"/>
    <s v="Category 3"/>
    <e v="#N/A"/>
    <e v="#N/A"/>
    <s v="Yes"/>
    <n v="1.0589995833333334"/>
    <n v="1.0589995833333334"/>
    <x v="0"/>
    <x v="0"/>
    <x v="271"/>
  </r>
  <r>
    <n v="674"/>
    <s v="M"/>
    <n v="0.49"/>
    <n v="0.39"/>
    <n v="0.15"/>
    <n v="0.57299999999999995"/>
    <n v="0.22500000000000001"/>
    <n v="0.124"/>
    <n v="0.17"/>
    <n v="21"/>
    <n v="10"/>
    <s v="Hazel"/>
    <s v="Villa"/>
    <s v="University of Minnesota"/>
    <n v="7"/>
    <x v="6"/>
    <n v="2.5"/>
    <s v="Category 2"/>
    <e v="#N/A"/>
    <s v="Yes"/>
    <e v="#N/A"/>
    <n v="0.96945833333333342"/>
    <n v="0.77556666666666674"/>
    <x v="0"/>
    <x v="453"/>
    <x v="1"/>
  </r>
  <r>
    <n v="826"/>
    <s v="I"/>
    <n v="0.39500000000000002"/>
    <n v="0.28999999999999998"/>
    <n v="9.5000000000000001E-2"/>
    <n v="0.31900000000000001"/>
    <n v="0.13800000000000001"/>
    <n v="0.08"/>
    <n v="8.2000000000000003E-2"/>
    <n v="7"/>
    <n v="13"/>
    <s v="Betty"/>
    <s v="Berg"/>
    <s v="University of Houston"/>
    <n v="3"/>
    <x v="9"/>
    <n v="3.6"/>
    <s v="Category 2"/>
    <e v="#N/A"/>
    <s v="Yes"/>
    <e v="#N/A"/>
    <n v="0.91211749999999991"/>
    <n v="0.72969399999999995"/>
    <x v="0"/>
    <x v="454"/>
    <x v="1"/>
  </r>
  <r>
    <n v="228"/>
    <s v="I"/>
    <n v="0.36499999999999999"/>
    <n v="0.27"/>
    <n v="8.5000000000000006E-2"/>
    <n v="0.20499999999999999"/>
    <n v="7.8E-2"/>
    <n v="4.8500000000000001E-2"/>
    <n v="7.0000000000000007E-2"/>
    <n v="7"/>
    <n v="2"/>
    <s v="Tiegan"/>
    <s v="Davie"/>
    <s v="University of California, Davis"/>
    <n v="4"/>
    <x v="2"/>
    <n v="6.1"/>
    <s v="Category 2"/>
    <e v="#N/A"/>
    <s v="Yes"/>
    <e v="#N/A"/>
    <n v="0.90090416666666662"/>
    <n v="0.72072333333333338"/>
    <x v="0"/>
    <x v="455"/>
    <x v="1"/>
  </r>
  <r>
    <n v="1633"/>
    <s v="M"/>
    <n v="0.57499999999999996"/>
    <n v="0.45500000000000002"/>
    <n v="0.16500000000000001"/>
    <n v="0.86699999999999999"/>
    <n v="0.3765"/>
    <n v="0.18049999999999999"/>
    <n v="0.26800000000000002"/>
    <n v="8"/>
    <n v="3"/>
    <s v="Inaya"/>
    <s v="Bernard"/>
    <s v="Stanford University"/>
    <n v="8"/>
    <x v="4"/>
    <n v="12.3"/>
    <s v="Category 2"/>
    <e v="#N/A"/>
    <s v="Yes"/>
    <e v="#N/A"/>
    <n v="1.0093758333333331"/>
    <n v="0.80750066666666653"/>
    <x v="0"/>
    <x v="456"/>
    <x v="1"/>
  </r>
  <r>
    <n v="3767"/>
    <s v="F"/>
    <n v="0.55500000000000005"/>
    <n v="0.44"/>
    <n v="0.14000000000000001"/>
    <n v="0.84599999999999997"/>
    <n v="0.34599999999999997"/>
    <n v="0.17150000000000001"/>
    <n v="0.27350000000000002"/>
    <n v="10"/>
    <n v="3"/>
    <s v="Inaya"/>
    <s v="Bernard"/>
    <s v="Stanford University"/>
    <n v="2"/>
    <x v="1"/>
    <n v="18"/>
    <s v="Category 2"/>
    <e v="#N/A"/>
    <s v="Yes"/>
    <e v="#N/A"/>
    <n v="0.99500666666666671"/>
    <n v="0.79600533333333345"/>
    <x v="0"/>
    <x v="457"/>
    <x v="1"/>
  </r>
  <r>
    <n v="1207"/>
    <s v="F"/>
    <n v="0.75"/>
    <n v="0.56999999999999995"/>
    <n v="0.21"/>
    <n v="2.2360000000000002"/>
    <n v="1.109"/>
    <n v="0.51949999999999996"/>
    <n v="0.54500000000000004"/>
    <n v="11"/>
    <n v="10"/>
    <s v="Hazel"/>
    <s v="Villa"/>
    <s v="University of Minnesota"/>
    <n v="10"/>
    <x v="5"/>
    <n v="24.1"/>
    <s v="Category 3"/>
    <e v="#N/A"/>
    <e v="#N/A"/>
    <s v="Yes"/>
    <n v="1.0691933333333332"/>
    <n v="1.0691933333333332"/>
    <x v="0"/>
    <x v="0"/>
    <x v="272"/>
  </r>
  <r>
    <n v="1338"/>
    <s v="M"/>
    <n v="0.57999999999999996"/>
    <n v="0.46"/>
    <n v="0.155"/>
    <n v="1.4395"/>
    <n v="0.67149999999999999"/>
    <n v="0.27300000000000002"/>
    <n v="0.29549999999999998"/>
    <n v="10"/>
    <n v="11"/>
    <s v="Naima"/>
    <s v="Reyes"/>
    <s v="University of Houston"/>
    <n v="10"/>
    <x v="5"/>
    <n v="24.1"/>
    <s v="Category 3"/>
    <e v="#N/A"/>
    <e v="#N/A"/>
    <s v="Yes"/>
    <n v="0.9878870833333333"/>
    <n v="0.9878870833333333"/>
    <x v="0"/>
    <x v="0"/>
    <x v="273"/>
  </r>
  <r>
    <n v="3572"/>
    <s v="F"/>
    <n v="0.58499999999999996"/>
    <n v="0.46500000000000002"/>
    <n v="0.16500000000000001"/>
    <n v="0.9355"/>
    <n v="0.40350000000000003"/>
    <n v="0.22750000000000001"/>
    <n v="0.25900000000000001"/>
    <n v="9"/>
    <n v="8"/>
    <s v="Kali"/>
    <s v="Metcalfe"/>
    <s v="Mote Marine Laboratory"/>
    <n v="6"/>
    <x v="8"/>
    <n v="14.1"/>
    <s v="Category 3"/>
    <e v="#N/A"/>
    <e v="#N/A"/>
    <s v="Yes"/>
    <n v="1.0133595833333333"/>
    <n v="1.0133595833333333"/>
    <x v="0"/>
    <x v="0"/>
    <x v="274"/>
  </r>
  <r>
    <n v="796"/>
    <s v="M"/>
    <n v="0.51500000000000001"/>
    <n v="0.40500000000000003"/>
    <n v="0.14499999999999999"/>
    <n v="0.69499999999999995"/>
    <n v="0.215"/>
    <n v="0.16350000000000001"/>
    <n v="0.23400000000000001"/>
    <n v="15"/>
    <n v="14"/>
    <s v="Santiago"/>
    <s v="Vaughan"/>
    <s v="Ohio State University_x0009_"/>
    <n v="10"/>
    <x v="5"/>
    <n v="24.1"/>
    <s v="Category 2"/>
    <e v="#N/A"/>
    <s v="Yes"/>
    <e v="#N/A"/>
    <n v="0.9771291666666666"/>
    <n v="0.78170333333333331"/>
    <x v="0"/>
    <x v="458"/>
    <x v="1"/>
  </r>
  <r>
    <n v="1858"/>
    <s v="I"/>
    <n v="0.505"/>
    <n v="0.4"/>
    <n v="0.14499999999999999"/>
    <n v="0.70450000000000002"/>
    <n v="0.33400000000000002"/>
    <n v="0.14249999999999999"/>
    <n v="0.20699999999999999"/>
    <n v="8"/>
    <n v="10"/>
    <s v="Hazel"/>
    <s v="Villa"/>
    <s v="University of Minnesota"/>
    <n v="9"/>
    <x v="7"/>
    <n v="1.9"/>
    <s v="Category 2"/>
    <e v="#N/A"/>
    <s v="Yes"/>
    <e v="#N/A"/>
    <n v="0.97172541666666667"/>
    <n v="0.77738033333333334"/>
    <x v="0"/>
    <x v="459"/>
    <x v="1"/>
  </r>
  <r>
    <n v="2574"/>
    <s v="I"/>
    <n v="0.47499999999999998"/>
    <n v="0.35499999999999998"/>
    <n v="0.105"/>
    <n v="0.46800000000000003"/>
    <n v="0.20100000000000001"/>
    <n v="0.1115"/>
    <n v="0.12"/>
    <n v="8"/>
    <n v="2"/>
    <s v="Tiegan"/>
    <s v="Davie"/>
    <s v="University of California, Davis"/>
    <n v="10"/>
    <x v="5"/>
    <n v="24.1"/>
    <s v="Category 2"/>
    <e v="#N/A"/>
    <s v="Yes"/>
    <e v="#N/A"/>
    <n v="0.95365666666666671"/>
    <n v="0.76292533333333346"/>
    <x v="0"/>
    <x v="460"/>
    <x v="1"/>
  </r>
  <r>
    <n v="3404"/>
    <s v="I"/>
    <n v="0.35"/>
    <n v="0.26500000000000001"/>
    <n v="0.11"/>
    <n v="0.20899999999999999"/>
    <n v="6.6000000000000003E-2"/>
    <n v="5.8999999999999997E-2"/>
    <n v="7.4999999999999997E-2"/>
    <n v="9"/>
    <n v="11"/>
    <s v="Naima"/>
    <s v="Reyes"/>
    <s v="University of Houston"/>
    <n v="7"/>
    <x v="6"/>
    <n v="2.5"/>
    <s v="Category 2"/>
    <e v="#N/A"/>
    <s v="Yes"/>
    <e v="#N/A"/>
    <n v="0.89489833333333324"/>
    <n v="0.71591866666666659"/>
    <x v="0"/>
    <x v="461"/>
    <x v="1"/>
  </r>
  <r>
    <n v="270"/>
    <s v="F"/>
    <n v="0.45"/>
    <n v="0.36"/>
    <n v="0.125"/>
    <n v="0.4995"/>
    <n v="0.20349999999999999"/>
    <n v="0.1"/>
    <n v="0.17"/>
    <n v="13"/>
    <n v="6"/>
    <s v="Martin"/>
    <s v="Gaines"/>
    <s v="San Diego State University"/>
    <n v="9"/>
    <x v="7"/>
    <n v="1.9"/>
    <s v="Category 2"/>
    <e v="#N/A"/>
    <s v="Yes"/>
    <e v="#N/A"/>
    <n v="0.94710625000000004"/>
    <n v="0.75768500000000005"/>
    <x v="0"/>
    <x v="462"/>
    <x v="1"/>
  </r>
  <r>
    <n v="852"/>
    <s v="M"/>
    <n v="0.55500000000000005"/>
    <n v="0.435"/>
    <n v="0.14499999999999999"/>
    <n v="0.96850000000000003"/>
    <n v="0.4985"/>
    <n v="0.16800000000000001"/>
    <n v="0.23849999999999999"/>
    <n v="9"/>
    <n v="6"/>
    <s v="Martin"/>
    <s v="Gaines"/>
    <s v="San Diego State University"/>
    <n v="8"/>
    <x v="4"/>
    <n v="12.3"/>
    <s v="Category 3"/>
    <e v="#N/A"/>
    <e v="#N/A"/>
    <s v="Yes"/>
    <n v="0.98883874999999999"/>
    <n v="0.98883874999999999"/>
    <x v="0"/>
    <x v="0"/>
    <x v="275"/>
  </r>
  <r>
    <n v="440"/>
    <s v="M"/>
    <n v="0.5"/>
    <n v="0.41499999999999998"/>
    <n v="0.16500000000000001"/>
    <n v="0.6885"/>
    <n v="0.249"/>
    <n v="0.13800000000000001"/>
    <n v="0.25"/>
    <n v="13"/>
    <n v="15"/>
    <s v="Conan"/>
    <s v="Dalton"/>
    <s v="University of Houston"/>
    <n v="10"/>
    <x v="5"/>
    <n v="24.1"/>
    <s v="Category 2"/>
    <e v="#N/A"/>
    <s v="Yes"/>
    <e v="#N/A"/>
    <n v="0.97803374999999992"/>
    <n v="0.78242699999999998"/>
    <x v="0"/>
    <x v="463"/>
    <x v="1"/>
  </r>
  <r>
    <n v="1604"/>
    <s v="I"/>
    <n v="0.54"/>
    <n v="0.43"/>
    <n v="0.14000000000000001"/>
    <n v="0.81950000000000001"/>
    <n v="0.39350000000000002"/>
    <n v="0.17249999999999999"/>
    <n v="0.22950000000000001"/>
    <n v="9"/>
    <n v="1"/>
    <s v="Jan"/>
    <s v="Odom"/>
    <s v="University of Houston"/>
    <n v="3"/>
    <x v="9"/>
    <n v="3.6"/>
    <s v="Category 2"/>
    <e v="#N/A"/>
    <s v="Yes"/>
    <e v="#N/A"/>
    <n v="0.98782166666666671"/>
    <n v="0.79025733333333337"/>
    <x v="0"/>
    <x v="464"/>
    <x v="1"/>
  </r>
  <r>
    <n v="1895"/>
    <s v="M"/>
    <n v="0.56999999999999995"/>
    <n v="0.46"/>
    <n v="0.155"/>
    <n v="1.0004999999999999"/>
    <n v="0.45400000000000001"/>
    <n v="0.20499999999999999"/>
    <n v="0.26500000000000001"/>
    <n v="11"/>
    <n v="11"/>
    <s v="Naima"/>
    <s v="Reyes"/>
    <s v="University of Houston"/>
    <n v="5"/>
    <x v="3"/>
    <n v="12.8"/>
    <s v="Category 3"/>
    <e v="#N/A"/>
    <e v="#N/A"/>
    <s v="Yes"/>
    <n v="1.0024795833333335"/>
    <n v="1.0024795833333335"/>
    <x v="0"/>
    <x v="0"/>
    <x v="276"/>
  </r>
  <r>
    <n v="227"/>
    <s v="F"/>
    <n v="0.39"/>
    <n v="0.28999999999999998"/>
    <n v="0.125"/>
    <n v="0.30549999999999999"/>
    <n v="0.121"/>
    <n v="8.2000000000000003E-2"/>
    <n v="0.09"/>
    <n v="7"/>
    <n v="6"/>
    <s v="Martin"/>
    <s v="Gaines"/>
    <s v="San Diego State University"/>
    <n v="1"/>
    <x v="0"/>
    <n v="22.1"/>
    <s v="Category 2"/>
    <e v="#N/A"/>
    <s v="Yes"/>
    <e v="#N/A"/>
    <n v="0.91266458333333345"/>
    <n v="0.73013166666666685"/>
    <x v="0"/>
    <x v="465"/>
    <x v="1"/>
  </r>
  <r>
    <n v="113"/>
    <s v="I"/>
    <n v="0.435"/>
    <n v="0.32"/>
    <n v="0.08"/>
    <n v="0.33250000000000002"/>
    <n v="0.14849999999999999"/>
    <n v="6.3500000000000001E-2"/>
    <n v="0.105"/>
    <n v="9"/>
    <n v="7"/>
    <s v="Iona"/>
    <s v="Connolly"/>
    <s v="Florida Atlantic University"/>
    <n v="9"/>
    <x v="7"/>
    <n v="1.9"/>
    <s v="Category 2"/>
    <e v="#N/A"/>
    <s v="Yes"/>
    <e v="#N/A"/>
    <n v="0.93393333333333328"/>
    <n v="0.74714666666666663"/>
    <x v="0"/>
    <x v="466"/>
    <x v="1"/>
  </r>
  <r>
    <n v="645"/>
    <s v="M"/>
    <n v="0.45"/>
    <n v="0.34"/>
    <n v="0.13"/>
    <n v="0.3715"/>
    <n v="0.1605"/>
    <n v="7.9500000000000001E-2"/>
    <n v="0.105"/>
    <n v="9"/>
    <n v="6"/>
    <s v="Martin"/>
    <s v="Gaines"/>
    <s v="San Diego State University"/>
    <n v="7"/>
    <x v="6"/>
    <n v="2.5"/>
    <s v="Category 2"/>
    <e v="#N/A"/>
    <s v="Yes"/>
    <e v="#N/A"/>
    <n v="0.94661583333333332"/>
    <n v="0.75729266666666673"/>
    <x v="0"/>
    <x v="467"/>
    <x v="1"/>
  </r>
  <r>
    <n v="1618"/>
    <s v="I"/>
    <n v="0.55500000000000005"/>
    <n v="0.435"/>
    <n v="0.14000000000000001"/>
    <n v="0.76500000000000001"/>
    <n v="0.39450000000000002"/>
    <n v="0.15"/>
    <n v="0.20599999999999999"/>
    <n v="8"/>
    <n v="5"/>
    <s v="Haniya"/>
    <s v="Talley"/>
    <s v="Prince William Sound Science Center"/>
    <n v="3"/>
    <x v="9"/>
    <n v="3.6"/>
    <s v="Category 2"/>
    <e v="#N/A"/>
    <s v="Yes"/>
    <e v="#N/A"/>
    <n v="0.99685000000000001"/>
    <n v="0.79748000000000008"/>
    <x v="0"/>
    <x v="468"/>
    <x v="1"/>
  </r>
  <r>
    <n v="4173"/>
    <s v="F"/>
    <n v="0.56499999999999995"/>
    <n v="0.45"/>
    <n v="0.16500000000000001"/>
    <n v="0.88700000000000001"/>
    <n v="0.37"/>
    <n v="0.23899999999999999"/>
    <n v="0.249"/>
    <n v="11"/>
    <n v="15"/>
    <s v="Conan"/>
    <s v="Dalton"/>
    <s v="University of Houston"/>
    <n v="6"/>
    <x v="8"/>
    <n v="14.1"/>
    <s v="Category 2"/>
    <e v="#N/A"/>
    <s v="Yes"/>
    <e v="#N/A"/>
    <n v="1.0035924999999999"/>
    <n v="0.80287399999999998"/>
    <x v="0"/>
    <x v="469"/>
    <x v="1"/>
  </r>
  <r>
    <n v="275"/>
    <s v="M"/>
    <n v="0.63"/>
    <n v="0.51500000000000001"/>
    <n v="0.155"/>
    <n v="1.2589999999999999"/>
    <n v="0.41049999999999998"/>
    <n v="0.19700000000000001"/>
    <n v="0.41"/>
    <n v="13"/>
    <n v="1"/>
    <s v="Jan"/>
    <s v="Odom"/>
    <s v="University of Houston"/>
    <n v="8"/>
    <x v="4"/>
    <n v="12.3"/>
    <s v="Category 3"/>
    <e v="#N/A"/>
    <e v="#N/A"/>
    <s v="Yes"/>
    <n v="1.0302575"/>
    <n v="1.0302575"/>
    <x v="0"/>
    <x v="0"/>
    <x v="277"/>
  </r>
  <r>
    <n v="178"/>
    <s v="I"/>
    <n v="0.315"/>
    <n v="0.245"/>
    <n v="8.5000000000000006E-2"/>
    <n v="0.14349999999999999"/>
    <n v="5.2999999999999999E-2"/>
    <n v="4.7500000000000001E-2"/>
    <n v="0.05"/>
    <n v="8"/>
    <n v="5"/>
    <s v="Haniya"/>
    <s v="Talley"/>
    <s v="Prince William Sound Science Center"/>
    <n v="10"/>
    <x v="5"/>
    <n v="24.1"/>
    <s v="Category 2"/>
    <e v="#N/A"/>
    <s v="Yes"/>
    <e v="#N/A"/>
    <n v="0.87913291666666671"/>
    <n v="0.70330633333333337"/>
    <x v="0"/>
    <x v="470"/>
    <x v="1"/>
  </r>
  <r>
    <n v="3998"/>
    <s v="I"/>
    <n v="0.36"/>
    <n v="0.27"/>
    <n v="0.09"/>
    <n v="0.20749999999999999"/>
    <n v="9.8000000000000004E-2"/>
    <n v="3.9E-2"/>
    <n v="6.2E-2"/>
    <n v="6"/>
    <n v="12"/>
    <s v="Rebecca"/>
    <s v="Bennett"/>
    <s v="University of Houston"/>
    <n v="6"/>
    <x v="8"/>
    <n v="14.1"/>
    <s v="Category 2"/>
    <e v="#N/A"/>
    <s v="Yes"/>
    <e v="#N/A"/>
    <n v="0.89927916666666674"/>
    <n v="0.71942333333333341"/>
    <x v="0"/>
    <x v="471"/>
    <x v="1"/>
  </r>
  <r>
    <n v="2952"/>
    <s v="M"/>
    <n v="0.64"/>
    <n v="0.57499999999999996"/>
    <n v="0.17499999999999999"/>
    <n v="1.4584999999999999"/>
    <n v="0.625"/>
    <n v="0.26600000000000001"/>
    <n v="0.4395"/>
    <n v="11"/>
    <n v="12"/>
    <s v="Rebecca"/>
    <s v="Bennett"/>
    <s v="University of Houston"/>
    <n v="9"/>
    <x v="7"/>
    <n v="1.9"/>
    <s v="Category 3"/>
    <e v="#N/A"/>
    <e v="#N/A"/>
    <s v="Yes"/>
    <n v="1.05030625"/>
    <n v="1.05030625"/>
    <x v="0"/>
    <x v="0"/>
    <x v="278"/>
  </r>
  <r>
    <n v="1569"/>
    <s v="I"/>
    <n v="0.47"/>
    <n v="0.35499999999999998"/>
    <n v="0.125"/>
    <n v="0.499"/>
    <n v="0.21"/>
    <n v="9.8500000000000004E-2"/>
    <n v="0.155"/>
    <n v="8"/>
    <n v="13"/>
    <s v="Betty"/>
    <s v="Berg"/>
    <s v="University of Houston"/>
    <n v="6"/>
    <x v="8"/>
    <n v="14.1"/>
    <s v="Category 2"/>
    <e v="#N/A"/>
    <s v="Yes"/>
    <e v="#N/A"/>
    <n v="0.95212916666666669"/>
    <n v="0.7617033333333334"/>
    <x v="0"/>
    <x v="472"/>
    <x v="1"/>
  </r>
  <r>
    <n v="1617"/>
    <s v="I"/>
    <n v="0.55500000000000005"/>
    <n v="0.39500000000000002"/>
    <n v="0.13"/>
    <n v="0.5585"/>
    <n v="0.222"/>
    <n v="0.1245"/>
    <n v="0.17"/>
    <n v="9"/>
    <n v="10"/>
    <s v="Hazel"/>
    <s v="Villa"/>
    <s v="University of Minnesota"/>
    <n v="9"/>
    <x v="7"/>
    <n v="1.9"/>
    <s v="Category 2"/>
    <e v="#N/A"/>
    <s v="Yes"/>
    <e v="#N/A"/>
    <n v="0.99153416666666661"/>
    <n v="0.79322733333333328"/>
    <x v="0"/>
    <x v="473"/>
    <x v="1"/>
  </r>
  <r>
    <n v="421"/>
    <s v="F"/>
    <n v="0.67"/>
    <n v="0.54"/>
    <n v="0.16500000000000001"/>
    <n v="1.5015000000000001"/>
    <n v="0.51800000000000002"/>
    <n v="0.35799999999999998"/>
    <n v="0.505"/>
    <n v="14"/>
    <n v="9"/>
    <s v="Danica"/>
    <s v="Tyler"/>
    <s v="University of Florida_x0009_"/>
    <n v="4"/>
    <x v="2"/>
    <n v="6.1"/>
    <s v="Category 3"/>
    <e v="#N/A"/>
    <e v="#N/A"/>
    <s v="Yes"/>
    <n v="1.0445245833333332"/>
    <n v="1.0445245833333332"/>
    <x v="0"/>
    <x v="0"/>
    <x v="279"/>
  </r>
  <r>
    <n v="2920"/>
    <s v="F"/>
    <n v="0.6"/>
    <n v="0.48"/>
    <n v="0.17"/>
    <n v="1.056"/>
    <n v="0.45750000000000002"/>
    <n v="0.24349999999999999"/>
    <n v="0.3135"/>
    <n v="10"/>
    <n v="12"/>
    <s v="Rebecca"/>
    <s v="Bennett"/>
    <s v="University of Houston"/>
    <n v="10"/>
    <x v="5"/>
    <n v="24.1"/>
    <s v="Category 3"/>
    <e v="#N/A"/>
    <e v="#N/A"/>
    <s v="Yes"/>
    <n v="1.0195199999999998"/>
    <n v="1.0195199999999998"/>
    <x v="0"/>
    <x v="0"/>
    <x v="280"/>
  </r>
  <r>
    <n v="2335"/>
    <s v="F"/>
    <n v="0.8"/>
    <n v="0.63"/>
    <n v="0.19500000000000001"/>
    <n v="2.5259999999999998"/>
    <n v="0.93300000000000005"/>
    <n v="0.59"/>
    <n v="0.62"/>
    <n v="23"/>
    <n v="14"/>
    <s v="Santiago"/>
    <s v="Vaughan"/>
    <s v="Ohio State University_x0009_"/>
    <n v="7"/>
    <x v="6"/>
    <n v="2.5"/>
    <s v="Category 2"/>
    <e v="#N/A"/>
    <s v="Yes"/>
    <e v="#N/A"/>
    <n v="1.0903616666666667"/>
    <n v="0.87228933333333336"/>
    <x v="0"/>
    <x v="474"/>
    <x v="1"/>
  </r>
  <r>
    <n v="3873"/>
    <s v="F"/>
    <n v="0.51500000000000001"/>
    <n v="0.4"/>
    <n v="0.115"/>
    <n v="0.57799999999999996"/>
    <n v="0.191"/>
    <n v="0.14449999999999999"/>
    <n v="0.17"/>
    <n v="9"/>
    <n v="13"/>
    <s v="Betty"/>
    <s v="Berg"/>
    <s v="University of Houston"/>
    <n v="2"/>
    <x v="1"/>
    <n v="18"/>
    <s v="Category 2"/>
    <e v="#N/A"/>
    <s v="Yes"/>
    <e v="#N/A"/>
    <n v="0.97754499999999989"/>
    <n v="0.78203599999999995"/>
    <x v="0"/>
    <x v="475"/>
    <x v="1"/>
  </r>
  <r>
    <n v="1071"/>
    <s v="I"/>
    <n v="0.375"/>
    <n v="0.27500000000000002"/>
    <n v="0.1"/>
    <n v="0.23250000000000001"/>
    <n v="0.11650000000000001"/>
    <n v="4.2000000000000003E-2"/>
    <n v="6.5000000000000002E-2"/>
    <n v="6"/>
    <n v="6"/>
    <s v="Martin"/>
    <s v="Gaines"/>
    <s v="San Diego State University"/>
    <n v="5"/>
    <x v="3"/>
    <n v="12.8"/>
    <s v="Category 2"/>
    <e v="#N/A"/>
    <s v="Yes"/>
    <e v="#N/A"/>
    <n v="0.90504166666666674"/>
    <n v="0.72403333333333342"/>
    <x v="0"/>
    <x v="476"/>
    <x v="1"/>
  </r>
  <r>
    <n v="3039"/>
    <s v="I"/>
    <n v="0.56499999999999995"/>
    <n v="0.44"/>
    <n v="0.13500000000000001"/>
    <n v="0.76800000000000002"/>
    <n v="0.33050000000000002"/>
    <n v="0.13850000000000001"/>
    <n v="0.2475"/>
    <n v="9"/>
    <n v="15"/>
    <s v="Conan"/>
    <s v="Dalton"/>
    <s v="University of Houston"/>
    <n v="3"/>
    <x v="9"/>
    <n v="3.6"/>
    <s v="Category 2"/>
    <e v="#N/A"/>
    <s v="Yes"/>
    <e v="#N/A"/>
    <n v="1.0010800000000002"/>
    <n v="0.80086400000000024"/>
    <x v="0"/>
    <x v="477"/>
    <x v="1"/>
  </r>
  <r>
    <n v="3319"/>
    <s v="M"/>
    <n v="0.16500000000000001"/>
    <n v="0.125"/>
    <n v="0.04"/>
    <n v="2.4500000000000001E-2"/>
    <n v="9.4999999999999998E-3"/>
    <n v="4.4999999999999997E-3"/>
    <n v="8.0000000000000002E-3"/>
    <n v="4"/>
    <n v="1"/>
    <s v="Jan"/>
    <s v="Odom"/>
    <s v="University of Houston"/>
    <n v="6"/>
    <x v="8"/>
    <n v="14.1"/>
    <s v="Category 2"/>
    <e v="#N/A"/>
    <s v="Yes"/>
    <e v="#N/A"/>
    <n v="0.79519666666666666"/>
    <n v="0.63615733333333335"/>
    <x v="0"/>
    <x v="478"/>
    <x v="1"/>
  </r>
  <r>
    <n v="4006"/>
    <s v="F"/>
    <n v="0.55500000000000005"/>
    <n v="0.43"/>
    <n v="0.14000000000000001"/>
    <n v="0.75449999999999995"/>
    <n v="0.35249999999999998"/>
    <n v="0.1835"/>
    <n v="0.20150000000000001"/>
    <n v="9"/>
    <n v="11"/>
    <s v="Naima"/>
    <s v="Reyes"/>
    <s v="University of Houston"/>
    <n v="5"/>
    <x v="3"/>
    <n v="12.8"/>
    <s v="Category 2"/>
    <e v="#N/A"/>
    <s v="Yes"/>
    <e v="#N/A"/>
    <n v="0.99563833333333329"/>
    <n v="0.7965106666666667"/>
    <x v="0"/>
    <x v="479"/>
    <x v="1"/>
  </r>
  <r>
    <n v="777"/>
    <s v="M"/>
    <n v="0.505"/>
    <n v="0.38500000000000001"/>
    <n v="0.14499999999999999"/>
    <n v="0.67749999999999999"/>
    <n v="0.23599999999999999"/>
    <n v="0.17899999999999999"/>
    <n v="0.2"/>
    <n v="15"/>
    <n v="11"/>
    <s v="Naima"/>
    <s v="Reyes"/>
    <s v="University of Houston"/>
    <n v="7"/>
    <x v="6"/>
    <n v="2.5"/>
    <s v="Category 2"/>
    <e v="#N/A"/>
    <s v="Yes"/>
    <e v="#N/A"/>
    <n v="0.96787291666666675"/>
    <n v="0.77429833333333342"/>
    <x v="0"/>
    <x v="480"/>
    <x v="1"/>
  </r>
  <r>
    <n v="1042"/>
    <s v="F"/>
    <n v="0.67500000000000004"/>
    <n v="0.56999999999999995"/>
    <n v="0.22500000000000001"/>
    <n v="1.587"/>
    <n v="0.73899999999999999"/>
    <n v="0.29949999999999999"/>
    <n v="0.435"/>
    <n v="10"/>
    <n v="10"/>
    <s v="Hazel"/>
    <s v="Villa"/>
    <s v="University of Minnesota"/>
    <n v="8"/>
    <x v="4"/>
    <n v="12.3"/>
    <s v="Category 3"/>
    <e v="#N/A"/>
    <e v="#N/A"/>
    <s v="Yes"/>
    <n v="1.0687125"/>
    <n v="1.0687125"/>
    <x v="0"/>
    <x v="0"/>
    <x v="281"/>
  </r>
  <r>
    <n v="713"/>
    <s v="I"/>
    <n v="0.28000000000000003"/>
    <n v="0.20499999999999999"/>
    <n v="5.5E-2"/>
    <n v="0.1135"/>
    <n v="4.4999999999999998E-2"/>
    <n v="2.75E-2"/>
    <n v="3.3500000000000002E-2"/>
    <n v="7"/>
    <n v="11"/>
    <s v="Naima"/>
    <s v="Reyes"/>
    <s v="University of Houston"/>
    <n v="5"/>
    <x v="3"/>
    <n v="12.8"/>
    <s v="Category 2"/>
    <e v="#N/A"/>
    <s v="Yes"/>
    <e v="#N/A"/>
    <n v="0.85514041666666663"/>
    <n v="0.68411233333333332"/>
    <x v="0"/>
    <x v="481"/>
    <x v="1"/>
  </r>
  <r>
    <n v="624"/>
    <s v="F"/>
    <n v="0.5"/>
    <n v="0.38500000000000001"/>
    <n v="0.105"/>
    <n v="0.498"/>
    <n v="0.17949999999999999"/>
    <n v="0.1095"/>
    <n v="0.17"/>
    <n v="17"/>
    <n v="1"/>
    <s v="Jan"/>
    <s v="Odom"/>
    <s v="University of Houston"/>
    <n v="2"/>
    <x v="1"/>
    <n v="18"/>
    <s v="Category 2"/>
    <e v="#N/A"/>
    <s v="Yes"/>
    <e v="#N/A"/>
    <n v="0.97051500000000002"/>
    <n v="0.7764120000000001"/>
    <x v="0"/>
    <x v="482"/>
    <x v="1"/>
  </r>
  <r>
    <n v="1238"/>
    <s v="I"/>
    <n v="0.375"/>
    <n v="0.27500000000000002"/>
    <n v="9.5000000000000001E-2"/>
    <n v="0.2465"/>
    <n v="0.11"/>
    <n v="4.1500000000000002E-2"/>
    <n v="7.7499999999999999E-2"/>
    <n v="6"/>
    <n v="2"/>
    <s v="Tiegan"/>
    <s v="Davie"/>
    <s v="University of California, Davis"/>
    <n v="3"/>
    <x v="9"/>
    <n v="3.6"/>
    <s v="Category 2"/>
    <e v="#N/A"/>
    <s v="Yes"/>
    <e v="#N/A"/>
    <n v="0.90413625000000009"/>
    <n v="0.72330900000000009"/>
    <x v="0"/>
    <x v="483"/>
    <x v="1"/>
  </r>
  <r>
    <n v="503"/>
    <s v="F"/>
    <n v="0.62"/>
    <n v="0.47"/>
    <n v="0.22500000000000001"/>
    <n v="1.115"/>
    <n v="0.378"/>
    <n v="0.2145"/>
    <n v="0.36"/>
    <n v="15"/>
    <n v="8"/>
    <s v="Kali"/>
    <s v="Metcalfe"/>
    <s v="Mote Marine Laboratory"/>
    <n v="3"/>
    <x v="9"/>
    <n v="3.6"/>
    <s v="Category 2"/>
    <e v="#N/A"/>
    <s v="Yes"/>
    <e v="#N/A"/>
    <n v="1.0308125000000001"/>
    <n v="0.82465000000000011"/>
    <x v="0"/>
    <x v="484"/>
    <x v="1"/>
  </r>
  <r>
    <n v="2039"/>
    <s v="I"/>
    <n v="0.28000000000000003"/>
    <n v="0.215"/>
    <n v="0.08"/>
    <n v="0.13200000000000001"/>
    <n v="7.1999999999999995E-2"/>
    <n v="2.1999999999999999E-2"/>
    <n v="3.3000000000000002E-2"/>
    <n v="5"/>
    <n v="9"/>
    <s v="Danica"/>
    <s v="Tyler"/>
    <s v="University of Florida_x0009_"/>
    <n v="9"/>
    <x v="7"/>
    <n v="1.9"/>
    <s v="Category 2"/>
    <e v="#N/A"/>
    <s v="Yes"/>
    <e v="#N/A"/>
    <n v="0.85795999999999994"/>
    <n v="0.68636799999999998"/>
    <x v="0"/>
    <x v="485"/>
    <x v="1"/>
  </r>
  <r>
    <n v="2727"/>
    <s v="I"/>
    <n v="0.4"/>
    <n v="0.30499999999999999"/>
    <n v="0.1"/>
    <n v="0.34150000000000003"/>
    <n v="0.17599999999999999"/>
    <n v="6.25E-2"/>
    <n v="8.6499999999999994E-2"/>
    <n v="7"/>
    <n v="2"/>
    <s v="Tiegan"/>
    <s v="Davie"/>
    <s v="University of California, Davis"/>
    <n v="10"/>
    <x v="5"/>
    <n v="24.1"/>
    <s v="Category 2"/>
    <e v="#N/A"/>
    <s v="Yes"/>
    <e v="#N/A"/>
    <n v="0.9179250000000001"/>
    <n v="0.7343400000000001"/>
    <x v="0"/>
    <x v="486"/>
    <x v="1"/>
  </r>
  <r>
    <n v="65"/>
    <s v="M"/>
    <n v="0.52"/>
    <n v="0.4"/>
    <n v="0.12"/>
    <n v="0.57999999999999996"/>
    <n v="0.23400000000000001"/>
    <n v="0.13150000000000001"/>
    <n v="0.185"/>
    <n v="8"/>
    <n v="4"/>
    <s v="Nate"/>
    <s v="Craig"/>
    <s v="NOAA Fisheries"/>
    <n v="7"/>
    <x v="6"/>
    <n v="2.5"/>
    <s v="Category 2"/>
    <e v="#N/A"/>
    <s v="Yes"/>
    <e v="#N/A"/>
    <n v="0.97959999999999992"/>
    <n v="0.78367999999999993"/>
    <x v="0"/>
    <x v="487"/>
    <x v="1"/>
  </r>
  <r>
    <n v="1687"/>
    <s v="M"/>
    <n v="0.62"/>
    <n v="0.48"/>
    <n v="0.15"/>
    <n v="1.266"/>
    <n v="0.62849999999999995"/>
    <n v="0.25750000000000001"/>
    <n v="0.309"/>
    <n v="12"/>
    <n v="4"/>
    <s v="Nate"/>
    <s v="Craig"/>
    <s v="NOAA Fisheries"/>
    <n v="9"/>
    <x v="7"/>
    <n v="1.9"/>
    <s v="Category 3"/>
    <e v="#N/A"/>
    <e v="#N/A"/>
    <s v="Yes"/>
    <n v="1.0139166666666666"/>
    <n v="1.0139166666666666"/>
    <x v="0"/>
    <x v="0"/>
    <x v="282"/>
  </r>
  <r>
    <n v="3284"/>
    <s v="F"/>
    <n v="0.59"/>
    <n v="0.47499999999999998"/>
    <n v="0.155"/>
    <n v="0.97150000000000003"/>
    <n v="0.371"/>
    <n v="0.23499999999999999"/>
    <n v="0.28000000000000003"/>
    <n v="11"/>
    <n v="1"/>
    <s v="Jan"/>
    <s v="Odom"/>
    <s v="University of Houston"/>
    <n v="5"/>
    <x v="3"/>
    <n v="12.8"/>
    <s v="Category 2"/>
    <e v="#N/A"/>
    <s v="Yes"/>
    <e v="#N/A"/>
    <n v="1.0153304166666666"/>
    <n v="0.81226433333333325"/>
    <x v="0"/>
    <x v="488"/>
    <x v="1"/>
  </r>
  <r>
    <n v="3688"/>
    <s v="I"/>
    <n v="0.625"/>
    <n v="0.48499999999999999"/>
    <n v="0.16"/>
    <n v="1.1499999999999999"/>
    <n v="0.52549999999999997"/>
    <n v="0.25700000000000001"/>
    <n v="0.33150000000000002"/>
    <n v="11"/>
    <n v="12"/>
    <s v="Rebecca"/>
    <s v="Bennett"/>
    <s v="University of Houston"/>
    <n v="8"/>
    <x v="4"/>
    <n v="12.3"/>
    <s v="Category 3"/>
    <e v="#N/A"/>
    <e v="#N/A"/>
    <s v="Yes"/>
    <n v="1.024"/>
    <n v="1.024"/>
    <x v="0"/>
    <x v="0"/>
    <x v="283"/>
  </r>
  <r>
    <n v="297"/>
    <s v="I"/>
    <n v="0.27500000000000002"/>
    <n v="0.20499999999999999"/>
    <n v="7.4999999999999997E-2"/>
    <n v="0.1105"/>
    <n v="4.4999999999999998E-2"/>
    <n v="2.8500000000000001E-2"/>
    <n v="3.5000000000000003E-2"/>
    <n v="6"/>
    <n v="3"/>
    <s v="Inaya"/>
    <s v="Bernard"/>
    <s v="Stanford University"/>
    <n v="7"/>
    <x v="6"/>
    <n v="2.5"/>
    <s v="Category 2"/>
    <e v="#N/A"/>
    <s v="Yes"/>
    <e v="#N/A"/>
    <n v="0.85401458333333347"/>
    <n v="0.68321166666666677"/>
    <x v="0"/>
    <x v="489"/>
    <x v="1"/>
  </r>
  <r>
    <n v="1153"/>
    <s v="M"/>
    <n v="0.59"/>
    <n v="0.47"/>
    <n v="0.15"/>
    <n v="0.99550000000000005"/>
    <n v="0.48099999999999998"/>
    <n v="0.23200000000000001"/>
    <n v="0.24"/>
    <n v="8"/>
    <n v="14"/>
    <s v="Santiago"/>
    <s v="Vaughan"/>
    <s v="Ohio State University_x0009_"/>
    <n v="10"/>
    <x v="5"/>
    <n v="24.1"/>
    <s v="Category 3"/>
    <e v="#N/A"/>
    <e v="#N/A"/>
    <s v="Yes"/>
    <n v="1.0118541666666665"/>
    <n v="1.0118541666666665"/>
    <x v="0"/>
    <x v="0"/>
    <x v="284"/>
  </r>
  <r>
    <n v="3718"/>
    <s v="I"/>
    <n v="0.35"/>
    <n v="0.25"/>
    <n v="0.1"/>
    <n v="0.40150000000000002"/>
    <n v="0.17249999999999999"/>
    <n v="6.3E-2"/>
    <n v="0.1255"/>
    <n v="7"/>
    <n v="9"/>
    <s v="Danica"/>
    <s v="Tyler"/>
    <s v="University of Florida_x0009_"/>
    <n v="2"/>
    <x v="1"/>
    <n v="18"/>
    <s v="Category 2"/>
    <e v="#N/A"/>
    <s v="Yes"/>
    <e v="#N/A"/>
    <n v="0.87992499999999996"/>
    <n v="0.70394000000000001"/>
    <x v="0"/>
    <x v="490"/>
    <x v="1"/>
  </r>
  <r>
    <n v="3642"/>
    <s v="I"/>
    <n v="0.46500000000000002"/>
    <n v="0.37"/>
    <n v="0.115"/>
    <n v="0.40749999999999997"/>
    <n v="0.1515"/>
    <n v="9.35E-2"/>
    <n v="0.14549999999999999"/>
    <n v="9"/>
    <n v="9"/>
    <s v="Danica"/>
    <s v="Tyler"/>
    <s v="University of Florida_x0009_"/>
    <n v="9"/>
    <x v="7"/>
    <n v="1.9"/>
    <s v="Category 2"/>
    <e v="#N/A"/>
    <s v="Yes"/>
    <e v="#N/A"/>
    <n v="0.95897708333333331"/>
    <n v="0.76718166666666665"/>
    <x v="0"/>
    <x v="491"/>
    <x v="1"/>
  </r>
  <r>
    <n v="678"/>
    <s v="F"/>
    <n v="0.5"/>
    <n v="0.375"/>
    <n v="0.115"/>
    <n v="0.59450000000000003"/>
    <n v="0.185"/>
    <n v="0.14799999999999999"/>
    <n v="0.19"/>
    <n v="11"/>
    <n v="3"/>
    <s v="Inaya"/>
    <s v="Bernard"/>
    <s v="Stanford University"/>
    <n v="7"/>
    <x v="6"/>
    <n v="2.5"/>
    <s v="Category 2"/>
    <e v="#N/A"/>
    <s v="Yes"/>
    <e v="#N/A"/>
    <n v="0.96342791666666672"/>
    <n v="0.77074233333333342"/>
    <x v="0"/>
    <x v="492"/>
    <x v="1"/>
  </r>
  <r>
    <n v="1252"/>
    <s v="I"/>
    <n v="0.40500000000000003"/>
    <n v="0.28499999999999998"/>
    <n v="0.09"/>
    <n v="0.26450000000000001"/>
    <n v="0.1265"/>
    <n v="5.0500000000000003E-2"/>
    <n v="7.4999999999999997E-2"/>
    <n v="6"/>
    <n v="13"/>
    <s v="Betty"/>
    <s v="Berg"/>
    <s v="University of Houston"/>
    <n v="1"/>
    <x v="0"/>
    <n v="22.1"/>
    <s v="Category 2"/>
    <e v="#N/A"/>
    <s v="Yes"/>
    <e v="#N/A"/>
    <n v="0.91633416666666667"/>
    <n v="0.7330673333333334"/>
    <x v="0"/>
    <x v="493"/>
    <x v="1"/>
  </r>
  <r>
    <n v="2135"/>
    <s v="F"/>
    <n v="0.44"/>
    <n v="0.33"/>
    <n v="0.115"/>
    <n v="0.40050000000000002"/>
    <n v="0.14299999999999999"/>
    <n v="0.113"/>
    <n v="0.12"/>
    <n v="8"/>
    <n v="2"/>
    <s v="Tiegan"/>
    <s v="Davie"/>
    <s v="University of California, Davis"/>
    <n v="1"/>
    <x v="0"/>
    <n v="22.1"/>
    <s v="Category 2"/>
    <e v="#N/A"/>
    <s v="Yes"/>
    <e v="#N/A"/>
    <n v="0.93764291666666666"/>
    <n v="0.75011433333333333"/>
    <x v="0"/>
    <x v="494"/>
    <x v="1"/>
  </r>
  <r>
    <n v="2140"/>
    <s v="M"/>
    <n v="0.68"/>
    <n v="0.53"/>
    <n v="0.20499999999999999"/>
    <n v="1.496"/>
    <n v="0.58250000000000002"/>
    <n v="0.33700000000000002"/>
    <n v="0.46500000000000002"/>
    <n v="14"/>
    <n v="2"/>
    <s v="Tiegan"/>
    <s v="Davie"/>
    <s v="University of California, Davis"/>
    <n v="3"/>
    <x v="9"/>
    <n v="3.6"/>
    <s v="Category 3"/>
    <e v="#N/A"/>
    <e v="#N/A"/>
    <s v="Yes"/>
    <n v="1.0547133333333334"/>
    <n v="1.0547133333333334"/>
    <x v="0"/>
    <x v="0"/>
    <x v="285"/>
  </r>
  <r>
    <n v="247"/>
    <s v="I"/>
    <n v="0.32"/>
    <n v="0.245"/>
    <n v="0.08"/>
    <n v="0.1585"/>
    <n v="6.3500000000000001E-2"/>
    <n v="3.2500000000000001E-2"/>
    <n v="0.05"/>
    <n v="13"/>
    <n v="15"/>
    <s v="Conan"/>
    <s v="Dalton"/>
    <s v="University of Houston"/>
    <n v="10"/>
    <x v="5"/>
    <n v="24.1"/>
    <s v="Category 2"/>
    <e v="#N/A"/>
    <s v="Yes"/>
    <e v="#N/A"/>
    <n v="0.87988"/>
    <n v="0.70390400000000009"/>
    <x v="0"/>
    <x v="495"/>
    <x v="1"/>
  </r>
  <r>
    <n v="3215"/>
    <s v="F"/>
    <n v="0.56999999999999995"/>
    <n v="0.495"/>
    <n v="0.16"/>
    <n v="1.0914999999999999"/>
    <n v="0.45200000000000001"/>
    <n v="0.27500000000000002"/>
    <n v="0.315"/>
    <n v="14"/>
    <n v="8"/>
    <s v="Kali"/>
    <s v="Metcalfe"/>
    <s v="Mote Marine Laboratory"/>
    <n v="4"/>
    <x v="2"/>
    <n v="6.1"/>
    <s v="Category 3"/>
    <e v="#N/A"/>
    <e v="#N/A"/>
    <s v="Yes"/>
    <n v="1.0113400000000001"/>
    <n v="1.0113400000000001"/>
    <x v="0"/>
    <x v="0"/>
    <x v="286"/>
  </r>
  <r>
    <n v="1414"/>
    <s v="M"/>
    <n v="0.67500000000000004"/>
    <n v="0.54500000000000004"/>
    <n v="0.185"/>
    <n v="1.7375"/>
    <n v="0.876"/>
    <n v="0.3135"/>
    <n v="0.46899999999999997"/>
    <n v="13"/>
    <n v="10"/>
    <s v="Hazel"/>
    <s v="Villa"/>
    <s v="University of Minnesota"/>
    <n v="8"/>
    <x v="4"/>
    <n v="12.3"/>
    <s v="Category 3"/>
    <e v="#N/A"/>
    <e v="#N/A"/>
    <s v="Yes"/>
    <n v="1.04440625"/>
    <n v="1.04440625"/>
    <x v="0"/>
    <x v="0"/>
    <x v="287"/>
  </r>
  <r>
    <n v="904"/>
    <s v="I"/>
    <n v="0.315"/>
    <n v="0.23499999999999999"/>
    <n v="7.4999999999999997E-2"/>
    <n v="0.14849999999999999"/>
    <n v="5.8500000000000003E-2"/>
    <n v="3.7499999999999999E-2"/>
    <n v="4.2500000000000003E-2"/>
    <n v="6"/>
    <n v="15"/>
    <s v="Conan"/>
    <s v="Dalton"/>
    <s v="University of Houston"/>
    <n v="6"/>
    <x v="8"/>
    <n v="14.1"/>
    <s v="Category 2"/>
    <e v="#N/A"/>
    <s v="Yes"/>
    <e v="#N/A"/>
    <n v="0.87528958333333329"/>
    <n v="0.7002316666666667"/>
    <x v="0"/>
    <x v="496"/>
    <x v="1"/>
  </r>
  <r>
    <n v="3814"/>
    <s v="I"/>
    <n v="0.35"/>
    <n v="0.26"/>
    <n v="9.5000000000000001E-2"/>
    <n v="0.221"/>
    <n v="9.8500000000000004E-2"/>
    <n v="4.2999999999999997E-2"/>
    <n v="7.0000000000000007E-2"/>
    <n v="8"/>
    <n v="10"/>
    <s v="Hazel"/>
    <s v="Villa"/>
    <s v="University of Minnesota"/>
    <n v="9"/>
    <x v="7"/>
    <n v="1.9"/>
    <s v="Category 2"/>
    <e v="#N/A"/>
    <s v="Yes"/>
    <e v="#N/A"/>
    <n v="0.89209916666666667"/>
    <n v="0.71367933333333333"/>
    <x v="0"/>
    <x v="497"/>
    <x v="1"/>
  </r>
  <r>
    <n v="4044"/>
    <s v="F"/>
    <n v="0.57999999999999996"/>
    <n v="0.46"/>
    <n v="0.13500000000000001"/>
    <n v="0.92600000000000005"/>
    <n v="0.40250000000000002"/>
    <n v="0.20799999999999999"/>
    <n v="0.27500000000000002"/>
    <n v="8"/>
    <n v="9"/>
    <s v="Danica"/>
    <s v="Tyler"/>
    <s v="University of Florida_x0009_"/>
    <n v="3"/>
    <x v="9"/>
    <n v="3.6"/>
    <s v="Category 3"/>
    <e v="#N/A"/>
    <e v="#N/A"/>
    <s v="Yes"/>
    <n v="1.0057683333333334"/>
    <n v="1.0057683333333334"/>
    <x v="0"/>
    <x v="0"/>
    <x v="288"/>
  </r>
  <r>
    <n v="3365"/>
    <s v="M"/>
    <n v="0.33"/>
    <n v="0.245"/>
    <n v="8.5000000000000006E-2"/>
    <n v="0.17100000000000001"/>
    <n v="6.5500000000000003E-2"/>
    <n v="3.6499999999999998E-2"/>
    <n v="5.5E-2"/>
    <n v="11"/>
    <n v="8"/>
    <s v="Kali"/>
    <s v="Metcalfe"/>
    <s v="Mote Marine Laboratory"/>
    <n v="4"/>
    <x v="2"/>
    <n v="6.1"/>
    <s v="Category 2"/>
    <e v="#N/A"/>
    <s v="Yes"/>
    <e v="#N/A"/>
    <n v="0.88268916666666675"/>
    <n v="0.70615133333333346"/>
    <x v="0"/>
    <x v="498"/>
    <x v="1"/>
  </r>
  <r>
    <n v="3905"/>
    <s v="M"/>
    <n v="0.57499999999999996"/>
    <n v="0.47"/>
    <n v="0.16500000000000001"/>
    <n v="0.85299999999999998"/>
    <n v="0.29199999999999998"/>
    <n v="0.17899999999999999"/>
    <n v="0.35"/>
    <n v="16"/>
    <n v="3"/>
    <s v="Inaya"/>
    <s v="Bernard"/>
    <s v="Stanford University"/>
    <n v="7"/>
    <x v="6"/>
    <n v="2.5"/>
    <s v="Category 2"/>
    <e v="#N/A"/>
    <s v="Yes"/>
    <e v="#N/A"/>
    <n v="1.0149241666666666"/>
    <n v="0.81193933333333335"/>
    <x v="0"/>
    <x v="499"/>
    <x v="1"/>
  </r>
  <r>
    <n v="696"/>
    <s v="I"/>
    <n v="0.315"/>
    <n v="0.23"/>
    <n v="0.09"/>
    <n v="0.1285"/>
    <n v="4.2999999999999997E-2"/>
    <n v="0.04"/>
    <n v="0.04"/>
    <n v="7"/>
    <n v="14"/>
    <s v="Santiago"/>
    <s v="Vaughan"/>
    <s v="Ohio State University_x0009_"/>
    <n v="5"/>
    <x v="3"/>
    <n v="12.8"/>
    <s v="Category 2"/>
    <e v="#N/A"/>
    <s v="Yes"/>
    <e v="#N/A"/>
    <n v="0.87502750000000007"/>
    <n v="0.70002200000000014"/>
    <x v="0"/>
    <x v="500"/>
    <x v="1"/>
  </r>
  <r>
    <n v="994"/>
    <s v="M"/>
    <n v="0.57999999999999996"/>
    <n v="0.45500000000000002"/>
    <n v="0.15"/>
    <n v="1.012"/>
    <n v="0.4985"/>
    <n v="0.21149999999999999"/>
    <n v="0.28349999999999997"/>
    <n v="10"/>
    <n v="11"/>
    <s v="Naima"/>
    <s v="Reyes"/>
    <s v="University of Houston"/>
    <n v="6"/>
    <x v="8"/>
    <n v="14.1"/>
    <s v="Category 3"/>
    <e v="#N/A"/>
    <e v="#N/A"/>
    <s v="Yes"/>
    <n v="1.0028333333333332"/>
    <n v="1.0028333333333332"/>
    <x v="0"/>
    <x v="0"/>
    <x v="289"/>
  </r>
  <r>
    <n v="260"/>
    <s v="F"/>
    <n v="0.59"/>
    <n v="0.47499999999999998"/>
    <n v="0.16"/>
    <n v="1.1014999999999999"/>
    <n v="0.47749999999999998"/>
    <n v="0.2555"/>
    <n v="0.29499999999999998"/>
    <n v="13"/>
    <n v="8"/>
    <s v="Kali"/>
    <s v="Metcalfe"/>
    <s v="Mote Marine Laboratory"/>
    <n v="8"/>
    <x v="4"/>
    <n v="12.3"/>
    <s v="Category 3"/>
    <e v="#N/A"/>
    <e v="#N/A"/>
    <s v="Yes"/>
    <n v="1.0109399999999999"/>
    <n v="1.0109399999999999"/>
    <x v="0"/>
    <x v="0"/>
    <x v="290"/>
  </r>
  <r>
    <n v="1204"/>
    <s v="F"/>
    <n v="0.73"/>
    <n v="0.57499999999999996"/>
    <n v="0.185"/>
    <n v="1.8794999999999999"/>
    <n v="0.93100000000000005"/>
    <n v="0.38"/>
    <n v="0.48249999999999998"/>
    <n v="12"/>
    <n v="1"/>
    <s v="Jan"/>
    <s v="Odom"/>
    <s v="University of Houston"/>
    <n v="9"/>
    <x v="7"/>
    <n v="1.9"/>
    <s v="Category 3"/>
    <e v="#N/A"/>
    <e v="#N/A"/>
    <s v="Yes"/>
    <n v="1.0676512499999999"/>
    <n v="1.0676512499999999"/>
    <x v="0"/>
    <x v="0"/>
    <x v="291"/>
  </r>
  <r>
    <n v="321"/>
    <s v="I"/>
    <n v="0.26500000000000001"/>
    <n v="0.21"/>
    <n v="0.06"/>
    <n v="9.6500000000000002E-2"/>
    <n v="4.2500000000000003E-2"/>
    <n v="2.1999999999999999E-2"/>
    <n v="0.03"/>
    <n v="5"/>
    <n v="5"/>
    <s v="Haniya"/>
    <s v="Talley"/>
    <s v="Prince William Sound Science Center"/>
    <n v="10"/>
    <x v="5"/>
    <n v="24.1"/>
    <s v="Category 2"/>
    <e v="#N/A"/>
    <s v="Yes"/>
    <e v="#N/A"/>
    <n v="0.85286499999999998"/>
    <n v="0.68229200000000001"/>
    <x v="0"/>
    <x v="501"/>
    <x v="1"/>
  </r>
  <r>
    <n v="554"/>
    <s v="I"/>
    <n v="0.48"/>
    <n v="0.37"/>
    <n v="0.12"/>
    <n v="0.51400000000000001"/>
    <n v="0.20749999999999999"/>
    <n v="0.13100000000000001"/>
    <n v="0.155"/>
    <n v="13"/>
    <n v="3"/>
    <s v="Inaya"/>
    <s v="Bernard"/>
    <s v="Stanford University"/>
    <n v="1"/>
    <x v="0"/>
    <n v="22.1"/>
    <s v="Category 2"/>
    <e v="#N/A"/>
    <s v="Yes"/>
    <e v="#N/A"/>
    <n v="0.95934666666666657"/>
    <n v="0.76747733333333334"/>
    <x v="0"/>
    <x v="502"/>
    <x v="1"/>
  </r>
  <r>
    <n v="3644"/>
    <s v="I"/>
    <n v="0.47"/>
    <n v="0.34499999999999997"/>
    <n v="0.12"/>
    <n v="0.36849999999999999"/>
    <n v="0.1525"/>
    <n v="6.1499999999999999E-2"/>
    <n v="0.125"/>
    <n v="8"/>
    <n v="6"/>
    <s v="Martin"/>
    <s v="Gaines"/>
    <s v="San Diego State University"/>
    <n v="1"/>
    <x v="0"/>
    <n v="22.1"/>
    <s v="Category 2"/>
    <e v="#N/A"/>
    <s v="Yes"/>
    <e v="#N/A"/>
    <n v="0.95447000000000004"/>
    <n v="0.76357600000000003"/>
    <x v="0"/>
    <x v="503"/>
    <x v="1"/>
  </r>
  <r>
    <n v="3914"/>
    <s v="I"/>
    <n v="0.54"/>
    <n v="0.4"/>
    <n v="0.14499999999999999"/>
    <n v="0.75700000000000001"/>
    <n v="0.315"/>
    <n v="0.18099999999999999"/>
    <n v="0.215"/>
    <n v="11"/>
    <n v="8"/>
    <s v="Kali"/>
    <s v="Metcalfe"/>
    <s v="Mote Marine Laboratory"/>
    <n v="8"/>
    <x v="4"/>
    <n v="12.3"/>
    <s v="Category 2"/>
    <e v="#N/A"/>
    <s v="Yes"/>
    <e v="#N/A"/>
    <n v="0.98116083333333337"/>
    <n v="0.78492866666666672"/>
    <x v="0"/>
    <x v="504"/>
    <x v="1"/>
  </r>
  <r>
    <n v="1867"/>
    <s v="I"/>
    <n v="0.52"/>
    <n v="0.38500000000000001"/>
    <n v="0.115"/>
    <n v="0.58099999999999996"/>
    <n v="0.2555"/>
    <n v="0.156"/>
    <n v="0.14299999999999999"/>
    <n v="10"/>
    <n v="9"/>
    <s v="Danica"/>
    <s v="Tyler"/>
    <s v="University of Florida_x0009_"/>
    <n v="9"/>
    <x v="7"/>
    <n v="1.9"/>
    <s v="Category 2"/>
    <e v="#N/A"/>
    <s v="Yes"/>
    <e v="#N/A"/>
    <n v="0.97406916666666654"/>
    <n v="0.7792553333333333"/>
    <x v="0"/>
    <x v="505"/>
    <x v="1"/>
  </r>
  <r>
    <n v="1287"/>
    <s v="I"/>
    <n v="0.5"/>
    <n v="0.39500000000000002"/>
    <n v="0.14000000000000001"/>
    <n v="0.62150000000000005"/>
    <n v="0.29249999999999998"/>
    <n v="0.1205"/>
    <n v="0.19500000000000001"/>
    <n v="9"/>
    <n v="8"/>
    <s v="Kali"/>
    <s v="Metcalfe"/>
    <s v="Mote Marine Laboratory"/>
    <n v="3"/>
    <x v="9"/>
    <n v="3.6"/>
    <s v="Category 2"/>
    <e v="#N/A"/>
    <s v="Yes"/>
    <e v="#N/A"/>
    <n v="0.97140166666666661"/>
    <n v="0.77712133333333333"/>
    <x v="0"/>
    <x v="506"/>
    <x v="1"/>
  </r>
  <r>
    <n v="3281"/>
    <s v="M"/>
    <n v="0.69"/>
    <n v="0.54"/>
    <n v="0.185"/>
    <n v="1.6194999999999999"/>
    <n v="0.53300000000000003"/>
    <n v="0.35299999999999998"/>
    <n v="0.55500000000000005"/>
    <n v="24"/>
    <n v="5"/>
    <s v="Haniya"/>
    <s v="Talley"/>
    <s v="Prince William Sound Science Center"/>
    <n v="5"/>
    <x v="3"/>
    <n v="12.8"/>
    <s v="Category 2"/>
    <e v="#N/A"/>
    <s v="Yes"/>
    <e v="#N/A"/>
    <n v="1.0519679166666664"/>
    <n v="0.8415743333333332"/>
    <x v="0"/>
    <x v="507"/>
    <x v="1"/>
  </r>
  <r>
    <n v="1856"/>
    <s v="I"/>
    <n v="0.5"/>
    <n v="0.38"/>
    <n v="0.11"/>
    <n v="0.5605"/>
    <n v="0.28000000000000003"/>
    <n v="0.106"/>
    <n v="0.15"/>
    <n v="9"/>
    <n v="7"/>
    <s v="Iona"/>
    <s v="Connolly"/>
    <s v="Florida Atlantic University"/>
    <n v="10"/>
    <x v="5"/>
    <n v="24.1"/>
    <s v="Category 2"/>
    <e v="#N/A"/>
    <s v="Yes"/>
    <e v="#N/A"/>
    <n v="0.9662425"/>
    <n v="0.77299400000000007"/>
    <x v="0"/>
    <x v="508"/>
    <x v="1"/>
  </r>
  <r>
    <n v="198"/>
    <s v="M"/>
    <n v="0.64"/>
    <n v="0.5"/>
    <n v="0.185"/>
    <n v="1.3035000000000001"/>
    <n v="0.44450000000000001"/>
    <n v="0.26350000000000001"/>
    <n v="0.46500000000000002"/>
    <n v="16"/>
    <n v="6"/>
    <s v="Martin"/>
    <s v="Gaines"/>
    <s v="San Diego State University"/>
    <n v="6"/>
    <x v="8"/>
    <n v="14.1"/>
    <s v="Category 2"/>
    <e v="#N/A"/>
    <s v="Yes"/>
    <e v="#N/A"/>
    <n v="1.03329125"/>
    <n v="0.82663300000000006"/>
    <x v="0"/>
    <x v="509"/>
    <x v="1"/>
  </r>
  <r>
    <n v="1943"/>
    <s v="M"/>
    <n v="0.63"/>
    <n v="0.49"/>
    <n v="0.155"/>
    <n v="1.2524999999999999"/>
    <n v="0.63"/>
    <n v="0.246"/>
    <n v="0.28899999999999998"/>
    <n v="9"/>
    <n v="1"/>
    <s v="Jan"/>
    <s v="Odom"/>
    <s v="University of Houston"/>
    <n v="4"/>
    <x v="2"/>
    <n v="6.1"/>
    <s v="Category 3"/>
    <e v="#N/A"/>
    <e v="#N/A"/>
    <s v="Yes"/>
    <n v="1.0221895833333334"/>
    <n v="1.0221895833333334"/>
    <x v="0"/>
    <x v="0"/>
    <x v="292"/>
  </r>
  <r>
    <n v="2688"/>
    <s v="M"/>
    <n v="0.63"/>
    <n v="0.51"/>
    <n v="0.17499999999999999"/>
    <n v="1.3414999999999999"/>
    <n v="0.65749999999999997"/>
    <n v="0.26200000000000001"/>
    <n v="0.375"/>
    <n v="10"/>
    <n v="10"/>
    <s v="Hazel"/>
    <s v="Villa"/>
    <s v="University of Minnesota"/>
    <n v="8"/>
    <x v="4"/>
    <n v="12.3"/>
    <s v="Category 3"/>
    <e v="#N/A"/>
    <e v="#N/A"/>
    <s v="Yes"/>
    <n v="1.0296937500000001"/>
    <n v="1.0296937500000001"/>
    <x v="0"/>
    <x v="0"/>
    <x v="293"/>
  </r>
  <r>
    <n v="3482"/>
    <s v="I"/>
    <n v="0.46500000000000002"/>
    <n v="0.34499999999999997"/>
    <n v="0.105"/>
    <n v="0.40150000000000002"/>
    <n v="0.24199999999999999"/>
    <n v="3.4500000000000003E-2"/>
    <n v="0.109"/>
    <n v="6"/>
    <n v="2"/>
    <s v="Tiegan"/>
    <s v="Davie"/>
    <s v="University of California, Davis"/>
    <n v="2"/>
    <x v="1"/>
    <n v="18"/>
    <s v="Category 2"/>
    <e v="#N/A"/>
    <s v="Yes"/>
    <e v="#N/A"/>
    <n v="0.95025958333333327"/>
    <n v="0.76020766666666661"/>
    <x v="0"/>
    <x v="510"/>
    <x v="1"/>
  </r>
  <r>
    <n v="4110"/>
    <s v="M"/>
    <n v="0.48"/>
    <n v="0.36499999999999999"/>
    <n v="0.13"/>
    <n v="0.53049999999999997"/>
    <n v="0.24049999999999999"/>
    <n v="0.127"/>
    <n v="0.13900000000000001"/>
    <n v="8"/>
    <n v="2"/>
    <s v="Tiegan"/>
    <s v="Davie"/>
    <s v="University of California, Davis"/>
    <n v="4"/>
    <x v="2"/>
    <n v="6.1"/>
    <s v="Category 2"/>
    <e v="#N/A"/>
    <s v="Yes"/>
    <e v="#N/A"/>
    <n v="0.95779416666666661"/>
    <n v="0.76623533333333338"/>
    <x v="0"/>
    <x v="511"/>
    <x v="1"/>
  </r>
  <r>
    <n v="2773"/>
    <s v="M"/>
    <n v="0.57999999999999996"/>
    <n v="0.44"/>
    <n v="0.17499999999999999"/>
    <n v="1.2255"/>
    <n v="0.54049999999999998"/>
    <n v="0.27050000000000002"/>
    <n v="0.32650000000000001"/>
    <n v="10"/>
    <n v="14"/>
    <s v="Santiago"/>
    <s v="Vaughan"/>
    <s v="Ohio State University_x0009_"/>
    <n v="9"/>
    <x v="7"/>
    <n v="1.9"/>
    <s v="Category 3"/>
    <e v="#N/A"/>
    <e v="#N/A"/>
    <s v="Yes"/>
    <n v="0.99404375"/>
    <n v="0.99404375"/>
    <x v="0"/>
    <x v="0"/>
    <x v="294"/>
  </r>
  <r>
    <n v="3525"/>
    <s v="I"/>
    <n v="0.32"/>
    <n v="0.24"/>
    <n v="8.5000000000000006E-2"/>
    <n v="0.13100000000000001"/>
    <n v="6.1499999999999999E-2"/>
    <n v="2.6499999999999999E-2"/>
    <n v="3.7999999999999999E-2"/>
    <n v="6"/>
    <n v="10"/>
    <s v="Hazel"/>
    <s v="Villa"/>
    <s v="University of Minnesota"/>
    <n v="8"/>
    <x v="4"/>
    <n v="12.3"/>
    <s v="Category 2"/>
    <e v="#N/A"/>
    <s v="Yes"/>
    <e v="#N/A"/>
    <n v="0.87978916666666662"/>
    <n v="0.70383133333333336"/>
    <x v="0"/>
    <x v="512"/>
    <x v="1"/>
  </r>
  <r>
    <n v="927"/>
    <s v="I"/>
    <n v="0.43"/>
    <n v="0.32500000000000001"/>
    <n v="0.09"/>
    <n v="0.42499999999999999"/>
    <n v="0.217"/>
    <n v="8.6999999999999994E-2"/>
    <n v="9.5000000000000001E-2"/>
    <n v="7"/>
    <n v="2"/>
    <s v="Tiegan"/>
    <s v="Davie"/>
    <s v="University of California, Davis"/>
    <n v="9"/>
    <x v="7"/>
    <n v="1.9"/>
    <s v="Category 2"/>
    <e v="#N/A"/>
    <s v="Yes"/>
    <e v="#N/A"/>
    <n v="0.92970833333333336"/>
    <n v="0.74376666666666669"/>
    <x v="0"/>
    <x v="513"/>
    <x v="1"/>
  </r>
  <r>
    <n v="1293"/>
    <s v="I"/>
    <n v="0.51500000000000001"/>
    <n v="0.4"/>
    <n v="0.13500000000000001"/>
    <n v="0.69650000000000001"/>
    <n v="0.32"/>
    <n v="0.1255"/>
    <n v="0.17499999999999999"/>
    <n v="9"/>
    <n v="6"/>
    <s v="Martin"/>
    <s v="Gaines"/>
    <s v="San Diego State University"/>
    <n v="10"/>
    <x v="5"/>
    <n v="24.1"/>
    <s v="Category 2"/>
    <e v="#N/A"/>
    <s v="Yes"/>
    <e v="#N/A"/>
    <n v="0.97423791666666659"/>
    <n v="0.7793903333333333"/>
    <x v="0"/>
    <x v="514"/>
    <x v="1"/>
  </r>
  <r>
    <n v="4143"/>
    <s v="M"/>
    <n v="0.65500000000000003"/>
    <n v="0.52500000000000002"/>
    <n v="0.18"/>
    <n v="1.4019999999999999"/>
    <n v="0.624"/>
    <n v="0.29349999999999998"/>
    <n v="0.36499999999999999"/>
    <n v="13"/>
    <n v="7"/>
    <s v="Iona"/>
    <s v="Connolly"/>
    <s v="Florida Atlantic University"/>
    <n v="3"/>
    <x v="9"/>
    <n v="3.6"/>
    <s v="Category 3"/>
    <e v="#N/A"/>
    <e v="#N/A"/>
    <s v="Yes"/>
    <n v="1.0419266666666669"/>
    <n v="1.0419266666666669"/>
    <x v="0"/>
    <x v="0"/>
    <x v="295"/>
  </r>
  <r>
    <n v="3529"/>
    <s v="I"/>
    <n v="0.35"/>
    <n v="0.26500000000000001"/>
    <n v="8.5000000000000006E-2"/>
    <n v="0.17349999999999999"/>
    <n v="7.7499999999999999E-2"/>
    <n v="3.4000000000000002E-2"/>
    <n v="5.6000000000000001E-2"/>
    <n v="6"/>
    <n v="9"/>
    <s v="Danica"/>
    <s v="Tyler"/>
    <s v="University of Florida_x0009_"/>
    <n v="10"/>
    <x v="5"/>
    <n v="24.1"/>
    <s v="Category 2"/>
    <e v="#N/A"/>
    <s v="Yes"/>
    <e v="#N/A"/>
    <n v="0.89589124999999992"/>
    <n v="0.71671299999999993"/>
    <x v="0"/>
    <x v="515"/>
    <x v="1"/>
  </r>
  <r>
    <n v="3992"/>
    <s v="M"/>
    <n v="0.68500000000000005"/>
    <n v="0.51"/>
    <n v="0.18"/>
    <n v="1.4544999999999999"/>
    <n v="0.63149999999999995"/>
    <n v="0.3105"/>
    <n v="0.3725"/>
    <n v="9"/>
    <n v="2"/>
    <s v="Tiegan"/>
    <s v="Davie"/>
    <s v="University of California, Davis"/>
    <n v="2"/>
    <x v="1"/>
    <n v="18"/>
    <s v="Category 3"/>
    <e v="#N/A"/>
    <e v="#N/A"/>
    <s v="Yes"/>
    <n v="1.0450016666666668"/>
    <n v="1.0450016666666668"/>
    <x v="0"/>
    <x v="0"/>
    <x v="296"/>
  </r>
  <r>
    <n v="967"/>
    <s v="I"/>
    <n v="0.51"/>
    <n v="0.375"/>
    <n v="0.1"/>
    <n v="0.57850000000000001"/>
    <n v="0.23799999999999999"/>
    <n v="0.1225"/>
    <n v="0.17499999999999999"/>
    <n v="7"/>
    <n v="11"/>
    <s v="Naima"/>
    <s v="Reyes"/>
    <s v="University of Houston"/>
    <n v="7"/>
    <x v="6"/>
    <n v="2.5"/>
    <s v="Category 2"/>
    <e v="#N/A"/>
    <s v="Yes"/>
    <e v="#N/A"/>
    <n v="0.96607500000000013"/>
    <n v="0.7728600000000001"/>
    <x v="0"/>
    <x v="516"/>
    <x v="1"/>
  </r>
  <r>
    <n v="592"/>
    <s v="F"/>
    <n v="0.37"/>
    <n v="0.28999999999999998"/>
    <n v="0.115"/>
    <n v="0.25"/>
    <n v="0.111"/>
    <n v="5.7000000000000002E-2"/>
    <n v="7.4999999999999997E-2"/>
    <n v="9"/>
    <n v="2"/>
    <s v="Tiegan"/>
    <s v="Davie"/>
    <s v="University of California, Davis"/>
    <n v="7"/>
    <x v="6"/>
    <n v="2.5"/>
    <s v="Category 2"/>
    <e v="#N/A"/>
    <s v="Yes"/>
    <e v="#N/A"/>
    <n v="0.90812499999999996"/>
    <n v="0.72650000000000003"/>
    <x v="0"/>
    <x v="517"/>
    <x v="1"/>
  </r>
  <r>
    <n v="4168"/>
    <s v="M"/>
    <n v="0.5"/>
    <n v="0.38"/>
    <n v="0.125"/>
    <n v="0.57699999999999996"/>
    <n v="0.26900000000000002"/>
    <n v="0.1265"/>
    <n v="0.1535"/>
    <n v="9"/>
    <n v="7"/>
    <s v="Iona"/>
    <s v="Connolly"/>
    <s v="Florida Atlantic University"/>
    <n v="3"/>
    <x v="9"/>
    <n v="3.6"/>
    <s v="Category 2"/>
    <e v="#N/A"/>
    <s v="Yes"/>
    <e v="#N/A"/>
    <n v="0.9668874999999999"/>
    <n v="0.77350999999999992"/>
    <x v="0"/>
    <x v="518"/>
    <x v="1"/>
  </r>
  <r>
    <n v="2692"/>
    <s v="F"/>
    <n v="0.64500000000000002"/>
    <n v="0.52"/>
    <n v="0.18"/>
    <n v="1.2849999999999999"/>
    <n v="0.57750000000000001"/>
    <n v="0.35199999999999998"/>
    <n v="0.317"/>
    <n v="9"/>
    <n v="10"/>
    <s v="Hazel"/>
    <s v="Villa"/>
    <s v="University of Minnesota"/>
    <n v="5"/>
    <x v="3"/>
    <n v="12.8"/>
    <s v="Category 3"/>
    <e v="#N/A"/>
    <e v="#N/A"/>
    <s v="Yes"/>
    <n v="1.0412166666666667"/>
    <n v="1.0412166666666667"/>
    <x v="0"/>
    <x v="0"/>
    <x v="297"/>
  </r>
  <r>
    <n v="467"/>
    <s v="F"/>
    <n v="0.67"/>
    <n v="0.55000000000000004"/>
    <n v="0.19"/>
    <n v="1.3905000000000001"/>
    <n v="0.54249999999999998"/>
    <n v="0.30349999999999999"/>
    <n v="0.4"/>
    <n v="12"/>
    <n v="14"/>
    <s v="Santiago"/>
    <s v="Vaughan"/>
    <s v="Ohio State University_x0009_"/>
    <n v="4"/>
    <x v="2"/>
    <n v="6.1"/>
    <s v="Category 3"/>
    <e v="#N/A"/>
    <e v="#N/A"/>
    <s v="Yes"/>
    <n v="1.0579991666666666"/>
    <n v="1.0579991666666666"/>
    <x v="0"/>
    <x v="0"/>
    <x v="298"/>
  </r>
  <r>
    <n v="3047"/>
    <s v="M"/>
    <n v="0.58499999999999996"/>
    <n v="0.45"/>
    <n v="0.17499999999999999"/>
    <n v="1.1274999999999999"/>
    <n v="0.49249999999999999"/>
    <n v="0.26200000000000001"/>
    <n v="0.33500000000000002"/>
    <n v="11"/>
    <n v="13"/>
    <s v="Betty"/>
    <s v="Berg"/>
    <s v="University of Houston"/>
    <n v="10"/>
    <x v="5"/>
    <n v="24.1"/>
    <s v="Category 3"/>
    <e v="#N/A"/>
    <e v="#N/A"/>
    <s v="Yes"/>
    <n v="1.0027187499999999"/>
    <n v="1.0027187499999999"/>
    <x v="0"/>
    <x v="0"/>
    <x v="299"/>
  </r>
  <r>
    <n v="3110"/>
    <s v="I"/>
    <n v="0.38"/>
    <n v="0.28999999999999998"/>
    <n v="8.5000000000000006E-2"/>
    <n v="0.22850000000000001"/>
    <n v="8.7999999999999995E-2"/>
    <n v="4.65E-2"/>
    <n v="7.4999999999999997E-2"/>
    <n v="7"/>
    <n v="14"/>
    <s v="Santiago"/>
    <s v="Vaughan"/>
    <s v="Ohio State University_x0009_"/>
    <n v="8"/>
    <x v="4"/>
    <n v="12.3"/>
    <s v="Category 2"/>
    <e v="#N/A"/>
    <s v="Yes"/>
    <e v="#N/A"/>
    <n v="0.9113370833333333"/>
    <n v="0.72906966666666673"/>
    <x v="0"/>
    <x v="519"/>
    <x v="1"/>
  </r>
  <r>
    <n v="1643"/>
    <s v="M"/>
    <n v="0.57499999999999996"/>
    <n v="0.44"/>
    <n v="0.16"/>
    <n v="0.96150000000000002"/>
    <n v="0.48299999999999998"/>
    <n v="0.16600000000000001"/>
    <n v="0.27500000000000002"/>
    <n v="13"/>
    <n v="2"/>
    <s v="Tiegan"/>
    <s v="Davie"/>
    <s v="University of California, Davis"/>
    <n v="4"/>
    <x v="2"/>
    <n v="6.1"/>
    <s v="Category 3"/>
    <e v="#N/A"/>
    <e v="#N/A"/>
    <s v="Yes"/>
    <n v="0.99987333333333328"/>
    <n v="0.99987333333333328"/>
    <x v="0"/>
    <x v="0"/>
    <x v="300"/>
  </r>
  <r>
    <n v="288"/>
    <s v="F"/>
    <n v="0.495"/>
    <n v="0.4"/>
    <n v="0.155"/>
    <n v="0.64449999999999996"/>
    <n v="0.24199999999999999"/>
    <n v="0.13250000000000001"/>
    <n v="0.20499999999999999"/>
    <n v="17"/>
    <n v="8"/>
    <s v="Kali"/>
    <s v="Metcalfe"/>
    <s v="Mote Marine Laboratory"/>
    <n v="4"/>
    <x v="2"/>
    <n v="6.1"/>
    <s v="Category 2"/>
    <e v="#N/A"/>
    <s v="Yes"/>
    <e v="#N/A"/>
    <n v="0.97201624999999992"/>
    <n v="0.777613"/>
    <x v="0"/>
    <x v="520"/>
    <x v="1"/>
  </r>
  <r>
    <n v="188"/>
    <s v="F"/>
    <n v="0.63"/>
    <n v="0.5"/>
    <n v="0.185"/>
    <n v="1.383"/>
    <n v="0.54"/>
    <n v="0.33150000000000002"/>
    <n v="0.38"/>
    <n v="10"/>
    <n v="14"/>
    <s v="Santiago"/>
    <s v="Vaughan"/>
    <s v="Ohio State University_x0009_"/>
    <n v="5"/>
    <x v="3"/>
    <n v="12.8"/>
    <s v="Category 3"/>
    <e v="#N/A"/>
    <e v="#N/A"/>
    <s v="Yes"/>
    <n v="1.0271091666666667"/>
    <n v="1.0271091666666667"/>
    <x v="0"/>
    <x v="0"/>
    <x v="301"/>
  </r>
  <r>
    <n v="2462"/>
    <s v="F"/>
    <n v="0.5"/>
    <n v="0.38500000000000001"/>
    <n v="0.13"/>
    <n v="0.76800000000000002"/>
    <n v="0.26250000000000001"/>
    <n v="9.5000000000000001E-2"/>
    <n v="0.27"/>
    <n v="13"/>
    <n v="6"/>
    <s v="Martin"/>
    <s v="Gaines"/>
    <s v="San Diego State University"/>
    <n v="6"/>
    <x v="8"/>
    <n v="14.1"/>
    <s v="Category 2"/>
    <e v="#N/A"/>
    <s v="Yes"/>
    <e v="#N/A"/>
    <n v="0.96043999999999996"/>
    <n v="0.76835200000000003"/>
    <x v="0"/>
    <x v="521"/>
    <x v="1"/>
  </r>
  <r>
    <n v="1591"/>
    <s v="I"/>
    <n v="0.52"/>
    <n v="0.39"/>
    <n v="0.13"/>
    <n v="0.55449999999999999"/>
    <n v="0.23549999999999999"/>
    <n v="0.1095"/>
    <n v="0.1895"/>
    <n v="7"/>
    <n v="12"/>
    <s v="Rebecca"/>
    <s v="Bennett"/>
    <s v="University of Houston"/>
    <n v="6"/>
    <x v="8"/>
    <n v="14.1"/>
    <s v="Category 2"/>
    <e v="#N/A"/>
    <s v="Yes"/>
    <e v="#N/A"/>
    <n v="0.97838083333333314"/>
    <n v="0.7827046666666666"/>
    <x v="0"/>
    <x v="522"/>
    <x v="1"/>
  </r>
  <r>
    <n v="938"/>
    <s v="I"/>
    <n v="0.45500000000000002"/>
    <n v="0.35499999999999998"/>
    <n v="0.125"/>
    <n v="0.53249999999999997"/>
    <n v="0.22500000000000001"/>
    <n v="0.126"/>
    <n v="0.14649999999999999"/>
    <n v="7"/>
    <n v="14"/>
    <s v="Santiago"/>
    <s v="Vaughan"/>
    <s v="Ohio State University_x0009_"/>
    <n v="6"/>
    <x v="8"/>
    <n v="14.1"/>
    <s v="Category 2"/>
    <e v="#N/A"/>
    <s v="Yes"/>
    <e v="#N/A"/>
    <n v="0.94559375000000001"/>
    <n v="0.75647500000000001"/>
    <x v="0"/>
    <x v="523"/>
    <x v="1"/>
  </r>
  <r>
    <n v="2063"/>
    <s v="M"/>
    <n v="0.505"/>
    <n v="0.38500000000000001"/>
    <n v="0.13"/>
    <n v="0.64349999999999996"/>
    <n v="0.3135"/>
    <n v="0.14899999999999999"/>
    <n v="0.1515"/>
    <n v="7"/>
    <n v="6"/>
    <s v="Martin"/>
    <s v="Gaines"/>
    <s v="San Diego State University"/>
    <n v="7"/>
    <x v="6"/>
    <n v="2.5"/>
    <s v="Category 2"/>
    <e v="#N/A"/>
    <s v="Yes"/>
    <e v="#N/A"/>
    <n v="0.96770916666666673"/>
    <n v="0.77416733333333343"/>
    <x v="0"/>
    <x v="524"/>
    <x v="1"/>
  </r>
  <r>
    <n v="381"/>
    <s v="M"/>
    <n v="0.60499999999999998"/>
    <n v="0.47"/>
    <n v="0.18"/>
    <n v="1.1405000000000001"/>
    <n v="0.3755"/>
    <n v="0.28050000000000003"/>
    <n v="0.38500000000000001"/>
    <n v="15"/>
    <n v="6"/>
    <s v="Martin"/>
    <s v="Gaines"/>
    <s v="San Diego State University"/>
    <n v="9"/>
    <x v="7"/>
    <n v="1.9"/>
    <s v="Category 2"/>
    <e v="#N/A"/>
    <s v="Yes"/>
    <e v="#N/A"/>
    <n v="1.0165149999999998"/>
    <n v="0.81321199999999993"/>
    <x v="0"/>
    <x v="525"/>
    <x v="1"/>
  </r>
  <r>
    <n v="3204"/>
    <s v="F"/>
    <n v="0.63500000000000001"/>
    <n v="0.505"/>
    <n v="0.185"/>
    <n v="1.3035000000000001"/>
    <n v="0.501"/>
    <n v="0.29499999999999998"/>
    <n v="0.41"/>
    <n v="17"/>
    <n v="5"/>
    <s v="Haniya"/>
    <s v="Talley"/>
    <s v="Prince William Sound Science Center"/>
    <n v="4"/>
    <x v="2"/>
    <n v="6.1"/>
    <s v="Category 3"/>
    <e v="#N/A"/>
    <e v="#N/A"/>
    <s v="Yes"/>
    <n v="1.0332912499999998"/>
    <n v="1.0332912499999998"/>
    <x v="0"/>
    <x v="0"/>
    <x v="302"/>
  </r>
  <r>
    <n v="394"/>
    <s v="I"/>
    <n v="0.36499999999999999"/>
    <n v="0.29499999999999998"/>
    <n v="9.5000000000000001E-2"/>
    <n v="0.25"/>
    <n v="0.1075"/>
    <n v="5.45E-2"/>
    <n v="0.08"/>
    <n v="9"/>
    <n v="2"/>
    <s v="Tiegan"/>
    <s v="Davie"/>
    <s v="University of California, Davis"/>
    <n v="8"/>
    <x v="4"/>
    <n v="12.3"/>
    <s v="Category 2"/>
    <e v="#N/A"/>
    <s v="Yes"/>
    <e v="#N/A"/>
    <n v="0.90729166666666661"/>
    <n v="0.72583333333333333"/>
    <x v="0"/>
    <x v="526"/>
    <x v="1"/>
  </r>
  <r>
    <n v="4166"/>
    <s v="I"/>
    <n v="0.40500000000000003"/>
    <n v="0.3"/>
    <n v="8.5000000000000006E-2"/>
    <n v="0.30349999999999999"/>
    <n v="0.15"/>
    <n v="5.0500000000000003E-2"/>
    <n v="8.7999999999999995E-2"/>
    <n v="7"/>
    <n v="15"/>
    <s v="Conan"/>
    <s v="Dalton"/>
    <s v="University of Houston"/>
    <n v="3"/>
    <x v="9"/>
    <n v="3.6"/>
    <s v="Category 2"/>
    <e v="#N/A"/>
    <s v="Yes"/>
    <e v="#N/A"/>
    <n v="0.91906625000000008"/>
    <n v="0.73525300000000016"/>
    <x v="0"/>
    <x v="527"/>
    <x v="1"/>
  </r>
  <r>
    <n v="2663"/>
    <s v="F"/>
    <n v="0.56999999999999995"/>
    <n v="0.45"/>
    <n v="0.18"/>
    <n v="0.90800000000000003"/>
    <n v="0.40150000000000002"/>
    <n v="0.217"/>
    <n v="0.255"/>
    <n v="9"/>
    <n v="1"/>
    <s v="Jan"/>
    <s v="Odom"/>
    <s v="University of Houston"/>
    <n v="3"/>
    <x v="9"/>
    <n v="3.6"/>
    <s v="Category 3"/>
    <e v="#N/A"/>
    <e v="#N/A"/>
    <s v="Yes"/>
    <n v="1.0067066666666666"/>
    <n v="1.0067066666666666"/>
    <x v="0"/>
    <x v="0"/>
    <x v="303"/>
  </r>
  <r>
    <n v="2303"/>
    <s v="M"/>
    <n v="0.46"/>
    <n v="0.375"/>
    <n v="0.13"/>
    <n v="0.57350000000000001"/>
    <n v="0.2505"/>
    <n v="0.11899999999999999"/>
    <n v="0.19500000000000001"/>
    <n v="9"/>
    <n v="6"/>
    <s v="Martin"/>
    <s v="Gaines"/>
    <s v="San Diego State University"/>
    <n v="2"/>
    <x v="1"/>
    <n v="18"/>
    <s v="Category 2"/>
    <e v="#N/A"/>
    <s v="Yes"/>
    <e v="#N/A"/>
    <n v="0.9525258333333334"/>
    <n v="0.76202066666666679"/>
    <x v="0"/>
    <x v="528"/>
    <x v="1"/>
  </r>
  <r>
    <n v="1023"/>
    <s v="F"/>
    <n v="0.64"/>
    <n v="0.5"/>
    <n v="0.17"/>
    <n v="1.5175000000000001"/>
    <n v="0.69299999999999995"/>
    <n v="0.32600000000000001"/>
    <n v="0.40899999999999997"/>
    <n v="11"/>
    <n v="15"/>
    <s v="Conan"/>
    <s v="Dalton"/>
    <s v="University of Houston"/>
    <n v="1"/>
    <x v="0"/>
    <n v="22.1"/>
    <s v="Category 3"/>
    <e v="#N/A"/>
    <e v="#N/A"/>
    <s v="Yes"/>
    <n v="1.0218291666666668"/>
    <n v="1.0218291666666668"/>
    <x v="0"/>
    <x v="0"/>
    <x v="304"/>
  </r>
  <r>
    <n v="3825"/>
    <s v="M"/>
    <n v="0.62"/>
    <n v="0.46"/>
    <n v="0.17"/>
    <n v="1.127"/>
    <n v="0.53500000000000003"/>
    <n v="0.26350000000000001"/>
    <n v="0.29599999999999999"/>
    <n v="7"/>
    <n v="12"/>
    <s v="Rebecca"/>
    <s v="Bennett"/>
    <s v="University of Houston"/>
    <n v="7"/>
    <x v="6"/>
    <n v="2.5"/>
    <s v="Category 3"/>
    <e v="#N/A"/>
    <e v="#N/A"/>
    <s v="Yes"/>
    <n v="1.0167983333333335"/>
    <n v="1.0167983333333335"/>
    <x v="0"/>
    <x v="0"/>
    <x v="305"/>
  </r>
  <r>
    <n v="925"/>
    <s v="I"/>
    <n v="0.42499999999999999"/>
    <n v="0.315"/>
    <n v="0.1"/>
    <n v="0.377"/>
    <n v="0.16450000000000001"/>
    <n v="7.1999999999999995E-2"/>
    <n v="0.105"/>
    <n v="6"/>
    <n v="8"/>
    <s v="Kali"/>
    <s v="Metcalfe"/>
    <s v="Mote Marine Laboratory"/>
    <n v="10"/>
    <x v="5"/>
    <n v="24.1"/>
    <s v="Category 2"/>
    <e v="#N/A"/>
    <s v="Yes"/>
    <e v="#N/A"/>
    <n v="0.92781666666666662"/>
    <n v="0.74225333333333332"/>
    <x v="0"/>
    <x v="529"/>
    <x v="1"/>
  </r>
  <r>
    <n v="2365"/>
    <s v="F"/>
    <n v="0.6"/>
    <n v="0.47"/>
    <n v="0.2"/>
    <n v="1.0309999999999999"/>
    <n v="0.39200000000000002"/>
    <n v="0.20349999999999999"/>
    <n v="0.28999999999999998"/>
    <n v="15"/>
    <n v="14"/>
    <s v="Santiago"/>
    <s v="Vaughan"/>
    <s v="Ohio State University_x0009_"/>
    <n v="10"/>
    <x v="5"/>
    <n v="24.1"/>
    <s v="Category 2"/>
    <e v="#N/A"/>
    <s v="Yes"/>
    <e v="#N/A"/>
    <n v="1.0223"/>
    <n v="0.81784000000000001"/>
    <x v="0"/>
    <x v="530"/>
    <x v="1"/>
  </r>
  <r>
    <n v="2094"/>
    <s v="F"/>
    <n v="0.505"/>
    <n v="0.38500000000000001"/>
    <n v="0.115"/>
    <n v="0.61599999999999999"/>
    <n v="0.24299999999999999"/>
    <n v="0.1075"/>
    <n v="0.21"/>
    <n v="11"/>
    <n v="12"/>
    <s v="Rebecca"/>
    <s v="Bennett"/>
    <s v="University of Houston"/>
    <n v="4"/>
    <x v="2"/>
    <n v="6.1"/>
    <s v="Category 2"/>
    <e v="#N/A"/>
    <s v="Yes"/>
    <e v="#N/A"/>
    <n v="0.96740666666666675"/>
    <n v="0.77392533333333347"/>
    <x v="0"/>
    <x v="531"/>
    <x v="1"/>
  </r>
  <r>
    <n v="2150"/>
    <s v="M"/>
    <n v="0.27"/>
    <n v="0.19500000000000001"/>
    <n v="7.0000000000000007E-2"/>
    <n v="0.106"/>
    <n v="4.65E-2"/>
    <n v="1.7999999999999999E-2"/>
    <n v="3.5999999999999997E-2"/>
    <n v="7"/>
    <n v="3"/>
    <s v="Inaya"/>
    <s v="Bernard"/>
    <s v="Stanford University"/>
    <n v="5"/>
    <x v="3"/>
    <n v="12.8"/>
    <s v="Category 2"/>
    <e v="#N/A"/>
    <s v="Yes"/>
    <e v="#N/A"/>
    <n v="0.84916999999999998"/>
    <n v="0.67933600000000005"/>
    <x v="0"/>
    <x v="532"/>
    <x v="1"/>
  </r>
  <r>
    <n v="3667"/>
    <s v="I"/>
    <n v="0.57499999999999996"/>
    <n v="0.44"/>
    <n v="0.15"/>
    <n v="0.98299999999999998"/>
    <n v="0.48599999999999999"/>
    <n v="0.215"/>
    <n v="0.23899999999999999"/>
    <n v="8"/>
    <n v="1"/>
    <s v="Jan"/>
    <s v="Odom"/>
    <s v="University of Houston"/>
    <n v="9"/>
    <x v="7"/>
    <n v="1.9"/>
    <s v="Category 3"/>
    <e v="#N/A"/>
    <e v="#N/A"/>
    <s v="Yes"/>
    <n v="0.99737500000000001"/>
    <n v="0.99737500000000001"/>
    <x v="0"/>
    <x v="0"/>
    <x v="306"/>
  </r>
  <r>
    <n v="3430"/>
    <s v="I"/>
    <n v="0.28000000000000003"/>
    <n v="0.21"/>
    <n v="6.5000000000000002E-2"/>
    <n v="0.111"/>
    <n v="4.2500000000000003E-2"/>
    <n v="2.8500000000000001E-2"/>
    <n v="0.03"/>
    <n v="6"/>
    <n v="14"/>
    <s v="Santiago"/>
    <s v="Vaughan"/>
    <s v="Ohio State University_x0009_"/>
    <n v="1"/>
    <x v="0"/>
    <n v="22.1"/>
    <s v="Category 2"/>
    <e v="#N/A"/>
    <s v="Yes"/>
    <e v="#N/A"/>
    <n v="0.85713583333333332"/>
    <n v="0.68570866666666674"/>
    <x v="0"/>
    <x v="533"/>
    <x v="1"/>
  </r>
  <r>
    <n v="3715"/>
    <s v="F"/>
    <n v="0.72499999999999998"/>
    <n v="0.56000000000000005"/>
    <n v="0.185"/>
    <n v="1.792"/>
    <n v="0.873"/>
    <n v="0.36699999999999999"/>
    <n v="0.435"/>
    <n v="11"/>
    <n v="5"/>
    <s v="Haniya"/>
    <s v="Talley"/>
    <s v="Prince William Sound Science Center"/>
    <n v="3"/>
    <x v="9"/>
    <n v="3.6"/>
    <s v="Category 3"/>
    <e v="#N/A"/>
    <e v="#N/A"/>
    <s v="Yes"/>
    <n v="1.06412"/>
    <n v="1.06412"/>
    <x v="0"/>
    <x v="0"/>
    <x v="307"/>
  </r>
  <r>
    <n v="2179"/>
    <s v="F"/>
    <n v="0.59499999999999997"/>
    <n v="0.48"/>
    <n v="0.2"/>
    <n v="0.97499999999999998"/>
    <n v="0.35799999999999998"/>
    <n v="0.20349999999999999"/>
    <n v="0.34"/>
    <n v="15"/>
    <n v="13"/>
    <s v="Betty"/>
    <s v="Berg"/>
    <s v="University of Houston"/>
    <n v="5"/>
    <x v="3"/>
    <n v="12.8"/>
    <s v="Category 2"/>
    <e v="#N/A"/>
    <s v="Yes"/>
    <e v="#N/A"/>
    <n v="1.0258333333333334"/>
    <n v="0.82066666666666677"/>
    <x v="0"/>
    <x v="534"/>
    <x v="1"/>
  </r>
  <r>
    <n v="3609"/>
    <s v="M"/>
    <n v="0.54500000000000004"/>
    <n v="0.43"/>
    <n v="0.155"/>
    <n v="0.80349999999999999"/>
    <n v="0.40899999999999997"/>
    <n v="0.14399999999999999"/>
    <n v="0.22800000000000001"/>
    <n v="7"/>
    <n v="2"/>
    <s v="Tiegan"/>
    <s v="Davie"/>
    <s v="University of California, Davis"/>
    <n v="3"/>
    <x v="9"/>
    <n v="3.6"/>
    <s v="Category 3"/>
    <e v="#N/A"/>
    <e v="#N/A"/>
    <s v="Yes"/>
    <n v="0.99219041666666685"/>
    <n v="0.99219041666666685"/>
    <x v="0"/>
    <x v="0"/>
    <x v="308"/>
  </r>
  <r>
    <n v="769"/>
    <s v="F"/>
    <n v="0.55000000000000004"/>
    <n v="0.43"/>
    <n v="0.155"/>
    <n v="0.78500000000000003"/>
    <n v="0.28899999999999998"/>
    <n v="0.22700000000000001"/>
    <n v="0.23300000000000001"/>
    <n v="11"/>
    <n v="3"/>
    <s v="Inaya"/>
    <s v="Bernard"/>
    <s v="Stanford University"/>
    <n v="3"/>
    <x v="9"/>
    <n v="3.6"/>
    <s v="Category 2"/>
    <e v="#N/A"/>
    <s v="Yes"/>
    <e v="#N/A"/>
    <n v="0.9946124999999999"/>
    <n v="0.79569000000000001"/>
    <x v="0"/>
    <x v="535"/>
    <x v="1"/>
  </r>
  <r>
    <n v="4092"/>
    <s v="M"/>
    <n v="0.625"/>
    <n v="0.5"/>
    <n v="0.18"/>
    <n v="1.3705000000000001"/>
    <n v="0.64500000000000002"/>
    <n v="0.30299999999999999"/>
    <n v="0.3705"/>
    <n v="12"/>
    <n v="2"/>
    <s v="Tiegan"/>
    <s v="Davie"/>
    <s v="University of California, Davis"/>
    <n v="8"/>
    <x v="4"/>
    <n v="12.3"/>
    <s v="Category 3"/>
    <e v="#N/A"/>
    <e v="#N/A"/>
    <s v="Yes"/>
    <n v="1.0247483333333336"/>
    <n v="1.0247483333333336"/>
    <x v="0"/>
    <x v="0"/>
    <x v="309"/>
  </r>
  <r>
    <n v="1946"/>
    <s v="F"/>
    <n v="0.63500000000000001"/>
    <n v="0.505"/>
    <n v="0.155"/>
    <n v="1.2895000000000001"/>
    <n v="0.59399999999999997"/>
    <n v="0.314"/>
    <n v="0.34499999999999997"/>
    <n v="11"/>
    <n v="10"/>
    <s v="Hazel"/>
    <s v="Villa"/>
    <s v="University of Minnesota"/>
    <n v="5"/>
    <x v="3"/>
    <n v="12.8"/>
    <s v="Category 3"/>
    <e v="#N/A"/>
    <e v="#N/A"/>
    <s v="Yes"/>
    <n v="1.0273454166666665"/>
    <n v="1.0273454166666665"/>
    <x v="0"/>
    <x v="0"/>
    <x v="310"/>
  </r>
  <r>
    <n v="4121"/>
    <s v="M"/>
    <n v="0.35"/>
    <n v="0.26500000000000001"/>
    <n v="0.09"/>
    <n v="0.19700000000000001"/>
    <n v="7.2999999999999995E-2"/>
    <n v="3.6499999999999998E-2"/>
    <n v="7.6999999999999999E-2"/>
    <n v="7"/>
    <n v="2"/>
    <s v="Tiegan"/>
    <s v="Davie"/>
    <s v="University of California, Davis"/>
    <n v="10"/>
    <x v="5"/>
    <n v="24.1"/>
    <s v="Category 2"/>
    <e v="#N/A"/>
    <s v="Yes"/>
    <e v="#N/A"/>
    <n v="0.89482166666666663"/>
    <n v="0.71585733333333335"/>
    <x v="0"/>
    <x v="536"/>
    <x v="1"/>
  </r>
  <r>
    <n v="939"/>
    <s v="I"/>
    <n v="0.45500000000000002"/>
    <n v="0.375"/>
    <n v="0.12"/>
    <n v="0.497"/>
    <n v="0.23549999999999999"/>
    <n v="0.1055"/>
    <n v="0.1295"/>
    <n v="6"/>
    <n v="10"/>
    <s v="Hazel"/>
    <s v="Villa"/>
    <s v="University of Minnesota"/>
    <n v="4"/>
    <x v="2"/>
    <n v="6.1"/>
    <s v="Category 2"/>
    <e v="#N/A"/>
    <s v="Yes"/>
    <e v="#N/A"/>
    <n v="0.95347333333333339"/>
    <n v="0.76277866666666672"/>
    <x v="0"/>
    <x v="537"/>
    <x v="1"/>
  </r>
  <r>
    <n v="2933"/>
    <s v="M"/>
    <n v="0.61499999999999999"/>
    <n v="0.45500000000000002"/>
    <n v="0.15"/>
    <n v="0.9335"/>
    <n v="0.38200000000000001"/>
    <n v="0.247"/>
    <n v="0.26150000000000001"/>
    <n v="10"/>
    <n v="8"/>
    <s v="Kali"/>
    <s v="Metcalfe"/>
    <s v="Mote Marine Laboratory"/>
    <n v="10"/>
    <x v="5"/>
    <n v="24.1"/>
    <s v="Category 2"/>
    <e v="#N/A"/>
    <s v="Yes"/>
    <e v="#N/A"/>
    <n v="1.0177708333333333"/>
    <n v="0.8142166666666667"/>
    <x v="0"/>
    <x v="538"/>
    <x v="1"/>
  </r>
  <r>
    <n v="2260"/>
    <s v="F"/>
    <n v="0.59"/>
    <n v="0.46500000000000002"/>
    <n v="0.16"/>
    <n v="1.1005"/>
    <n v="0.50600000000000001"/>
    <n v="0.2525"/>
    <n v="0.29499999999999998"/>
    <n v="13"/>
    <n v="15"/>
    <s v="Conan"/>
    <s v="Dalton"/>
    <s v="University of Houston"/>
    <n v="5"/>
    <x v="3"/>
    <n v="12.8"/>
    <s v="Category 3"/>
    <e v="#N/A"/>
    <e v="#N/A"/>
    <s v="Yes"/>
    <n v="1.0076466666666668"/>
    <n v="1.0076466666666668"/>
    <x v="0"/>
    <x v="0"/>
    <x v="311"/>
  </r>
  <r>
    <n v="147"/>
    <s v="M"/>
    <n v="0.46"/>
    <n v="0.35"/>
    <n v="0.12"/>
    <n v="0.51500000000000001"/>
    <n v="0.224"/>
    <n v="0.108"/>
    <n v="0.1565"/>
    <n v="10"/>
    <n v="1"/>
    <s v="Jan"/>
    <s v="Odom"/>
    <s v="University of Houston"/>
    <n v="6"/>
    <x v="8"/>
    <n v="14.1"/>
    <s v="Category 2"/>
    <e v="#N/A"/>
    <s v="Yes"/>
    <e v="#N/A"/>
    <n v="0.94596666666666662"/>
    <n v="0.7567733333333333"/>
    <x v="0"/>
    <x v="539"/>
    <x v="1"/>
  </r>
  <r>
    <n v="1110"/>
    <s v="M"/>
    <n v="0.52"/>
    <n v="0.4"/>
    <n v="0.14499999999999999"/>
    <n v="0.77649999999999997"/>
    <n v="0.35249999999999998"/>
    <n v="0.1845"/>
    <n v="0.185"/>
    <n v="9"/>
    <n v="4"/>
    <s v="Nate"/>
    <s v="Craig"/>
    <s v="NOAA Fisheries"/>
    <n v="5"/>
    <x v="3"/>
    <n v="12.8"/>
    <s v="Category 2"/>
    <e v="#N/A"/>
    <s v="Yes"/>
    <e v="#N/A"/>
    <n v="0.97366541666666662"/>
    <n v="0.77893233333333334"/>
    <x v="0"/>
    <x v="540"/>
    <x v="1"/>
  </r>
  <r>
    <n v="1289"/>
    <s v="I"/>
    <n v="0.505"/>
    <n v="0.38"/>
    <n v="0.12"/>
    <n v="0.59399999999999997"/>
    <n v="0.25950000000000001"/>
    <n v="0.14349999999999999"/>
    <n v="0.18"/>
    <n v="7"/>
    <n v="2"/>
    <s v="Tiegan"/>
    <s v="Davie"/>
    <s v="University of California, Davis"/>
    <n v="7"/>
    <x v="6"/>
    <n v="2.5"/>
    <s v="Category 2"/>
    <e v="#N/A"/>
    <s v="Yes"/>
    <e v="#N/A"/>
    <n v="0.96728000000000003"/>
    <n v="0.77382400000000007"/>
    <x v="0"/>
    <x v="541"/>
    <x v="1"/>
  </r>
  <r>
    <n v="447"/>
    <s v="M"/>
    <n v="0.56499999999999995"/>
    <n v="0.435"/>
    <n v="0.185"/>
    <n v="0.98150000000000004"/>
    <n v="0.32900000000000001"/>
    <n v="0.13600000000000001"/>
    <n v="0.39"/>
    <n v="13"/>
    <n v="4"/>
    <s v="Nate"/>
    <s v="Craig"/>
    <s v="NOAA Fisheries"/>
    <n v="5"/>
    <x v="3"/>
    <n v="12.8"/>
    <s v="Category 2"/>
    <e v="#N/A"/>
    <s v="Yes"/>
    <e v="#N/A"/>
    <n v="0.99816291666666679"/>
    <n v="0.79853033333333345"/>
    <x v="0"/>
    <x v="542"/>
    <x v="1"/>
  </r>
  <r>
    <n v="1762"/>
    <s v="M"/>
    <n v="0.75"/>
    <n v="0.59499999999999997"/>
    <n v="0.20499999999999999"/>
    <n v="2.2204999999999999"/>
    <n v="1.083"/>
    <n v="0.42099999999999999"/>
    <n v="0.63"/>
    <n v="12"/>
    <n v="13"/>
    <s v="Betty"/>
    <s v="Berg"/>
    <s v="University of Houston"/>
    <n v="3"/>
    <x v="9"/>
    <n v="3.6"/>
    <s v="Category 3"/>
    <e v="#N/A"/>
    <e v="#N/A"/>
    <s v="Yes"/>
    <n v="1.0761670833333332"/>
    <n v="1.0761670833333332"/>
    <x v="0"/>
    <x v="0"/>
    <x v="312"/>
  </r>
  <r>
    <n v="1261"/>
    <s v="I"/>
    <n v="0.44"/>
    <n v="0.34"/>
    <n v="0.12"/>
    <n v="0.438"/>
    <n v="0.21149999999999999"/>
    <n v="8.3000000000000004E-2"/>
    <n v="0.12"/>
    <n v="9"/>
    <n v="1"/>
    <s v="Jan"/>
    <s v="Odom"/>
    <s v="University of Houston"/>
    <n v="6"/>
    <x v="8"/>
    <n v="14.1"/>
    <s v="Category 2"/>
    <e v="#N/A"/>
    <s v="Yes"/>
    <e v="#N/A"/>
    <n v="0.93955999999999995"/>
    <n v="0.75164799999999998"/>
    <x v="0"/>
    <x v="543"/>
    <x v="1"/>
  </r>
  <r>
    <n v="1907"/>
    <s v="I"/>
    <n v="0.57499999999999996"/>
    <n v="0.45"/>
    <n v="0.13500000000000001"/>
    <n v="0.82450000000000001"/>
    <n v="0.33750000000000002"/>
    <n v="0.21149999999999999"/>
    <n v="0.23899999999999999"/>
    <n v="11"/>
    <n v="1"/>
    <s v="Jan"/>
    <s v="Odom"/>
    <s v="University of Houston"/>
    <n v="8"/>
    <x v="4"/>
    <n v="12.3"/>
    <s v="Category 2"/>
    <e v="#N/A"/>
    <s v="Yes"/>
    <e v="#N/A"/>
    <n v="1.0052512499999999"/>
    <n v="0.80420099999999994"/>
    <x v="0"/>
    <x v="544"/>
    <x v="1"/>
  </r>
  <r>
    <n v="3380"/>
    <s v="I"/>
    <n v="0.29499999999999998"/>
    <n v="0.21"/>
    <n v="0.08"/>
    <n v="0.1"/>
    <n v="3.7999999999999999E-2"/>
    <n v="2.5999999999999999E-2"/>
    <n v="3.1E-2"/>
    <n v="8"/>
    <n v="2"/>
    <s v="Tiegan"/>
    <s v="Davie"/>
    <s v="University of California, Davis"/>
    <n v="2"/>
    <x v="1"/>
    <n v="18"/>
    <s v="Category 2"/>
    <e v="#N/A"/>
    <s v="Yes"/>
    <e v="#N/A"/>
    <n v="0.86299999999999999"/>
    <n v="0.69040000000000001"/>
    <x v="0"/>
    <x v="545"/>
    <x v="1"/>
  </r>
  <r>
    <n v="1864"/>
    <s v="I"/>
    <n v="0.52"/>
    <n v="0.41499999999999998"/>
    <n v="0.14000000000000001"/>
    <n v="0.63749999999999996"/>
    <n v="0.308"/>
    <n v="0.13350000000000001"/>
    <n v="0.16800000000000001"/>
    <n v="9"/>
    <n v="15"/>
    <s v="Conan"/>
    <s v="Dalton"/>
    <s v="University of Houston"/>
    <n v="7"/>
    <x v="6"/>
    <n v="2.5"/>
    <s v="Category 2"/>
    <e v="#N/A"/>
    <s v="Yes"/>
    <e v="#N/A"/>
    <n v="0.98404166666666648"/>
    <n v="0.78723333333333323"/>
    <x v="0"/>
    <x v="546"/>
    <x v="1"/>
  </r>
  <r>
    <n v="1962"/>
    <s v="F"/>
    <n v="0.65500000000000003"/>
    <n v="0.51500000000000001"/>
    <n v="0.18"/>
    <n v="1.4119999999999999"/>
    <n v="0.61950000000000005"/>
    <n v="0.2485"/>
    <n v="0.497"/>
    <n v="11"/>
    <n v="14"/>
    <s v="Santiago"/>
    <s v="Vaughan"/>
    <s v="Ohio State University_x0009_"/>
    <n v="1"/>
    <x v="0"/>
    <n v="22.1"/>
    <s v="Category 3"/>
    <e v="#N/A"/>
    <e v="#N/A"/>
    <s v="Yes"/>
    <n v="1.0382266666666669"/>
    <n v="1.0382266666666669"/>
    <x v="0"/>
    <x v="0"/>
    <x v="313"/>
  </r>
  <r>
    <n v="3707"/>
    <s v="F"/>
    <n v="0.67500000000000004"/>
    <n v="0.53500000000000003"/>
    <n v="0.185"/>
    <n v="1.5575000000000001"/>
    <n v="0.70350000000000001"/>
    <n v="0.40200000000000002"/>
    <n v="0.4"/>
    <n v="11"/>
    <n v="7"/>
    <s v="Iona"/>
    <s v="Connolly"/>
    <s v="Florida Atlantic University"/>
    <n v="4"/>
    <x v="2"/>
    <n v="6.1"/>
    <s v="Category 3"/>
    <e v="#N/A"/>
    <e v="#N/A"/>
    <s v="Yes"/>
    <n v="1.0475229166666666"/>
    <n v="1.0475229166666666"/>
    <x v="0"/>
    <x v="0"/>
    <x v="314"/>
  </r>
  <r>
    <n v="276"/>
    <s v="M"/>
    <n v="0.65500000000000003"/>
    <n v="0.54"/>
    <n v="0.215"/>
    <n v="1.8440000000000001"/>
    <n v="0.74250000000000005"/>
    <n v="0.32700000000000001"/>
    <n v="0.58499999999999996"/>
    <n v="22"/>
    <n v="3"/>
    <s v="Inaya"/>
    <s v="Bernard"/>
    <s v="Stanford University"/>
    <n v="8"/>
    <x v="4"/>
    <n v="12.3"/>
    <s v="Category 2"/>
    <e v="#N/A"/>
    <s v="Yes"/>
    <e v="#N/A"/>
    <n v="1.0414766666666666"/>
    <n v="0.83318133333333333"/>
    <x v="0"/>
    <x v="547"/>
    <x v="1"/>
  </r>
  <r>
    <n v="699"/>
    <s v="F"/>
    <n v="0.43"/>
    <n v="0.33500000000000002"/>
    <n v="0.12"/>
    <n v="0.44400000000000001"/>
    <n v="0.155"/>
    <n v="0.1145"/>
    <n v="0.14000000000000001"/>
    <n v="13"/>
    <n v="3"/>
    <s v="Inaya"/>
    <s v="Bernard"/>
    <s v="Stanford University"/>
    <n v="3"/>
    <x v="9"/>
    <n v="3.6"/>
    <s v="Category 2"/>
    <e v="#N/A"/>
    <s v="Yes"/>
    <e v="#N/A"/>
    <n v="0.93428000000000011"/>
    <n v="0.74742400000000009"/>
    <x v="0"/>
    <x v="548"/>
    <x v="1"/>
  </r>
  <r>
    <n v="2669"/>
    <s v="F"/>
    <n v="0.58499999999999996"/>
    <n v="0.435"/>
    <n v="0.14000000000000001"/>
    <n v="0.69550000000000001"/>
    <n v="0.3085"/>
    <n v="0.129"/>
    <n v="0.22450000000000001"/>
    <n v="8"/>
    <n v="9"/>
    <s v="Danica"/>
    <s v="Tyler"/>
    <s v="University of Florida_x0009_"/>
    <n v="7"/>
    <x v="6"/>
    <n v="2.5"/>
    <s v="Category 2"/>
    <e v="#N/A"/>
    <s v="Yes"/>
    <e v="#N/A"/>
    <n v="1.0098616666666667"/>
    <n v="0.80788933333333335"/>
    <x v="0"/>
    <x v="549"/>
    <x v="1"/>
  </r>
  <r>
    <n v="990"/>
    <s v="M"/>
    <n v="0.57499999999999996"/>
    <n v="0.47499999999999998"/>
    <n v="0.16"/>
    <n v="1.1140000000000001"/>
    <n v="0.4955"/>
    <n v="0.27450000000000002"/>
    <n v="0.28999999999999998"/>
    <n v="9"/>
    <n v="5"/>
    <s v="Haniya"/>
    <s v="Talley"/>
    <s v="Prince William Sound Science Center"/>
    <n v="7"/>
    <x v="6"/>
    <n v="2.5"/>
    <s v="Category 3"/>
    <e v="#N/A"/>
    <e v="#N/A"/>
    <s v="Yes"/>
    <n v="1.0054399999999999"/>
    <n v="1.0054399999999999"/>
    <x v="0"/>
    <x v="0"/>
    <x v="315"/>
  </r>
  <r>
    <n v="1386"/>
    <s v="I"/>
    <n v="0.63"/>
    <n v="0.505"/>
    <n v="0.18"/>
    <n v="1.272"/>
    <n v="0.60250000000000004"/>
    <n v="0.29499999999999998"/>
    <n v="0.315"/>
    <n v="11"/>
    <n v="13"/>
    <s v="Betty"/>
    <s v="Berg"/>
    <s v="University of Houston"/>
    <n v="1"/>
    <x v="0"/>
    <n v="22.1"/>
    <s v="Category 3"/>
    <e v="#N/A"/>
    <e v="#N/A"/>
    <s v="Yes"/>
    <n v="1.0316933333333334"/>
    <n v="1.0316933333333334"/>
    <x v="0"/>
    <x v="0"/>
    <x v="316"/>
  </r>
  <r>
    <n v="1909"/>
    <s v="M"/>
    <n v="0.57499999999999996"/>
    <n v="0.47499999999999998"/>
    <n v="0.14499999999999999"/>
    <n v="0.85699999999999998"/>
    <n v="0.36649999999999999"/>
    <n v="0.17299999999999999"/>
    <n v="0.26900000000000002"/>
    <n v="9"/>
    <n v="1"/>
    <s v="Jan"/>
    <s v="Odom"/>
    <s v="University of Houston"/>
    <n v="7"/>
    <x v="6"/>
    <n v="2.5"/>
    <s v="Category 2"/>
    <e v="#N/A"/>
    <s v="Yes"/>
    <e v="#N/A"/>
    <n v="1.0135774999999998"/>
    <n v="0.81086199999999986"/>
    <x v="0"/>
    <x v="550"/>
    <x v="1"/>
  </r>
  <r>
    <n v="3761"/>
    <s v="M"/>
    <n v="0.53"/>
    <n v="0.42499999999999999"/>
    <n v="0.13"/>
    <n v="0.70199999999999996"/>
    <n v="0.29749999999999999"/>
    <n v="0.13950000000000001"/>
    <n v="0.22"/>
    <n v="9"/>
    <n v="2"/>
    <s v="Tiegan"/>
    <s v="Davie"/>
    <s v="University of California, Davis"/>
    <n v="10"/>
    <x v="5"/>
    <n v="24.1"/>
    <s v="Category 2"/>
    <e v="#N/A"/>
    <s v="Yes"/>
    <e v="#N/A"/>
    <n v="0.98674333333333331"/>
    <n v="0.78939466666666669"/>
    <x v="0"/>
    <x v="551"/>
    <x v="1"/>
  </r>
  <r>
    <n v="4153"/>
    <s v="I"/>
    <n v="0.37"/>
    <n v="0.28000000000000003"/>
    <n v="0.09"/>
    <n v="0.218"/>
    <n v="9.9500000000000005E-2"/>
    <n v="5.45E-2"/>
    <n v="6.1499999999999999E-2"/>
    <n v="7"/>
    <n v="8"/>
    <s v="Kali"/>
    <s v="Metcalfe"/>
    <s v="Mote Marine Laboratory"/>
    <n v="8"/>
    <x v="4"/>
    <n v="12.3"/>
    <s v="Category 2"/>
    <e v="#N/A"/>
    <s v="Yes"/>
    <e v="#N/A"/>
    <n v="0.90540333333333334"/>
    <n v="0.72432266666666667"/>
    <x v="0"/>
    <x v="552"/>
    <x v="1"/>
  </r>
  <r>
    <n v="2934"/>
    <s v="F"/>
    <n v="0.61499999999999999"/>
    <n v="0.495"/>
    <n v="0.16500000000000001"/>
    <n v="1.198"/>
    <n v="0.54149999999999998"/>
    <n v="0.28649999999999998"/>
    <n v="0.31850000000000001"/>
    <n v="10"/>
    <n v="6"/>
    <s v="Martin"/>
    <s v="Gaines"/>
    <s v="San Diego State University"/>
    <n v="9"/>
    <x v="7"/>
    <n v="1.9"/>
    <s v="Category 3"/>
    <e v="#N/A"/>
    <e v="#N/A"/>
    <s v="Yes"/>
    <n v="1.0230783333333333"/>
    <n v="1.0230783333333333"/>
    <x v="0"/>
    <x v="0"/>
    <x v="317"/>
  </r>
  <r>
    <n v="92"/>
    <s v="M"/>
    <n v="0.55500000000000005"/>
    <n v="0.44"/>
    <n v="0.15"/>
    <n v="0.755"/>
    <n v="0.307"/>
    <n v="0.1525"/>
    <n v="0.26"/>
    <n v="12"/>
    <n v="5"/>
    <s v="Haniya"/>
    <s v="Talley"/>
    <s v="Prince William Sound Science Center"/>
    <n v="4"/>
    <x v="2"/>
    <n v="6.1"/>
    <s v="Category 2"/>
    <e v="#N/A"/>
    <s v="Yes"/>
    <e v="#N/A"/>
    <n v="1.0002083333333334"/>
    <n v="0.80016666666666669"/>
    <x v="0"/>
    <x v="553"/>
    <x v="1"/>
  </r>
  <r>
    <n v="1817"/>
    <s v="F"/>
    <n v="0.67500000000000004"/>
    <n v="0.53"/>
    <n v="0.17499999999999999"/>
    <n v="1.4464999999999999"/>
    <n v="0.67749999999999999"/>
    <n v="0.33"/>
    <n v="0.38900000000000001"/>
    <n v="10"/>
    <n v="1"/>
    <s v="Jan"/>
    <s v="Odom"/>
    <s v="University of Houston"/>
    <n v="6"/>
    <x v="8"/>
    <n v="14.1"/>
    <s v="Category 3"/>
    <e v="#N/A"/>
    <e v="#N/A"/>
    <s v="Yes"/>
    <n v="1.0474229166666666"/>
    <n v="1.0474229166666666"/>
    <x v="0"/>
    <x v="0"/>
    <x v="318"/>
  </r>
  <r>
    <n v="1154"/>
    <s v="F"/>
    <n v="0.6"/>
    <n v="0.47499999999999998"/>
    <n v="0.16"/>
    <n v="1.0265"/>
    <n v="0.48499999999999999"/>
    <n v="0.2495"/>
    <n v="0.25650000000000001"/>
    <n v="9"/>
    <n v="14"/>
    <s v="Santiago"/>
    <s v="Vaughan"/>
    <s v="Ohio State University_x0009_"/>
    <n v="7"/>
    <x v="6"/>
    <n v="2.5"/>
    <s v="Category 3"/>
    <e v="#N/A"/>
    <e v="#N/A"/>
    <s v="Yes"/>
    <n v="1.017273333333333"/>
    <n v="1.017273333333333"/>
    <x v="0"/>
    <x v="0"/>
    <x v="319"/>
  </r>
  <r>
    <n v="1415"/>
    <s v="M"/>
    <n v="0.68500000000000005"/>
    <n v="0.54500000000000004"/>
    <n v="0.20499999999999999"/>
    <n v="1.7925"/>
    <n v="0.8145"/>
    <n v="0.41599999999999998"/>
    <n v="0.46100000000000002"/>
    <n v="9"/>
    <n v="4"/>
    <s v="Nate"/>
    <s v="Craig"/>
    <s v="NOAA Fisheries"/>
    <n v="9"/>
    <x v="7"/>
    <n v="1.9"/>
    <s v="Category 3"/>
    <e v="#N/A"/>
    <e v="#N/A"/>
    <s v="Yes"/>
    <n v="1.0517437500000002"/>
    <n v="1.0517437500000002"/>
    <x v="0"/>
    <x v="0"/>
    <x v="320"/>
  </r>
  <r>
    <n v="2643"/>
    <s v="I"/>
    <n v="0.47499999999999998"/>
    <n v="0.375"/>
    <n v="0.115"/>
    <n v="0.52049999999999996"/>
    <n v="0.23300000000000001"/>
    <n v="0.11899999999999999"/>
    <n v="0.14549999999999999"/>
    <n v="7"/>
    <n v="11"/>
    <s v="Naima"/>
    <s v="Reyes"/>
    <s v="University of Houston"/>
    <n v="1"/>
    <x v="0"/>
    <n v="22.1"/>
    <s v="Category 2"/>
    <e v="#N/A"/>
    <s v="Yes"/>
    <e v="#N/A"/>
    <n v="0.95860958333333335"/>
    <n v="0.76688766666666675"/>
    <x v="0"/>
    <x v="554"/>
    <x v="1"/>
  </r>
  <r>
    <n v="2431"/>
    <s v="I"/>
    <n v="0.52"/>
    <n v="0.38"/>
    <n v="0.14000000000000001"/>
    <n v="0.52500000000000002"/>
    <n v="0.17749999999999999"/>
    <n v="0.115"/>
    <n v="0.185"/>
    <n v="11"/>
    <n v="10"/>
    <s v="Hazel"/>
    <s v="Villa"/>
    <s v="University of Minnesota"/>
    <n v="2"/>
    <x v="1"/>
    <n v="18"/>
    <s v="Category 2"/>
    <e v="#N/A"/>
    <s v="Yes"/>
    <e v="#N/A"/>
    <n v="0.97724999999999984"/>
    <n v="0.78179999999999994"/>
    <x v="0"/>
    <x v="555"/>
    <x v="1"/>
  </r>
  <r>
    <n v="62"/>
    <s v="M"/>
    <n v="0.505"/>
    <n v="0.40500000000000003"/>
    <n v="0.11"/>
    <n v="0.625"/>
    <n v="0.30499999999999999"/>
    <n v="0.16"/>
    <n v="0.17499999999999999"/>
    <n v="9"/>
    <n v="15"/>
    <s v="Conan"/>
    <s v="Dalton"/>
    <s v="University of Houston"/>
    <n v="2"/>
    <x v="1"/>
    <n v="18"/>
    <s v="Category 2"/>
    <e v="#N/A"/>
    <s v="Yes"/>
    <e v="#N/A"/>
    <n v="0.97312500000000002"/>
    <n v="0.77850000000000008"/>
    <x v="0"/>
    <x v="556"/>
    <x v="1"/>
  </r>
  <r>
    <n v="526"/>
    <s v="M"/>
    <n v="0.17499999999999999"/>
    <n v="0.125"/>
    <n v="0.04"/>
    <n v="2.4E-2"/>
    <n v="9.4999999999999998E-3"/>
    <n v="6.0000000000000001E-3"/>
    <n v="5.0000000000000001E-3"/>
    <n v="4"/>
    <n v="8"/>
    <s v="Kali"/>
    <s v="Metcalfe"/>
    <s v="Mote Marine Laboratory"/>
    <n v="1"/>
    <x v="0"/>
    <n v="22.1"/>
    <s v="Category 2"/>
    <e v="#N/A"/>
    <s v="Yes"/>
    <e v="#N/A"/>
    <n v="0.79855999999999994"/>
    <n v="0.63884799999999997"/>
    <x v="0"/>
    <x v="557"/>
    <x v="1"/>
  </r>
  <r>
    <n v="2698"/>
    <s v="M"/>
    <n v="0.66"/>
    <n v="0.51500000000000001"/>
    <n v="0.16500000000000001"/>
    <n v="1.4464999999999999"/>
    <n v="0.69399999999999995"/>
    <n v="0.29799999999999999"/>
    <n v="0.3755"/>
    <n v="10"/>
    <n v="15"/>
    <s v="Conan"/>
    <s v="Dalton"/>
    <s v="University of Houston"/>
    <n v="10"/>
    <x v="5"/>
    <n v="24.1"/>
    <s v="Category 3"/>
    <e v="#N/A"/>
    <e v="#N/A"/>
    <s v="Yes"/>
    <n v="1.0350120833333332"/>
    <n v="1.0350120833333332"/>
    <x v="0"/>
    <x v="0"/>
    <x v="321"/>
  </r>
  <r>
    <n v="1620"/>
    <s v="I"/>
    <n v="0.56000000000000005"/>
    <n v="0.44500000000000001"/>
    <n v="0.15"/>
    <n v="0.82250000000000001"/>
    <n v="0.36849999999999999"/>
    <n v="0.187"/>
    <n v="0.23599999999999999"/>
    <n v="10"/>
    <n v="12"/>
    <s v="Rebecca"/>
    <s v="Bennett"/>
    <s v="University of Houston"/>
    <n v="3"/>
    <x v="9"/>
    <n v="3.6"/>
    <s v="Category 2"/>
    <e v="#N/A"/>
    <s v="Yes"/>
    <e v="#N/A"/>
    <n v="1.0007291666666667"/>
    <n v="0.80058333333333342"/>
    <x v="0"/>
    <x v="558"/>
    <x v="1"/>
  </r>
  <r>
    <n v="794"/>
    <s v="M"/>
    <n v="0.57499999999999996"/>
    <n v="0.45"/>
    <n v="0.16500000000000001"/>
    <n v="0.92149999999999999"/>
    <n v="0.32750000000000001"/>
    <n v="0.22500000000000001"/>
    <n v="0.25600000000000001"/>
    <n v="12"/>
    <n v="14"/>
    <s v="Santiago"/>
    <s v="Vaughan"/>
    <s v="Ohio State University_x0009_"/>
    <n v="1"/>
    <x v="0"/>
    <n v="22.1"/>
    <s v="Category 2"/>
    <e v="#N/A"/>
    <s v="Yes"/>
    <e v="#N/A"/>
    <n v="1.0055745833333332"/>
    <n v="0.80445966666666657"/>
    <x v="0"/>
    <x v="559"/>
    <x v="1"/>
  </r>
  <r>
    <n v="1397"/>
    <s v="M"/>
    <n v="0.64500000000000002"/>
    <n v="0.51"/>
    <n v="0.16"/>
    <n v="1.1835"/>
    <n v="0.55600000000000005"/>
    <n v="0.23849999999999999"/>
    <n v="0.34499999999999997"/>
    <n v="11"/>
    <n v="13"/>
    <s v="Betty"/>
    <s v="Berg"/>
    <s v="University of Houston"/>
    <n v="7"/>
    <x v="6"/>
    <n v="2.5"/>
    <s v="Category 3"/>
    <e v="#N/A"/>
    <e v="#N/A"/>
    <s v="Yes"/>
    <n v="1.03766"/>
    <n v="1.03766"/>
    <x v="0"/>
    <x v="0"/>
    <x v="322"/>
  </r>
  <r>
    <n v="1099"/>
    <s v="M"/>
    <n v="0.49"/>
    <n v="0.46500000000000002"/>
    <n v="0.125"/>
    <n v="0.52249999999999996"/>
    <n v="0.23499999999999999"/>
    <n v="0.13"/>
    <n v="0.14099999999999999"/>
    <n v="7"/>
    <n v="13"/>
    <s v="Betty"/>
    <s v="Berg"/>
    <s v="University of Houston"/>
    <n v="3"/>
    <x v="9"/>
    <n v="3.6"/>
    <s v="Category 2"/>
    <e v="#N/A"/>
    <s v="Yes"/>
    <e v="#N/A"/>
    <n v="0.99438541666666669"/>
    <n v="0.79550833333333337"/>
    <x v="0"/>
    <x v="560"/>
    <x v="1"/>
  </r>
  <r>
    <n v="2350"/>
    <s v="F"/>
    <n v="0.45"/>
    <n v="0.36"/>
    <n v="0.105"/>
    <n v="0.47149999999999997"/>
    <n v="0.20349999999999999"/>
    <n v="9.35E-2"/>
    <n v="0.14899999999999999"/>
    <n v="9"/>
    <n v="13"/>
    <s v="Betty"/>
    <s v="Berg"/>
    <s v="University of Houston"/>
    <n v="3"/>
    <x v="9"/>
    <n v="3.6"/>
    <s v="Category 2"/>
    <e v="#N/A"/>
    <s v="Yes"/>
    <e v="#N/A"/>
    <n v="0.9468179166666667"/>
    <n v="0.75745433333333345"/>
    <x v="0"/>
    <x v="561"/>
    <x v="1"/>
  </r>
  <r>
    <n v="3308"/>
    <s v="F"/>
    <n v="0.45"/>
    <n v="0.32500000000000001"/>
    <n v="0.13500000000000001"/>
    <n v="0.438"/>
    <n v="0.18049999999999999"/>
    <n v="0.11650000000000001"/>
    <n v="0.11"/>
    <n v="9"/>
    <n v="2"/>
    <s v="Tiegan"/>
    <s v="Davie"/>
    <s v="University of California, Davis"/>
    <n v="4"/>
    <x v="2"/>
    <n v="6.1"/>
    <s v="Category 2"/>
    <e v="#N/A"/>
    <s v="Yes"/>
    <e v="#N/A"/>
    <n v="0.93898833333333331"/>
    <n v="0.75119066666666667"/>
    <x v="0"/>
    <x v="562"/>
    <x v="1"/>
  </r>
  <r>
    <n v="380"/>
    <s v="F"/>
    <n v="0.61"/>
    <n v="0.495"/>
    <n v="0.185"/>
    <n v="1.1085"/>
    <n v="0.3705"/>
    <n v="0.3135"/>
    <n v="0.33"/>
    <n v="12"/>
    <n v="5"/>
    <s v="Haniya"/>
    <s v="Talley"/>
    <s v="Prince William Sound Science Center"/>
    <n v="2"/>
    <x v="1"/>
    <n v="18"/>
    <s v="Category 2"/>
    <e v="#N/A"/>
    <s v="Yes"/>
    <e v="#N/A"/>
    <n v="1.0286120833333334"/>
    <n v="0.82288966666666674"/>
    <x v="0"/>
    <x v="563"/>
    <x v="1"/>
  </r>
  <r>
    <n v="3373"/>
    <s v="I"/>
    <n v="0.44"/>
    <n v="0.33"/>
    <n v="0.13500000000000001"/>
    <n v="0.52200000000000002"/>
    <n v="0.17"/>
    <n v="9.0499999999999997E-2"/>
    <n v="0.19500000000000001"/>
    <n v="16"/>
    <n v="9"/>
    <s v="Danica"/>
    <s v="Tyler"/>
    <s v="University of Florida_x0009_"/>
    <n v="8"/>
    <x v="4"/>
    <n v="12.3"/>
    <s v="Category 1"/>
    <s v="Yes"/>
    <e v="#N/A"/>
    <e v="#N/A"/>
    <n v="0.93361166666666662"/>
    <n v="1.4004174999999999"/>
    <x v="9"/>
    <x v="0"/>
    <x v="1"/>
  </r>
  <r>
    <n v="292"/>
    <s v="F"/>
    <n v="0.56499999999999995"/>
    <n v="0.505"/>
    <n v="0.21"/>
    <n v="1.2765"/>
    <n v="0.501"/>
    <n v="0.27900000000000003"/>
    <n v="0.35499999999999998"/>
    <n v="12"/>
    <n v="13"/>
    <s v="Betty"/>
    <s v="Berg"/>
    <s v="University of Houston"/>
    <n v="7"/>
    <x v="6"/>
    <n v="2.5"/>
    <s v="Category 3"/>
    <e v="#N/A"/>
    <e v="#N/A"/>
    <s v="Yes"/>
    <n v="1.0162441666666666"/>
    <n v="1.0162441666666666"/>
    <x v="0"/>
    <x v="0"/>
    <x v="323"/>
  </r>
  <r>
    <n v="3008"/>
    <s v="M"/>
    <n v="0.73"/>
    <n v="0.58499999999999996"/>
    <n v="0.22500000000000001"/>
    <n v="2.2305000000000001"/>
    <n v="1.2395"/>
    <n v="0.42199999999999999"/>
    <n v="0.56299999999999994"/>
    <n v="14"/>
    <n v="11"/>
    <s v="Naima"/>
    <s v="Reyes"/>
    <s v="University of Houston"/>
    <n v="5"/>
    <x v="3"/>
    <n v="12.8"/>
    <s v="Category 1"/>
    <s v="Yes"/>
    <e v="#N/A"/>
    <e v="#N/A"/>
    <n v="1.0732770833333332"/>
    <n v="1.6099156249999997"/>
    <x v="10"/>
    <x v="0"/>
    <x v="1"/>
  </r>
  <r>
    <n v="1228"/>
    <s v="I"/>
    <n v="0.35"/>
    <n v="0.255"/>
    <n v="0.09"/>
    <n v="0.17849999999999999"/>
    <n v="8.5500000000000007E-2"/>
    <n v="3.0499999999999999E-2"/>
    <n v="5.2499999999999998E-2"/>
    <n v="8"/>
    <n v="1"/>
    <s v="Jan"/>
    <s v="Odom"/>
    <s v="University of Houston"/>
    <n v="8"/>
    <x v="4"/>
    <n v="12.3"/>
    <s v="Category 2"/>
    <e v="#N/A"/>
    <s v="Yes"/>
    <e v="#N/A"/>
    <n v="0.89244416666666659"/>
    <n v="0.71395533333333328"/>
    <x v="0"/>
    <x v="564"/>
    <x v="1"/>
  </r>
  <r>
    <n v="1541"/>
    <s v="I"/>
    <n v="0.36"/>
    <n v="0.27"/>
    <n v="9.5000000000000001E-2"/>
    <n v="0.2"/>
    <n v="7.2999999999999995E-2"/>
    <n v="5.6000000000000001E-2"/>
    <n v="6.0999999999999999E-2"/>
    <n v="8"/>
    <n v="14"/>
    <s v="Santiago"/>
    <s v="Vaughan"/>
    <s v="Ohio State University_x0009_"/>
    <n v="3"/>
    <x v="9"/>
    <n v="3.6"/>
    <s v="Category 2"/>
    <e v="#N/A"/>
    <s v="Yes"/>
    <e v="#N/A"/>
    <n v="0.89983333333333337"/>
    <n v="0.71986666666666677"/>
    <x v="0"/>
    <x v="565"/>
    <x v="1"/>
  </r>
  <r>
    <n v="2386"/>
    <s v="F"/>
    <n v="0.45"/>
    <n v="0.34499999999999997"/>
    <n v="0.115"/>
    <n v="0.496"/>
    <n v="0.1905"/>
    <n v="0.11700000000000001"/>
    <n v="0.14000000000000001"/>
    <n v="12"/>
    <n v="7"/>
    <s v="Iona"/>
    <s v="Connolly"/>
    <s v="Florida Atlantic University"/>
    <n v="7"/>
    <x v="6"/>
    <n v="2.5"/>
    <s v="Category 2"/>
    <e v="#N/A"/>
    <s v="Yes"/>
    <e v="#N/A"/>
    <n v="0.94144000000000005"/>
    <n v="0.75315200000000004"/>
    <x v="0"/>
    <x v="566"/>
    <x v="1"/>
  </r>
  <r>
    <n v="3034"/>
    <s v="M"/>
    <n v="0.53500000000000003"/>
    <n v="0.41"/>
    <n v="0.12"/>
    <n v="0.6835"/>
    <n v="0.3125"/>
    <n v="0.16550000000000001"/>
    <n v="0.159"/>
    <n v="8"/>
    <n v="11"/>
    <s v="Naima"/>
    <s v="Reyes"/>
    <s v="University of Houston"/>
    <n v="4"/>
    <x v="2"/>
    <n v="6.1"/>
    <s v="Category 2"/>
    <e v="#N/A"/>
    <s v="Yes"/>
    <e v="#N/A"/>
    <n v="0.98310333333333344"/>
    <n v="0.78648266666666677"/>
    <x v="0"/>
    <x v="567"/>
    <x v="1"/>
  </r>
  <r>
    <n v="3786"/>
    <s v="M"/>
    <n v="0.625"/>
    <n v="0.495"/>
    <n v="0.155"/>
    <n v="1.177"/>
    <n v="0.50549999999999995"/>
    <n v="0.27800000000000002"/>
    <n v="0.34499999999999997"/>
    <n v="9"/>
    <n v="7"/>
    <s v="Iona"/>
    <s v="Connolly"/>
    <s v="Florida Atlantic University"/>
    <n v="10"/>
    <x v="5"/>
    <n v="24.1"/>
    <s v="Category 3"/>
    <e v="#N/A"/>
    <e v="#N/A"/>
    <s v="Yes"/>
    <n v="1.0252725"/>
    <n v="1.0252725"/>
    <x v="0"/>
    <x v="0"/>
    <x v="324"/>
  </r>
  <r>
    <n v="2022"/>
    <s v="M"/>
    <n v="0.52500000000000002"/>
    <n v="0.41"/>
    <n v="0.13"/>
    <n v="0.6875"/>
    <n v="0.34350000000000003"/>
    <n v="0.14949999999999999"/>
    <n v="0.17649999999999999"/>
    <n v="9"/>
    <n v="14"/>
    <s v="Santiago"/>
    <s v="Vaughan"/>
    <s v="Ohio State University_x0009_"/>
    <n v="5"/>
    <x v="3"/>
    <n v="12.8"/>
    <s v="Category 2"/>
    <e v="#N/A"/>
    <s v="Yes"/>
    <e v="#N/A"/>
    <n v="0.98072916666666676"/>
    <n v="0.78458333333333341"/>
    <x v="0"/>
    <x v="568"/>
    <x v="1"/>
  </r>
  <r>
    <n v="2160"/>
    <s v="F"/>
    <n v="0.64"/>
    <n v="0.51"/>
    <n v="0.2"/>
    <n v="1.3905000000000001"/>
    <n v="0.61"/>
    <n v="0.33150000000000002"/>
    <n v="0.41"/>
    <n v="12"/>
    <n v="4"/>
    <s v="Nate"/>
    <s v="Craig"/>
    <s v="NOAA Fisheries"/>
    <n v="9"/>
    <x v="7"/>
    <n v="1.9"/>
    <s v="Category 3"/>
    <e v="#N/A"/>
    <e v="#N/A"/>
    <s v="Yes"/>
    <n v="1.0369833333333331"/>
    <n v="1.0369833333333331"/>
    <x v="0"/>
    <x v="0"/>
    <x v="325"/>
  </r>
  <r>
    <n v="921"/>
    <s v="I"/>
    <n v="0.41499999999999998"/>
    <n v="0.33"/>
    <n v="0.09"/>
    <n v="0.35949999999999999"/>
    <n v="0.17"/>
    <n v="8.1000000000000003E-2"/>
    <n v="0.09"/>
    <n v="6"/>
    <n v="14"/>
    <s v="Santiago"/>
    <s v="Vaughan"/>
    <s v="Ohio State University_x0009_"/>
    <n v="8"/>
    <x v="4"/>
    <n v="12.3"/>
    <s v="Category 2"/>
    <e v="#N/A"/>
    <s v="Yes"/>
    <e v="#N/A"/>
    <n v="0.92975916666666669"/>
    <n v="0.74380733333333338"/>
    <x v="0"/>
    <x v="569"/>
    <x v="1"/>
  </r>
  <r>
    <n v="3540"/>
    <s v="I"/>
    <n v="0.435"/>
    <n v="0.34"/>
    <n v="0.12"/>
    <n v="0.39600000000000002"/>
    <n v="0.17749999999999999"/>
    <n v="8.1000000000000003E-2"/>
    <n v="0.125"/>
    <n v="8"/>
    <n v="10"/>
    <s v="Hazel"/>
    <s v="Villa"/>
    <s v="University of Minnesota"/>
    <n v="3"/>
    <x v="9"/>
    <n v="3.6"/>
    <s v="Category 2"/>
    <e v="#N/A"/>
    <s v="Yes"/>
    <e v="#N/A"/>
    <n v="0.93985333333333321"/>
    <n v="0.75188266666666659"/>
    <x v="0"/>
    <x v="570"/>
    <x v="1"/>
  </r>
  <r>
    <n v="2590"/>
    <s v="M"/>
    <n v="0.57499999999999996"/>
    <n v="0.45"/>
    <n v="0.155"/>
    <n v="0.94799999999999995"/>
    <n v="0.42899999999999999"/>
    <n v="0.20599999999999999"/>
    <n v="0.25900000000000001"/>
    <n v="7"/>
    <n v="7"/>
    <s v="Iona"/>
    <s v="Connolly"/>
    <s v="Florida Atlantic University"/>
    <n v="10"/>
    <x v="5"/>
    <n v="24.1"/>
    <s v="Category 3"/>
    <e v="#N/A"/>
    <e v="#N/A"/>
    <s v="Yes"/>
    <n v="1.0029566666666665"/>
    <n v="1.0029566666666665"/>
    <x v="0"/>
    <x v="0"/>
    <x v="326"/>
  </r>
  <r>
    <n v="3936"/>
    <s v="M"/>
    <n v="0.52"/>
    <n v="0.41"/>
    <n v="0.115"/>
    <n v="0.77"/>
    <n v="0.26300000000000001"/>
    <n v="0.157"/>
    <n v="0.26"/>
    <n v="11"/>
    <n v="5"/>
    <s v="Haniya"/>
    <s v="Talley"/>
    <s v="Prince William Sound Science Center"/>
    <n v="6"/>
    <x v="8"/>
    <n v="14.1"/>
    <s v="Category 2"/>
    <e v="#N/A"/>
    <s v="Yes"/>
    <e v="#N/A"/>
    <n v="0.97342499999999998"/>
    <n v="0.77873999999999999"/>
    <x v="0"/>
    <x v="7"/>
    <x v="1"/>
  </r>
  <r>
    <n v="3001"/>
    <s v="M"/>
    <n v="0.64"/>
    <n v="0.48499999999999999"/>
    <n v="0.16"/>
    <n v="1.006"/>
    <n v="0.45600000000000002"/>
    <n v="0.22450000000000001"/>
    <n v="0.28349999999999997"/>
    <n v="9"/>
    <n v="3"/>
    <s v="Inaya"/>
    <s v="Bernard"/>
    <s v="Stanford University"/>
    <n v="6"/>
    <x v="8"/>
    <n v="14.1"/>
    <s v="Category 3"/>
    <e v="#N/A"/>
    <e v="#N/A"/>
    <s v="Yes"/>
    <n v="1.0347599999999999"/>
    <n v="1.0347599999999999"/>
    <x v="0"/>
    <x v="0"/>
    <x v="327"/>
  </r>
  <r>
    <n v="1740"/>
    <s v="M"/>
    <n v="0.67500000000000004"/>
    <n v="0.52500000000000002"/>
    <n v="0.16"/>
    <n v="1.2835000000000001"/>
    <n v="0.57199999999999995"/>
    <n v="0.27550000000000002"/>
    <n v="0.35449999999999998"/>
    <n v="13"/>
    <n v="6"/>
    <s v="Martin"/>
    <s v="Gaines"/>
    <s v="San Diego State University"/>
    <n v="7"/>
    <x v="6"/>
    <n v="2.5"/>
    <s v="Category 3"/>
    <e v="#N/A"/>
    <e v="#N/A"/>
    <s v="Yes"/>
    <n v="1.0486600000000001"/>
    <n v="1.0486600000000001"/>
    <x v="0"/>
    <x v="0"/>
    <x v="328"/>
  </r>
  <r>
    <n v="682"/>
    <s v="M"/>
    <n v="0.48499999999999999"/>
    <n v="0.37"/>
    <n v="0.14000000000000001"/>
    <n v="0.57250000000000001"/>
    <n v="0.20399999999999999"/>
    <n v="0.14149999999999999"/>
    <n v="0.17499999999999999"/>
    <n v="10"/>
    <n v="12"/>
    <s v="Rebecca"/>
    <s v="Bennett"/>
    <s v="University of Houston"/>
    <n v="2"/>
    <x v="1"/>
    <n v="18"/>
    <s v="Category 2"/>
    <e v="#N/A"/>
    <s v="Yes"/>
    <e v="#N/A"/>
    <n v="0.96019166666666667"/>
    <n v="0.76815333333333335"/>
    <x v="0"/>
    <x v="571"/>
    <x v="1"/>
  </r>
  <r>
    <n v="1846"/>
    <s v="I"/>
    <n v="0.44500000000000001"/>
    <n v="0.33"/>
    <n v="0.11"/>
    <n v="0.35799999999999998"/>
    <n v="0.1525"/>
    <n v="6.7000000000000004E-2"/>
    <n v="0.11849999999999999"/>
    <n v="8"/>
    <n v="8"/>
    <s v="Kali"/>
    <s v="Metcalfe"/>
    <s v="Mote Marine Laboratory"/>
    <n v="9"/>
    <x v="7"/>
    <n v="1.9"/>
    <s v="Category 2"/>
    <e v="#N/A"/>
    <s v="Yes"/>
    <e v="#N/A"/>
    <n v="0.94103000000000003"/>
    <n v="0.75282400000000005"/>
    <x v="0"/>
    <x v="572"/>
    <x v="1"/>
  </r>
  <r>
    <n v="3038"/>
    <s v="M"/>
    <n v="0.56000000000000005"/>
    <n v="0.45"/>
    <n v="0.14499999999999999"/>
    <n v="0.89400000000000002"/>
    <n v="0.38850000000000001"/>
    <n v="0.20949999999999999"/>
    <n v="0.26400000000000001"/>
    <n v="9"/>
    <n v="8"/>
    <s v="Kali"/>
    <s v="Metcalfe"/>
    <s v="Mote Marine Laboratory"/>
    <n v="4"/>
    <x v="2"/>
    <n v="6.1"/>
    <s v="Category 2"/>
    <e v="#N/A"/>
    <s v="Yes"/>
    <e v="#N/A"/>
    <n v="0.99867166666666662"/>
    <n v="0.79893733333333339"/>
    <x v="0"/>
    <x v="573"/>
    <x v="1"/>
  </r>
  <r>
    <n v="1443"/>
    <s v="I"/>
    <n v="0.41"/>
    <n v="0.32"/>
    <n v="9.5000000000000001E-2"/>
    <n v="0.29049999999999998"/>
    <n v="0.14099999999999999"/>
    <n v="6.3E-2"/>
    <n v="7.2999999999999995E-2"/>
    <n v="5"/>
    <n v="9"/>
    <s v="Danica"/>
    <s v="Tyler"/>
    <s v="University of Florida_x0009_"/>
    <n v="7"/>
    <x v="6"/>
    <n v="2.5"/>
    <s v="Category 2"/>
    <e v="#N/A"/>
    <s v="Yes"/>
    <e v="#N/A"/>
    <n v="0.92856625000000004"/>
    <n v="0.7428530000000001"/>
    <x v="0"/>
    <x v="574"/>
    <x v="1"/>
  </r>
  <r>
    <n v="1778"/>
    <s v="I"/>
    <n v="0.48499999999999999"/>
    <n v="0.34499999999999997"/>
    <n v="0.16"/>
    <n v="0.86899999999999999"/>
    <n v="0.3085"/>
    <n v="0.185"/>
    <n v="0.31900000000000001"/>
    <n v="9"/>
    <n v="14"/>
    <s v="Santiago"/>
    <s v="Vaughan"/>
    <s v="Ohio State University_x0009_"/>
    <n v="5"/>
    <x v="3"/>
    <n v="12.8"/>
    <s v="Category 2"/>
    <e v="#N/A"/>
    <s v="Yes"/>
    <e v="#N/A"/>
    <n v="0.94190666666666667"/>
    <n v="0.75352533333333338"/>
    <x v="0"/>
    <x v="575"/>
    <x v="1"/>
  </r>
  <r>
    <n v="3268"/>
    <s v="F"/>
    <n v="0.4"/>
    <n v="0.33500000000000002"/>
    <n v="0.115"/>
    <n v="0.4335"/>
    <n v="0.21049999999999999"/>
    <n v="0.1205"/>
    <n v="0.12"/>
    <n v="10"/>
    <n v="4"/>
    <s v="Nate"/>
    <s v="Craig"/>
    <s v="NOAA Fisheries"/>
    <n v="4"/>
    <x v="2"/>
    <n v="6.1"/>
    <s v="Category 2"/>
    <e v="#N/A"/>
    <s v="Yes"/>
    <e v="#N/A"/>
    <n v="0.92440875000000011"/>
    <n v="0.73952700000000016"/>
    <x v="0"/>
    <x v="576"/>
    <x v="1"/>
  </r>
  <r>
    <n v="879"/>
    <s v="F"/>
    <n v="0.63500000000000001"/>
    <n v="0.48499999999999999"/>
    <n v="0.16500000000000001"/>
    <n v="1.2945"/>
    <n v="0.66800000000000004"/>
    <n v="0.26050000000000001"/>
    <n v="0.27150000000000002"/>
    <n v="9"/>
    <n v="14"/>
    <s v="Santiago"/>
    <s v="Vaughan"/>
    <s v="Ohio State University_x0009_"/>
    <n v="9"/>
    <x v="7"/>
    <n v="1.9"/>
    <s v="Category 3"/>
    <e v="#N/A"/>
    <e v="#N/A"/>
    <s v="Yes"/>
    <n v="1.0226320833333333"/>
    <n v="1.0226320833333333"/>
    <x v="0"/>
    <x v="0"/>
    <x v="329"/>
  </r>
  <r>
    <n v="507"/>
    <s v="M"/>
    <n v="0.56000000000000005"/>
    <n v="0.46"/>
    <n v="0.23499999999999999"/>
    <n v="0.83950000000000002"/>
    <n v="0.33250000000000002"/>
    <n v="0.157"/>
    <n v="0.30499999999999999"/>
    <n v="12"/>
    <n v="1"/>
    <s v="Jan"/>
    <s v="Odom"/>
    <s v="University of Houston"/>
    <n v="9"/>
    <x v="7"/>
    <n v="1.9"/>
    <s v="Category 2"/>
    <e v="#N/A"/>
    <s v="Yes"/>
    <e v="#N/A"/>
    <n v="1.0169137500000001"/>
    <n v="0.81353100000000012"/>
    <x v="0"/>
    <x v="577"/>
    <x v="1"/>
  </r>
  <r>
    <n v="496"/>
    <s v="F"/>
    <n v="0.625"/>
    <n v="0.5"/>
    <n v="0.15"/>
    <n v="0.95299999999999996"/>
    <n v="0.34449999999999997"/>
    <n v="0.2235"/>
    <n v="0.30499999999999999"/>
    <n v="15"/>
    <n v="9"/>
    <s v="Danica"/>
    <s v="Tyler"/>
    <s v="University of Florida_x0009_"/>
    <n v="6"/>
    <x v="8"/>
    <n v="14.1"/>
    <s v="Category 2"/>
    <e v="#N/A"/>
    <s v="Yes"/>
    <e v="#N/A"/>
    <n v="1.0352916666666669"/>
    <n v="0.8282333333333336"/>
    <x v="0"/>
    <x v="578"/>
    <x v="1"/>
  </r>
  <r>
    <n v="500"/>
    <s v="M"/>
    <n v="0.55500000000000005"/>
    <n v="0.45"/>
    <n v="0.17499999999999999"/>
    <n v="0.874"/>
    <n v="0.32750000000000001"/>
    <n v="0.20200000000000001"/>
    <n v="0.30499999999999999"/>
    <n v="10"/>
    <n v="7"/>
    <s v="Iona"/>
    <s v="Connolly"/>
    <s v="Florida Atlantic University"/>
    <n v="2"/>
    <x v="1"/>
    <n v="18"/>
    <s v="Category 2"/>
    <e v="#N/A"/>
    <s v="Yes"/>
    <e v="#N/A"/>
    <n v="1.0022249999999999"/>
    <n v="0.80177999999999994"/>
    <x v="0"/>
    <x v="579"/>
    <x v="1"/>
  </r>
  <r>
    <n v="878"/>
    <s v="F"/>
    <n v="0.63500000000000001"/>
    <n v="0.5"/>
    <n v="0.15"/>
    <n v="1.3759999999999999"/>
    <n v="0.64949999999999997"/>
    <n v="0.36099999999999999"/>
    <n v="0.31"/>
    <n v="10"/>
    <n v="10"/>
    <s v="Hazel"/>
    <s v="Villa"/>
    <s v="University of Minnesota"/>
    <n v="2"/>
    <x v="1"/>
    <n v="18"/>
    <s v="Category 3"/>
    <e v="#N/A"/>
    <e v="#N/A"/>
    <s v="Yes"/>
    <n v="1.0209999999999999"/>
    <n v="1.0209999999999999"/>
    <x v="0"/>
    <x v="0"/>
    <x v="330"/>
  </r>
  <r>
    <n v="3591"/>
    <s v="F"/>
    <n v="0.65"/>
    <n v="0.52"/>
    <n v="0.19500000000000001"/>
    <n v="1.6274999999999999"/>
    <n v="0.68899999999999995"/>
    <n v="0.39050000000000001"/>
    <n v="0.432"/>
    <n v="11"/>
    <n v="6"/>
    <s v="Martin"/>
    <s v="Gaines"/>
    <s v="San Diego State University"/>
    <n v="10"/>
    <x v="5"/>
    <n v="24.1"/>
    <s v="Category 3"/>
    <e v="#N/A"/>
    <e v="#N/A"/>
    <s v="Yes"/>
    <n v="1.03439375"/>
    <n v="1.03439375"/>
    <x v="0"/>
    <x v="0"/>
    <x v="331"/>
  </r>
  <r>
    <n v="518"/>
    <s v="M"/>
    <n v="0.28000000000000003"/>
    <n v="0.2"/>
    <n v="0.08"/>
    <n v="9.1499999999999998E-2"/>
    <n v="3.3000000000000002E-2"/>
    <n v="2.1499999999999998E-2"/>
    <n v="0.03"/>
    <n v="5"/>
    <n v="12"/>
    <s v="Rebecca"/>
    <s v="Bennett"/>
    <s v="University of Houston"/>
    <n v="7"/>
    <x v="6"/>
    <n v="2.5"/>
    <s v="Category 2"/>
    <e v="#N/A"/>
    <s v="Yes"/>
    <e v="#N/A"/>
    <n v="0.85511999999999999"/>
    <n v="0.68409600000000004"/>
    <x v="0"/>
    <x v="580"/>
    <x v="1"/>
  </r>
  <r>
    <n v="2940"/>
    <s v="F"/>
    <n v="0.625"/>
    <n v="0.49"/>
    <n v="0.14499999999999999"/>
    <n v="0.92"/>
    <n v="0.437"/>
    <n v="0.17349999999999999"/>
    <n v="0.28000000000000003"/>
    <n v="10"/>
    <n v="7"/>
    <s v="Iona"/>
    <s v="Connolly"/>
    <s v="Florida Atlantic University"/>
    <n v="1"/>
    <x v="0"/>
    <n v="22.1"/>
    <s v="Category 3"/>
    <e v="#N/A"/>
    <e v="#N/A"/>
    <s v="Yes"/>
    <n v="1.0325666666666669"/>
    <n v="1.0325666666666669"/>
    <x v="0"/>
    <x v="0"/>
    <x v="332"/>
  </r>
  <r>
    <n v="2151"/>
    <s v="M"/>
    <n v="0.44500000000000001"/>
    <n v="0.35499999999999998"/>
    <n v="0.11"/>
    <n v="0.4415"/>
    <n v="0.18049999999999999"/>
    <n v="0.10349999999999999"/>
    <n v="0.15049999999999999"/>
    <n v="10"/>
    <n v="4"/>
    <s v="Nate"/>
    <s v="Craig"/>
    <s v="NOAA Fisheries"/>
    <n v="3"/>
    <x v="9"/>
    <n v="3.6"/>
    <s v="Category 2"/>
    <e v="#N/A"/>
    <s v="Yes"/>
    <e v="#N/A"/>
    <n v="0.94532749999999999"/>
    <n v="0.75626199999999999"/>
    <x v="0"/>
    <x v="581"/>
    <x v="1"/>
  </r>
  <r>
    <n v="1563"/>
    <s v="I"/>
    <n v="0.45"/>
    <n v="0.33500000000000002"/>
    <n v="0.11"/>
    <n v="0.41949999999999998"/>
    <n v="0.18099999999999999"/>
    <n v="8.5000000000000006E-2"/>
    <n v="0.13450000000000001"/>
    <n v="7"/>
    <n v="7"/>
    <s v="Iona"/>
    <s v="Connolly"/>
    <s v="Florida Atlantic University"/>
    <n v="2"/>
    <x v="1"/>
    <n v="18"/>
    <s v="Category 2"/>
    <e v="#N/A"/>
    <s v="Yes"/>
    <e v="#N/A"/>
    <n v="0.94139083333333329"/>
    <n v="0.75311266666666665"/>
    <x v="0"/>
    <x v="582"/>
    <x v="1"/>
  </r>
  <r>
    <n v="366"/>
    <s v="M"/>
    <n v="0.63"/>
    <n v="0.51500000000000001"/>
    <n v="0.16"/>
    <n v="1.016"/>
    <n v="0.42149999999999999"/>
    <n v="0.24399999999999999"/>
    <n v="0.35499999999999998"/>
    <n v="19"/>
    <n v="7"/>
    <s v="Iona"/>
    <s v="Connolly"/>
    <s v="Florida Atlantic University"/>
    <n v="5"/>
    <x v="3"/>
    <n v="12.8"/>
    <s v="Category 2"/>
    <e v="#N/A"/>
    <s v="Yes"/>
    <e v="#N/A"/>
    <n v="1.0410266666666668"/>
    <n v="0.83282133333333341"/>
    <x v="0"/>
    <x v="583"/>
    <x v="1"/>
  </r>
  <r>
    <n v="2463"/>
    <s v="M"/>
    <n v="0.44"/>
    <n v="0.32500000000000001"/>
    <n v="0.08"/>
    <n v="0.41299999999999998"/>
    <n v="0.14399999999999999"/>
    <n v="0.10150000000000001"/>
    <n v="0.13"/>
    <n v="8"/>
    <n v="13"/>
    <s v="Betty"/>
    <s v="Berg"/>
    <s v="University of Houston"/>
    <n v="6"/>
    <x v="8"/>
    <n v="14.1"/>
    <s v="Category 2"/>
    <e v="#N/A"/>
    <s v="Yes"/>
    <e v="#N/A"/>
    <n v="0.93297333333333332"/>
    <n v="0.74637866666666675"/>
    <x v="0"/>
    <x v="584"/>
    <x v="1"/>
  </r>
  <r>
    <n v="414"/>
    <s v="M"/>
    <n v="0.54500000000000004"/>
    <n v="0.44"/>
    <n v="0.12"/>
    <n v="0.85650000000000004"/>
    <n v="0.34749999999999998"/>
    <n v="0.17150000000000001"/>
    <n v="0.24"/>
    <n v="12"/>
    <n v="14"/>
    <s v="Santiago"/>
    <s v="Vaughan"/>
    <s v="Ohio State University_x0009_"/>
    <n v="6"/>
    <x v="8"/>
    <n v="14.1"/>
    <s v="Category 2"/>
    <e v="#N/A"/>
    <s v="Yes"/>
    <e v="#N/A"/>
    <n v="0.98836333333333348"/>
    <n v="0.79069066666666687"/>
    <x v="0"/>
    <x v="585"/>
    <x v="1"/>
  </r>
  <r>
    <n v="2257"/>
    <s v="M"/>
    <n v="0.52"/>
    <n v="0.38"/>
    <n v="0.13500000000000001"/>
    <n v="0.58250000000000002"/>
    <n v="0.2505"/>
    <n v="0.1565"/>
    <n v="0.17499999999999999"/>
    <n v="8"/>
    <n v="2"/>
    <s v="Tiegan"/>
    <s v="Davie"/>
    <s v="University of California, Davis"/>
    <n v="1"/>
    <x v="0"/>
    <n v="22.1"/>
    <s v="Category 2"/>
    <e v="#N/A"/>
    <s v="Yes"/>
    <e v="#N/A"/>
    <n v="0.9742729166666666"/>
    <n v="0.77941833333333332"/>
    <x v="0"/>
    <x v="586"/>
    <x v="1"/>
  </r>
  <r>
    <n v="3212"/>
    <s v="F"/>
    <n v="0.6"/>
    <n v="0.48"/>
    <n v="0.16500000000000001"/>
    <n v="1.1345000000000001"/>
    <n v="0.45350000000000001"/>
    <n v="0.27"/>
    <n v="0.33500000000000002"/>
    <n v="10"/>
    <n v="14"/>
    <s v="Santiago"/>
    <s v="Vaughan"/>
    <s v="Ohio State University_x0009_"/>
    <n v="5"/>
    <x v="3"/>
    <n v="12.8"/>
    <s v="Category 3"/>
    <e v="#N/A"/>
    <e v="#N/A"/>
    <s v="Yes"/>
    <n v="1.0155654166666666"/>
    <n v="1.0155654166666666"/>
    <x v="0"/>
    <x v="0"/>
    <x v="333"/>
  </r>
  <r>
    <n v="391"/>
    <s v="I"/>
    <n v="0.41499999999999998"/>
    <n v="0.32500000000000001"/>
    <n v="0.1"/>
    <n v="0.32150000000000001"/>
    <n v="0.1535"/>
    <n v="5.9499999999999997E-2"/>
    <n v="0.105"/>
    <n v="10"/>
    <n v="9"/>
    <s v="Danica"/>
    <s v="Tyler"/>
    <s v="University of Florida_x0009_"/>
    <n v="3"/>
    <x v="9"/>
    <n v="3.6"/>
    <s v="Category 2"/>
    <e v="#N/A"/>
    <s v="Yes"/>
    <e v="#N/A"/>
    <n v="0.93059166666666671"/>
    <n v="0.74447333333333343"/>
    <x v="0"/>
    <x v="587"/>
    <x v="1"/>
  </r>
  <r>
    <n v="2573"/>
    <s v="I"/>
    <n v="0.47499999999999998"/>
    <n v="0.38500000000000001"/>
    <n v="0.11"/>
    <n v="0.57350000000000001"/>
    <n v="0.311"/>
    <n v="0.10249999999999999"/>
    <n v="0.13600000000000001"/>
    <n v="7"/>
    <n v="15"/>
    <s v="Conan"/>
    <s v="Dalton"/>
    <s v="University of Houston"/>
    <n v="7"/>
    <x v="6"/>
    <n v="2.5"/>
    <s v="Category 2"/>
    <e v="#N/A"/>
    <s v="Yes"/>
    <e v="#N/A"/>
    <n v="0.95894750000000006"/>
    <n v="0.76715800000000012"/>
    <x v="0"/>
    <x v="588"/>
    <x v="1"/>
  </r>
  <r>
    <n v="3943"/>
    <s v="F"/>
    <n v="0.52500000000000002"/>
    <n v="0.4"/>
    <n v="0.115"/>
    <n v="0.62949999999999995"/>
    <n v="0.2555"/>
    <n v="0.14399999999999999"/>
    <n v="0.18"/>
    <n v="11"/>
    <n v="7"/>
    <s v="Iona"/>
    <s v="Connolly"/>
    <s v="Florida Atlantic University"/>
    <n v="7"/>
    <x v="6"/>
    <n v="2.5"/>
    <s v="Category 2"/>
    <e v="#N/A"/>
    <s v="Yes"/>
    <e v="#N/A"/>
    <n v="0.97843208333333331"/>
    <n v="0.78274566666666667"/>
    <x v="0"/>
    <x v="589"/>
    <x v="1"/>
  </r>
  <r>
    <n v="3067"/>
    <s v="F"/>
    <n v="0.64"/>
    <n v="0.5"/>
    <n v="0.15"/>
    <n v="1.2015"/>
    <n v="0.55900000000000005"/>
    <n v="0.23100000000000001"/>
    <n v="0.33550000000000002"/>
    <n v="9"/>
    <n v="13"/>
    <s v="Betty"/>
    <s v="Berg"/>
    <s v="University of Houston"/>
    <n v="2"/>
    <x v="1"/>
    <n v="18"/>
    <s v="Category 3"/>
    <e v="#N/A"/>
    <e v="#N/A"/>
    <s v="Yes"/>
    <n v="1.0299375000000002"/>
    <n v="1.0299375000000002"/>
    <x v="0"/>
    <x v="0"/>
    <x v="334"/>
  </r>
  <r>
    <n v="1044"/>
    <s v="M"/>
    <n v="0.68"/>
    <n v="0.53500000000000003"/>
    <n v="0.185"/>
    <n v="1.607"/>
    <n v="0.72450000000000003"/>
    <n v="0.32150000000000001"/>
    <n v="0.498"/>
    <n v="12"/>
    <n v="11"/>
    <s v="Naima"/>
    <s v="Reyes"/>
    <s v="University of Houston"/>
    <n v="6"/>
    <x v="8"/>
    <n v="14.1"/>
    <s v="Category 3"/>
    <e v="#N/A"/>
    <e v="#N/A"/>
    <s v="Yes"/>
    <n v="1.0474158333333332"/>
    <n v="1.0474158333333332"/>
    <x v="0"/>
    <x v="0"/>
    <x v="335"/>
  </r>
  <r>
    <n v="3522"/>
    <s v="I"/>
    <n v="0.215"/>
    <n v="0.15"/>
    <n v="5.5E-2"/>
    <n v="4.1000000000000002E-2"/>
    <n v="1.4999999999999999E-2"/>
    <n v="8.9999999999999993E-3"/>
    <n v="1.2500000000000001E-2"/>
    <n v="3"/>
    <n v="8"/>
    <s v="Kali"/>
    <s v="Metcalfe"/>
    <s v="Mote Marine Laboratory"/>
    <n v="4"/>
    <x v="2"/>
    <n v="6.1"/>
    <s v="Category 2"/>
    <e v="#N/A"/>
    <s v="Yes"/>
    <e v="#N/A"/>
    <n v="0.81930916666666664"/>
    <n v="0.65544733333333338"/>
    <x v="0"/>
    <x v="590"/>
    <x v="1"/>
  </r>
  <r>
    <n v="2285"/>
    <s v="I"/>
    <n v="0.40500000000000003"/>
    <n v="0.315"/>
    <n v="0.105"/>
    <n v="0.34699999999999998"/>
    <n v="0.1605"/>
    <n v="7.85E-2"/>
    <n v="0.1"/>
    <n v="9"/>
    <n v="11"/>
    <s v="Naima"/>
    <s v="Reyes"/>
    <s v="University of Houston"/>
    <n v="6"/>
    <x v="8"/>
    <n v="14.1"/>
    <s v="Category 2"/>
    <e v="#N/A"/>
    <s v="Yes"/>
    <e v="#N/A"/>
    <n v="0.92293916666666675"/>
    <n v="0.73835133333333347"/>
    <x v="0"/>
    <x v="591"/>
    <x v="1"/>
  </r>
  <r>
    <n v="1980"/>
    <s v="M"/>
    <n v="0.7"/>
    <n v="0.55000000000000004"/>
    <n v="0.19500000000000001"/>
    <n v="1.6245000000000001"/>
    <n v="0.67500000000000004"/>
    <n v="0.34699999999999998"/>
    <n v="0.53500000000000003"/>
    <n v="13"/>
    <n v="4"/>
    <s v="Nate"/>
    <s v="Craig"/>
    <s v="NOAA Fisheries"/>
    <n v="10"/>
    <x v="5"/>
    <n v="24.1"/>
    <s v="Category 3"/>
    <e v="#N/A"/>
    <e v="#N/A"/>
    <s v="Yes"/>
    <n v="1.0611629166666667"/>
    <n v="1.0611629166666667"/>
    <x v="0"/>
    <x v="0"/>
    <x v="336"/>
  </r>
  <r>
    <n v="3089"/>
    <s v="I"/>
    <n v="0.42499999999999999"/>
    <n v="0.32"/>
    <n v="8.5000000000000006E-2"/>
    <n v="0.26200000000000001"/>
    <n v="0.1235"/>
    <n v="6.7000000000000004E-2"/>
    <n v="7.2499999999999995E-2"/>
    <n v="8"/>
    <n v="2"/>
    <s v="Tiegan"/>
    <s v="Davie"/>
    <s v="University of California, Davis"/>
    <n v="7"/>
    <x v="6"/>
    <n v="2.5"/>
    <s v="Category 2"/>
    <e v="#N/A"/>
    <s v="Yes"/>
    <e v="#N/A"/>
    <n v="0.93457833333333329"/>
    <n v="0.7476626666666667"/>
    <x v="0"/>
    <x v="592"/>
    <x v="1"/>
  </r>
  <r>
    <n v="3046"/>
    <s v="F"/>
    <n v="0.57999999999999996"/>
    <n v="0.435"/>
    <n v="0.155"/>
    <n v="0.87849999999999995"/>
    <n v="0.42499999999999999"/>
    <n v="0.16850000000000001"/>
    <n v="0.24249999999999999"/>
    <n v="10"/>
    <n v="4"/>
    <s v="Nate"/>
    <s v="Craig"/>
    <s v="NOAA Fisheries"/>
    <n v="7"/>
    <x v="6"/>
    <n v="2.5"/>
    <s v="Category 3"/>
    <e v="#N/A"/>
    <e v="#N/A"/>
    <s v="Yes"/>
    <n v="1.0024612500000001"/>
    <n v="1.0024612500000001"/>
    <x v="0"/>
    <x v="0"/>
    <x v="337"/>
  </r>
  <r>
    <n v="3483"/>
    <s v="I"/>
    <n v="0.47"/>
    <n v="0.35499999999999998"/>
    <n v="0.14499999999999999"/>
    <n v="0.44850000000000001"/>
    <n v="0.156"/>
    <n v="0.10199999999999999"/>
    <n v="0.123"/>
    <n v="7"/>
    <n v="9"/>
    <s v="Danica"/>
    <s v="Tyler"/>
    <s v="University of Florida_x0009_"/>
    <n v="10"/>
    <x v="5"/>
    <n v="24.1"/>
    <s v="Category 2"/>
    <e v="#N/A"/>
    <s v="Yes"/>
    <e v="#N/A"/>
    <n v="0.95593874999999995"/>
    <n v="0.76475099999999996"/>
    <x v="0"/>
    <x v="593"/>
    <x v="1"/>
  </r>
  <r>
    <n v="2575"/>
    <s v="M"/>
    <n v="0.48"/>
    <n v="0.37"/>
    <n v="0.1"/>
    <n v="0.51349999999999996"/>
    <n v="0.24299999999999999"/>
    <n v="0.10150000000000001"/>
    <n v="0.13500000000000001"/>
    <n v="8"/>
    <n v="14"/>
    <s v="Santiago"/>
    <s v="Vaughan"/>
    <s v="Ohio State University_x0009_"/>
    <n v="9"/>
    <x v="7"/>
    <n v="1.9"/>
    <s v="Category 2"/>
    <e v="#N/A"/>
    <s v="Yes"/>
    <e v="#N/A"/>
    <n v="0.95765833333333328"/>
    <n v="0.76612666666666662"/>
    <x v="0"/>
    <x v="594"/>
    <x v="1"/>
  </r>
  <r>
    <n v="2562"/>
    <s v="I"/>
    <n v="0.44"/>
    <n v="0.34499999999999997"/>
    <n v="0.115"/>
    <n v="0.54500000000000004"/>
    <n v="0.26900000000000002"/>
    <n v="0.111"/>
    <n v="0.1305"/>
    <n v="6"/>
    <n v="15"/>
    <s v="Conan"/>
    <s v="Dalton"/>
    <s v="University of Houston"/>
    <n v="6"/>
    <x v="8"/>
    <n v="14.1"/>
    <s v="Category 2"/>
    <e v="#N/A"/>
    <s v="Yes"/>
    <e v="#N/A"/>
    <n v="0.93577916666666672"/>
    <n v="0.74862333333333342"/>
    <x v="0"/>
    <x v="595"/>
    <x v="1"/>
  </r>
  <r>
    <n v="2730"/>
    <s v="I"/>
    <n v="0.40500000000000003"/>
    <n v="0.30499999999999999"/>
    <n v="0.1"/>
    <n v="0.26800000000000002"/>
    <n v="0.1145"/>
    <n v="5.2999999999999999E-2"/>
    <n v="8.5000000000000006E-2"/>
    <n v="7"/>
    <n v="6"/>
    <s v="Martin"/>
    <s v="Gaines"/>
    <s v="San Diego State University"/>
    <n v="10"/>
    <x v="5"/>
    <n v="24.1"/>
    <s v="Category 2"/>
    <e v="#N/A"/>
    <s v="Yes"/>
    <e v="#N/A"/>
    <n v="0.92326666666666679"/>
    <n v="0.73861333333333345"/>
    <x v="0"/>
    <x v="596"/>
    <x v="1"/>
  </r>
  <r>
    <n v="3325"/>
    <s v="I"/>
    <n v="0.375"/>
    <n v="0.28000000000000003"/>
    <n v="0.1"/>
    <n v="0.25650000000000001"/>
    <n v="0.11650000000000001"/>
    <n v="5.8500000000000003E-2"/>
    <n v="7.2499999999999995E-2"/>
    <n v="12"/>
    <n v="14"/>
    <s v="Santiago"/>
    <s v="Vaughan"/>
    <s v="Ohio State University_x0009_"/>
    <n v="3"/>
    <x v="9"/>
    <n v="3.6"/>
    <s v="Category 2"/>
    <e v="#N/A"/>
    <s v="Yes"/>
    <e v="#N/A"/>
    <n v="0.90550833333333336"/>
    <n v="0.72440666666666675"/>
    <x v="0"/>
    <x v="597"/>
    <x v="1"/>
  </r>
  <r>
    <n v="3292"/>
    <s v="M"/>
    <n v="0.53"/>
    <n v="0.40500000000000003"/>
    <n v="0.13"/>
    <n v="0.73799999999999999"/>
    <n v="0.28449999999999998"/>
    <n v="0.17"/>
    <n v="0.193"/>
    <n v="9"/>
    <n v="13"/>
    <s v="Betty"/>
    <s v="Berg"/>
    <s v="University of Houston"/>
    <n v="3"/>
    <x v="9"/>
    <n v="3.6"/>
    <s v="Category 2"/>
    <e v="#N/A"/>
    <s v="Yes"/>
    <e v="#N/A"/>
    <n v="0.97845666666666675"/>
    <n v="0.78276533333333342"/>
    <x v="0"/>
    <x v="598"/>
    <x v="1"/>
  </r>
  <r>
    <n v="3594"/>
    <s v="F"/>
    <n v="0.65500000000000003"/>
    <n v="0.53"/>
    <n v="0.16500000000000001"/>
    <n v="1.2835000000000001"/>
    <n v="0.58299999999999996"/>
    <n v="0.1255"/>
    <n v="0.4"/>
    <n v="8"/>
    <n v="7"/>
    <s v="Iona"/>
    <s v="Connolly"/>
    <s v="Florida Atlantic University"/>
    <n v="1"/>
    <x v="0"/>
    <n v="22.1"/>
    <s v="Category 3"/>
    <e v="#N/A"/>
    <e v="#N/A"/>
    <s v="Yes"/>
    <n v="1.0447295833333334"/>
    <n v="1.0447295833333334"/>
    <x v="0"/>
    <x v="0"/>
    <x v="338"/>
  </r>
  <r>
    <n v="3278"/>
    <s v="F"/>
    <n v="0.46500000000000002"/>
    <n v="0.39"/>
    <n v="0.14000000000000001"/>
    <n v="0.55549999999999999"/>
    <n v="0.21299999999999999"/>
    <n v="0.1075"/>
    <n v="0.215"/>
    <n v="15"/>
    <n v="7"/>
    <s v="Iona"/>
    <s v="Connolly"/>
    <s v="Florida Atlantic University"/>
    <n v="6"/>
    <x v="8"/>
    <n v="14.1"/>
    <s v="Category 2"/>
    <e v="#N/A"/>
    <s v="Yes"/>
    <e v="#N/A"/>
    <n v="0.96092833333333327"/>
    <n v="0.76874266666666669"/>
    <x v="0"/>
    <x v="599"/>
    <x v="1"/>
  </r>
  <r>
    <n v="3385"/>
    <s v="F"/>
    <n v="0.30499999999999999"/>
    <n v="0.22500000000000001"/>
    <n v="7.0000000000000007E-2"/>
    <n v="0.14849999999999999"/>
    <n v="5.8500000000000003E-2"/>
    <n v="3.3500000000000002E-2"/>
    <n v="4.4999999999999998E-2"/>
    <n v="7"/>
    <n v="10"/>
    <s v="Hazel"/>
    <s v="Villa"/>
    <s v="University of Minnesota"/>
    <n v="8"/>
    <x v="4"/>
    <n v="12.3"/>
    <s v="Category 2"/>
    <e v="#N/A"/>
    <s v="Yes"/>
    <e v="#N/A"/>
    <n v="0.86849916666666671"/>
    <n v="0.69479933333333344"/>
    <x v="0"/>
    <x v="600"/>
    <x v="1"/>
  </r>
  <r>
    <n v="1859"/>
    <s v="F"/>
    <n v="0.51"/>
    <n v="0.4"/>
    <n v="0.12"/>
    <n v="0.70050000000000001"/>
    <n v="0.34699999999999998"/>
    <n v="0.1105"/>
    <n v="0.19500000000000001"/>
    <n v="10"/>
    <n v="2"/>
    <s v="Tiegan"/>
    <s v="Davie"/>
    <s v="University of California, Davis"/>
    <n v="8"/>
    <x v="4"/>
    <n v="12.3"/>
    <s v="Category 2"/>
    <e v="#N/A"/>
    <s v="Yes"/>
    <e v="#N/A"/>
    <n v="0.97064333333333341"/>
    <n v="0.7765146666666668"/>
    <x v="0"/>
    <x v="601"/>
    <x v="1"/>
  </r>
  <r>
    <n v="3671"/>
    <s v="M"/>
    <n v="0.59"/>
    <n v="0.46500000000000002"/>
    <n v="0.13500000000000001"/>
    <n v="0.98950000000000005"/>
    <n v="0.42349999999999999"/>
    <n v="0.19900000000000001"/>
    <n v="0.28000000000000003"/>
    <n v="8"/>
    <n v="8"/>
    <s v="Kali"/>
    <s v="Metcalfe"/>
    <s v="Mote Marine Laboratory"/>
    <n v="4"/>
    <x v="2"/>
    <n v="6.1"/>
    <s v="Category 3"/>
    <e v="#N/A"/>
    <e v="#N/A"/>
    <s v="Yes"/>
    <n v="1.00796375"/>
    <n v="1.00796375"/>
    <x v="0"/>
    <x v="0"/>
    <x v="339"/>
  </r>
  <r>
    <n v="1162"/>
    <s v="M"/>
    <n v="0.61"/>
    <n v="0.48499999999999999"/>
    <n v="0.16"/>
    <n v="1.0145"/>
    <n v="0.53149999999999997"/>
    <n v="0.21199999999999999"/>
    <n v="0.24149999999999999"/>
    <n v="8"/>
    <n v="10"/>
    <s v="Hazel"/>
    <s v="Villa"/>
    <s v="University of Minnesota"/>
    <n v="9"/>
    <x v="7"/>
    <n v="1.9"/>
    <s v="Category 3"/>
    <e v="#N/A"/>
    <e v="#N/A"/>
    <s v="Yes"/>
    <n v="1.0244199999999999"/>
    <n v="1.0244199999999999"/>
    <x v="0"/>
    <x v="0"/>
    <x v="340"/>
  </r>
  <r>
    <n v="3328"/>
    <s v="I"/>
    <n v="0.63500000000000001"/>
    <n v="0.48"/>
    <n v="0.2"/>
    <n v="1.3654999999999999"/>
    <n v="0.62549999999999994"/>
    <n v="0.25950000000000001"/>
    <n v="0.42499999999999999"/>
    <n v="16"/>
    <n v="6"/>
    <s v="Martin"/>
    <s v="Gaines"/>
    <s v="San Diego State University"/>
    <n v="3"/>
    <x v="9"/>
    <n v="3.6"/>
    <s v="Category 1"/>
    <s v="Yes"/>
    <e v="#N/A"/>
    <e v="#N/A"/>
    <n v="1.0261499999999999"/>
    <n v="1.5392249999999998"/>
    <x v="11"/>
    <x v="0"/>
    <x v="1"/>
  </r>
  <r>
    <n v="2577"/>
    <s v="I"/>
    <n v="0.5"/>
    <n v="0.38"/>
    <n v="0.11"/>
    <n v="0.49399999999999999"/>
    <n v="0.218"/>
    <n v="0.09"/>
    <n v="0.13250000000000001"/>
    <n v="7"/>
    <n v="15"/>
    <s v="Conan"/>
    <s v="Dalton"/>
    <s v="University of Houston"/>
    <n v="5"/>
    <x v="3"/>
    <n v="12.8"/>
    <s v="Category 2"/>
    <e v="#N/A"/>
    <s v="Yes"/>
    <e v="#N/A"/>
    <n v="0.96945666666666663"/>
    <n v="0.77556533333333333"/>
    <x v="0"/>
    <x v="602"/>
    <x v="1"/>
  </r>
  <r>
    <n v="3668"/>
    <s v="F"/>
    <n v="0.58499999999999996"/>
    <n v="0.42"/>
    <n v="0.155"/>
    <n v="1.034"/>
    <n v="0.437"/>
    <n v="0.2225"/>
    <n v="0.32"/>
    <n v="11"/>
    <n v="15"/>
    <s v="Conan"/>
    <s v="Dalton"/>
    <s v="University of Houston"/>
    <n v="3"/>
    <x v="9"/>
    <n v="3.6"/>
    <s v="Category 3"/>
    <e v="#N/A"/>
    <e v="#N/A"/>
    <s v="Yes"/>
    <n v="0.99277833333333321"/>
    <n v="0.99277833333333321"/>
    <x v="0"/>
    <x v="0"/>
    <x v="341"/>
  </r>
  <r>
    <n v="2566"/>
    <s v="I"/>
    <n v="0.45"/>
    <n v="0.35"/>
    <n v="0.12"/>
    <n v="0.46800000000000003"/>
    <n v="0.20050000000000001"/>
    <n v="0.1065"/>
    <n v="0.13250000000000001"/>
    <n v="8"/>
    <n v="5"/>
    <s v="Haniya"/>
    <s v="Talley"/>
    <s v="Prince William Sound Science Center"/>
    <n v="10"/>
    <x v="5"/>
    <n v="24.1"/>
    <s v="Category 2"/>
    <e v="#N/A"/>
    <s v="Yes"/>
    <e v="#N/A"/>
    <n v="0.9448266666666667"/>
    <n v="0.75586133333333339"/>
    <x v="0"/>
    <x v="603"/>
    <x v="1"/>
  </r>
  <r>
    <n v="1282"/>
    <s v="I"/>
    <n v="0.5"/>
    <n v="0.38"/>
    <n v="0.13500000000000001"/>
    <n v="0.59399999999999997"/>
    <n v="0.29449999999999998"/>
    <n v="0.104"/>
    <n v="0.1565"/>
    <n v="9"/>
    <n v="8"/>
    <s v="Kali"/>
    <s v="Metcalfe"/>
    <s v="Mote Marine Laboratory"/>
    <n v="6"/>
    <x v="8"/>
    <n v="14.1"/>
    <s v="Category 2"/>
    <e v="#N/A"/>
    <s v="Yes"/>
    <e v="#N/A"/>
    <n v="0.96709833333333328"/>
    <n v="0.77367866666666663"/>
    <x v="0"/>
    <x v="604"/>
    <x v="1"/>
  </r>
  <r>
    <n v="2552"/>
    <s v="I"/>
    <n v="0.29499999999999998"/>
    <n v="0.22"/>
    <n v="7.0000000000000007E-2"/>
    <n v="0.126"/>
    <n v="5.1499999999999997E-2"/>
    <n v="2.75E-2"/>
    <n v="3.5000000000000003E-2"/>
    <n v="6"/>
    <n v="11"/>
    <s v="Naima"/>
    <s v="Reyes"/>
    <s v="University of Houston"/>
    <n v="7"/>
    <x v="6"/>
    <n v="2.5"/>
    <s v="Category 2"/>
    <e v="#N/A"/>
    <s v="Yes"/>
    <e v="#N/A"/>
    <n v="0.8647366666666666"/>
    <n v="0.69178933333333337"/>
    <x v="0"/>
    <x v="605"/>
    <x v="1"/>
  </r>
  <r>
    <n v="3013"/>
    <s v="I"/>
    <n v="0.39"/>
    <n v="0.3"/>
    <n v="0.1"/>
    <n v="0.26650000000000001"/>
    <n v="0.1105"/>
    <n v="5.8999999999999997E-2"/>
    <n v="8.4000000000000005E-2"/>
    <n v="7"/>
    <n v="1"/>
    <s v="Jan"/>
    <s v="Odom"/>
    <s v="University of Houston"/>
    <n v="9"/>
    <x v="7"/>
    <n v="1.9"/>
    <s v="Category 2"/>
    <e v="#N/A"/>
    <s v="Yes"/>
    <e v="#N/A"/>
    <n v="0.91667500000000002"/>
    <n v="0.7333400000000001"/>
    <x v="0"/>
    <x v="606"/>
    <x v="1"/>
  </r>
  <r>
    <n v="1646"/>
    <s v="M"/>
    <n v="0.57999999999999996"/>
    <n v="0.43"/>
    <n v="0.13"/>
    <n v="0.79800000000000004"/>
    <n v="0.36499999999999999"/>
    <n v="0.17299999999999999"/>
    <n v="0.22850000000000001"/>
    <n v="10"/>
    <n v="4"/>
    <s v="Nate"/>
    <s v="Craig"/>
    <s v="NOAA Fisheries"/>
    <n v="1"/>
    <x v="0"/>
    <n v="22.1"/>
    <s v="Category 2"/>
    <e v="#N/A"/>
    <s v="Yes"/>
    <e v="#N/A"/>
    <n v="1.0007566666666667"/>
    <n v="0.80060533333333339"/>
    <x v="0"/>
    <x v="607"/>
    <x v="1"/>
  </r>
  <r>
    <n v="685"/>
    <s v="M"/>
    <n v="0.51"/>
    <n v="0.4"/>
    <n v="0.14000000000000001"/>
    <n v="0.65149999999999997"/>
    <n v="0.2455"/>
    <n v="0.16650000000000001"/>
    <n v="0.185"/>
    <n v="10"/>
    <n v="14"/>
    <s v="Santiago"/>
    <s v="Vaughan"/>
    <s v="Ohio State University_x0009_"/>
    <n v="8"/>
    <x v="4"/>
    <n v="12.3"/>
    <s v="Category 2"/>
    <e v="#N/A"/>
    <s v="Yes"/>
    <e v="#N/A"/>
    <n v="0.97510166666666676"/>
    <n v="0.7800813333333334"/>
    <x v="0"/>
    <x v="608"/>
    <x v="1"/>
  </r>
  <r>
    <n v="1461"/>
    <s v="M"/>
    <n v="0.48499999999999999"/>
    <n v="0.39"/>
    <n v="8.5000000000000006E-2"/>
    <n v="0.64349999999999996"/>
    <n v="0.29449999999999998"/>
    <n v="0.10299999999999999"/>
    <n v="0.19800000000000001"/>
    <n v="8"/>
    <n v="13"/>
    <s v="Betty"/>
    <s v="Berg"/>
    <s v="University of Houston"/>
    <n v="9"/>
    <x v="7"/>
    <n v="1.9"/>
    <s v="Category 2"/>
    <e v="#N/A"/>
    <s v="Yes"/>
    <e v="#N/A"/>
    <n v="0.95788291666666669"/>
    <n v="0.76630633333333342"/>
    <x v="0"/>
    <x v="609"/>
    <x v="1"/>
  </r>
  <r>
    <n v="3293"/>
    <s v="F"/>
    <n v="0.495"/>
    <n v="0.375"/>
    <n v="0.15"/>
    <n v="0.59699999999999998"/>
    <n v="0.26150000000000001"/>
    <n v="0.13500000000000001"/>
    <n v="0.17799999999999999"/>
    <n v="11"/>
    <n v="15"/>
    <s v="Conan"/>
    <s v="Dalton"/>
    <s v="University of Houston"/>
    <n v="4"/>
    <x v="2"/>
    <n v="6.1"/>
    <s v="Category 2"/>
    <e v="#N/A"/>
    <s v="Yes"/>
    <e v="#N/A"/>
    <n v="0.96512500000000001"/>
    <n v="0.77210000000000001"/>
    <x v="0"/>
    <x v="610"/>
    <x v="1"/>
  </r>
  <r>
    <n v="2986"/>
    <s v="I"/>
    <n v="0.53500000000000003"/>
    <n v="0.4"/>
    <n v="0.13500000000000001"/>
    <n v="0.77500000000000002"/>
    <n v="0.36799999999999999"/>
    <n v="0.20799999999999999"/>
    <n v="0.20549999999999999"/>
    <n v="8"/>
    <n v="12"/>
    <s v="Rebecca"/>
    <s v="Bennett"/>
    <s v="University of Houston"/>
    <n v="6"/>
    <x v="8"/>
    <n v="14.1"/>
    <s v="Category 2"/>
    <e v="#N/A"/>
    <s v="Yes"/>
    <e v="#N/A"/>
    <n v="0.97743750000000007"/>
    <n v="0.78195000000000014"/>
    <x v="0"/>
    <x v="611"/>
    <x v="1"/>
  </r>
  <r>
    <n v="348"/>
    <s v="I"/>
    <n v="0.34"/>
    <n v="0.26"/>
    <n v="0.08"/>
    <n v="0.2"/>
    <n v="0.08"/>
    <n v="5.5500000000000001E-2"/>
    <n v="5.5E-2"/>
    <n v="6"/>
    <n v="13"/>
    <s v="Betty"/>
    <s v="Berg"/>
    <s v="University of Houston"/>
    <n v="5"/>
    <x v="3"/>
    <n v="12.8"/>
    <s v="Category 2"/>
    <e v="#N/A"/>
    <s v="Yes"/>
    <e v="#N/A"/>
    <n v="0.88933333333333331"/>
    <n v="0.71146666666666669"/>
    <x v="0"/>
    <x v="612"/>
    <x v="1"/>
  </r>
  <r>
    <n v="3232"/>
    <s v="M"/>
    <n v="0.41"/>
    <n v="0.32500000000000001"/>
    <n v="0.12"/>
    <n v="0.3745"/>
    <n v="0.158"/>
    <n v="8.1000000000000003E-2"/>
    <n v="0.125"/>
    <n v="12"/>
    <n v="12"/>
    <s v="Rebecca"/>
    <s v="Bennett"/>
    <s v="University of Houston"/>
    <n v="8"/>
    <x v="4"/>
    <n v="12.3"/>
    <s v="Category 2"/>
    <e v="#N/A"/>
    <s v="Yes"/>
    <e v="#N/A"/>
    <n v="0.92752333333333326"/>
    <n v="0.7420186666666666"/>
    <x v="0"/>
    <x v="613"/>
    <x v="1"/>
  </r>
  <r>
    <n v="697"/>
    <s v="I"/>
    <n v="0.155"/>
    <n v="0.105"/>
    <n v="0.05"/>
    <n v="1.7500000000000002E-2"/>
    <n v="5.0000000000000001E-3"/>
    <n v="3.5000000000000001E-3"/>
    <n v="5.0000000000000001E-3"/>
    <n v="4"/>
    <n v="3"/>
    <s v="Inaya"/>
    <s v="Bernard"/>
    <s v="Stanford University"/>
    <n v="6"/>
    <x v="8"/>
    <n v="14.1"/>
    <s v="Category 2"/>
    <e v="#N/A"/>
    <s v="Yes"/>
    <e v="#N/A"/>
    <n v="0.78564583333333327"/>
    <n v="0.62851666666666661"/>
    <x v="0"/>
    <x v="614"/>
    <x v="1"/>
  </r>
  <r>
    <n v="1281"/>
    <s v="M"/>
    <n v="0.495"/>
    <n v="0.39500000000000002"/>
    <n v="0.12"/>
    <n v="0.55300000000000005"/>
    <n v="0.224"/>
    <n v="0.13750000000000001"/>
    <n v="0.16700000000000001"/>
    <n v="8"/>
    <n v="15"/>
    <s v="Conan"/>
    <s v="Dalton"/>
    <s v="University of Houston"/>
    <n v="6"/>
    <x v="8"/>
    <n v="14.1"/>
    <s v="Category 2"/>
    <e v="#N/A"/>
    <s v="Yes"/>
    <e v="#N/A"/>
    <n v="0.97085999999999995"/>
    <n v="0.77668800000000005"/>
    <x v="0"/>
    <x v="615"/>
    <x v="1"/>
  </r>
  <r>
    <n v="2531"/>
    <s v="F"/>
    <n v="0.6"/>
    <n v="0.48499999999999999"/>
    <n v="0.16500000000000001"/>
    <n v="1.1405000000000001"/>
    <n v="0.58699999999999997"/>
    <n v="0.2175"/>
    <n v="0.28799999999999998"/>
    <n v="9"/>
    <n v="12"/>
    <s v="Rebecca"/>
    <s v="Bennett"/>
    <s v="University of Houston"/>
    <n v="8"/>
    <x v="4"/>
    <n v="12.3"/>
    <s v="Category 3"/>
    <e v="#N/A"/>
    <e v="#N/A"/>
    <s v="Yes"/>
    <n v="1.0169970833333333"/>
    <n v="1.0169970833333333"/>
    <x v="0"/>
    <x v="0"/>
    <x v="342"/>
  </r>
  <r>
    <n v="2704"/>
    <s v="M"/>
    <n v="0.68"/>
    <n v="0.53"/>
    <n v="0.18"/>
    <n v="1.5289999999999999"/>
    <n v="0.76349999999999996"/>
    <n v="0.3115"/>
    <n v="0.40250000000000002"/>
    <n v="11"/>
    <n v="9"/>
    <s v="Danica"/>
    <s v="Tyler"/>
    <s v="University of Florida_x0009_"/>
    <n v="6"/>
    <x v="8"/>
    <n v="14.1"/>
    <s v="Category 3"/>
    <e v="#N/A"/>
    <e v="#N/A"/>
    <s v="Yes"/>
    <n v="1.0472700000000001"/>
    <n v="1.0472700000000001"/>
    <x v="0"/>
    <x v="0"/>
    <x v="343"/>
  </r>
  <r>
    <n v="2104"/>
    <s v="M"/>
    <n v="0.375"/>
    <n v="0.28999999999999998"/>
    <n v="0.1"/>
    <n v="0.27600000000000002"/>
    <n v="0.11749999999999999"/>
    <n v="5.6500000000000002E-2"/>
    <n v="8.5000000000000006E-2"/>
    <n v="9"/>
    <n v="3"/>
    <s v="Inaya"/>
    <s v="Bernard"/>
    <s v="Stanford University"/>
    <n v="2"/>
    <x v="1"/>
    <n v="18"/>
    <s v="Category 2"/>
    <e v="#N/A"/>
    <s v="Yes"/>
    <e v="#N/A"/>
    <n v="0.9078666666666666"/>
    <n v="0.72629333333333335"/>
    <x v="0"/>
    <x v="616"/>
    <x v="1"/>
  </r>
  <r>
    <n v="1171"/>
    <s v="F"/>
    <n v="0.625"/>
    <n v="0.48499999999999999"/>
    <n v="0.17499999999999999"/>
    <n v="1.3745000000000001"/>
    <n v="0.73350000000000004"/>
    <n v="0.27150000000000002"/>
    <n v="0.33200000000000002"/>
    <n v="9"/>
    <n v="14"/>
    <s v="Santiago"/>
    <s v="Vaughan"/>
    <s v="Ohio State University_x0009_"/>
    <n v="7"/>
    <x v="6"/>
    <n v="2.5"/>
    <s v="Category 3"/>
    <e v="#N/A"/>
    <e v="#N/A"/>
    <s v="Yes"/>
    <n v="1.0184562500000001"/>
    <n v="1.0184562500000001"/>
    <x v="0"/>
    <x v="0"/>
    <x v="344"/>
  </r>
  <r>
    <n v="3248"/>
    <s v="F"/>
    <n v="0.61"/>
    <n v="0.495"/>
    <n v="0.19"/>
    <n v="1.2130000000000001"/>
    <n v="0.46400000000000002"/>
    <n v="0.30599999999999999"/>
    <n v="0.36499999999999999"/>
    <n v="15"/>
    <n v="11"/>
    <s v="Naima"/>
    <s v="Reyes"/>
    <s v="University of Houston"/>
    <n v="6"/>
    <x v="8"/>
    <n v="14.1"/>
    <s v="Category 3"/>
    <e v="#N/A"/>
    <e v="#N/A"/>
    <s v="Yes"/>
    <n v="1.0258783333333334"/>
    <n v="1.0258783333333334"/>
    <x v="0"/>
    <x v="0"/>
    <x v="345"/>
  </r>
  <r>
    <n v="3470"/>
    <s v="F"/>
    <n v="0.71499999999999997"/>
    <n v="0.58499999999999996"/>
    <n v="0.23"/>
    <n v="2.0724999999999998"/>
    <n v="0.86550000000000005"/>
    <n v="0.40949999999999998"/>
    <n v="0.56499999999999995"/>
    <n v="10"/>
    <n v="6"/>
    <s v="Martin"/>
    <s v="Gaines"/>
    <s v="San Diego State University"/>
    <n v="6"/>
    <x v="8"/>
    <n v="14.1"/>
    <s v="Category 3"/>
    <e v="#N/A"/>
    <e v="#N/A"/>
    <s v="Yes"/>
    <n v="1.0746125"/>
    <n v="1.0746125"/>
    <x v="0"/>
    <x v="0"/>
    <x v="346"/>
  </r>
  <r>
    <n v="4107"/>
    <s v="F"/>
    <n v="0.72"/>
    <n v="0.59"/>
    <n v="0.20499999999999999"/>
    <n v="1.7495000000000001"/>
    <n v="0.77549999999999997"/>
    <n v="0.42249999999999999"/>
    <n v="0.48"/>
    <n v="11"/>
    <n v="10"/>
    <s v="Hazel"/>
    <s v="Villa"/>
    <s v="University of Minnesota"/>
    <n v="2"/>
    <x v="1"/>
    <n v="18"/>
    <s v="Category 3"/>
    <e v="#N/A"/>
    <e v="#N/A"/>
    <s v="Yes"/>
    <n v="1.0798079166666665"/>
    <n v="1.0798079166666665"/>
    <x v="0"/>
    <x v="0"/>
    <x v="347"/>
  </r>
  <r>
    <n v="1111"/>
    <s v="I"/>
    <n v="0.52"/>
    <n v="0.38"/>
    <n v="0.13500000000000001"/>
    <n v="0.53949999999999998"/>
    <n v="0.22950000000000001"/>
    <n v="0.13300000000000001"/>
    <n v="0.157"/>
    <n v="8"/>
    <n v="15"/>
    <s v="Conan"/>
    <s v="Dalton"/>
    <s v="University of Houston"/>
    <n v="5"/>
    <x v="3"/>
    <n v="12.8"/>
    <s v="Category 2"/>
    <e v="#N/A"/>
    <s v="Yes"/>
    <e v="#N/A"/>
    <n v="0.97617208333333327"/>
    <n v="0.78093766666666664"/>
    <x v="0"/>
    <x v="617"/>
    <x v="1"/>
  </r>
  <r>
    <n v="1944"/>
    <s v="F"/>
    <n v="0.63500000000000001"/>
    <n v="0.48499999999999999"/>
    <n v="0.16500000000000001"/>
    <n v="1.2695000000000001"/>
    <n v="0.5635"/>
    <n v="0.30649999999999999"/>
    <n v="0.33950000000000002"/>
    <n v="11"/>
    <n v="9"/>
    <s v="Danica"/>
    <s v="Tyler"/>
    <s v="University of Florida_x0009_"/>
    <n v="9"/>
    <x v="7"/>
    <n v="1.9"/>
    <s v="Category 3"/>
    <e v="#N/A"/>
    <e v="#N/A"/>
    <s v="Yes"/>
    <n v="1.0236112499999999"/>
    <n v="1.0236112499999999"/>
    <x v="0"/>
    <x v="0"/>
    <x v="348"/>
  </r>
  <r>
    <n v="2240"/>
    <s v="F"/>
    <n v="0.46"/>
    <n v="0.36"/>
    <n v="0.115"/>
    <n v="0.47549999999999998"/>
    <n v="0.21049999999999999"/>
    <n v="0.105"/>
    <n v="0.16"/>
    <n v="8"/>
    <n v="2"/>
    <s v="Tiegan"/>
    <s v="Davie"/>
    <s v="University of California, Davis"/>
    <n v="10"/>
    <x v="5"/>
    <n v="24.1"/>
    <s v="Category 2"/>
    <e v="#N/A"/>
    <s v="Yes"/>
    <e v="#N/A"/>
    <n v="0.95074708333333335"/>
    <n v="0.76059766666666673"/>
    <x v="0"/>
    <x v="618"/>
    <x v="1"/>
  </r>
  <r>
    <n v="221"/>
    <s v="F"/>
    <n v="0.44500000000000001"/>
    <n v="0.32500000000000001"/>
    <n v="0.125"/>
    <n v="0.45500000000000002"/>
    <n v="0.17849999999999999"/>
    <n v="0.1125"/>
    <n v="0.14000000000000001"/>
    <n v="9"/>
    <n v="12"/>
    <s v="Rebecca"/>
    <s v="Bennett"/>
    <s v="University of Houston"/>
    <n v="6"/>
    <x v="8"/>
    <n v="14.1"/>
    <s v="Category 2"/>
    <e v="#N/A"/>
    <s v="Yes"/>
    <e v="#N/A"/>
    <n v="0.93581250000000005"/>
    <n v="0.74865000000000004"/>
    <x v="0"/>
    <x v="619"/>
    <x v="1"/>
  </r>
  <r>
    <n v="728"/>
    <s v="F"/>
    <n v="0.48"/>
    <n v="0.375"/>
    <n v="0.105"/>
    <n v="0.52500000000000002"/>
    <n v="0.2185"/>
    <n v="0.1195"/>
    <n v="0.155"/>
    <n v="12"/>
    <n v="10"/>
    <s v="Hazel"/>
    <s v="Villa"/>
    <s v="University of Minnesota"/>
    <n v="7"/>
    <x v="6"/>
    <n v="2.5"/>
    <s v="Category 2"/>
    <e v="#N/A"/>
    <s v="Yes"/>
    <e v="#N/A"/>
    <n v="0.95918749999999997"/>
    <n v="0.76734999999999998"/>
    <x v="0"/>
    <x v="620"/>
    <x v="1"/>
  </r>
  <r>
    <n v="3741"/>
    <s v="F"/>
    <n v="0.65"/>
    <n v="0.5"/>
    <n v="0.17"/>
    <n v="1.4045000000000001"/>
    <n v="0.69399999999999995"/>
    <n v="0.318"/>
    <n v="0.32350000000000001"/>
    <n v="11"/>
    <n v="7"/>
    <s v="Iona"/>
    <s v="Connolly"/>
    <s v="Florida Atlantic University"/>
    <n v="4"/>
    <x v="2"/>
    <n v="6.1"/>
    <s v="Category 3"/>
    <e v="#N/A"/>
    <e v="#N/A"/>
    <s v="Yes"/>
    <n v="1.0294941666666668"/>
    <n v="1.0294941666666668"/>
    <x v="0"/>
    <x v="0"/>
    <x v="349"/>
  </r>
  <r>
    <n v="1077"/>
    <s v="I"/>
    <n v="0.42"/>
    <n v="0.3"/>
    <n v="0.105"/>
    <n v="0.316"/>
    <n v="0.1255"/>
    <n v="7.0000000000000007E-2"/>
    <n v="0.10349999999999999"/>
    <n v="7"/>
    <n v="2"/>
    <s v="Tiegan"/>
    <s v="Davie"/>
    <s v="University of California, Davis"/>
    <n v="3"/>
    <x v="9"/>
    <n v="3.6"/>
    <s v="Category 2"/>
    <e v="#N/A"/>
    <s v="Yes"/>
    <e v="#N/A"/>
    <n v="0.92446333333333341"/>
    <n v="0.73957066666666682"/>
    <x v="0"/>
    <x v="621"/>
    <x v="1"/>
  </r>
  <r>
    <n v="2829"/>
    <s v="M"/>
    <n v="0.52"/>
    <n v="0.4"/>
    <n v="0.105"/>
    <n v="0.872"/>
    <n v="0.45150000000000001"/>
    <n v="0.1615"/>
    <n v="0.19850000000000001"/>
    <n v="9"/>
    <n v="6"/>
    <s v="Martin"/>
    <s v="Gaines"/>
    <s v="San Diego State University"/>
    <n v="10"/>
    <x v="5"/>
    <n v="24.1"/>
    <s v="Category 3"/>
    <e v="#N/A"/>
    <e v="#N/A"/>
    <s v="Yes"/>
    <n v="0.96379333333333328"/>
    <n v="0.96379333333333328"/>
    <x v="0"/>
    <x v="0"/>
    <x v="350"/>
  </r>
  <r>
    <n v="3231"/>
    <s v="M"/>
    <n v="0.56999999999999995"/>
    <n v="0.45500000000000002"/>
    <n v="0.15"/>
    <n v="0.96"/>
    <n v="0.38700000000000001"/>
    <n v="0.23849999999999999"/>
    <n v="0.27500000000000002"/>
    <n v="11"/>
    <n v="14"/>
    <s v="Santiago"/>
    <s v="Vaughan"/>
    <s v="Ohio State University_x0009_"/>
    <n v="6"/>
    <x v="8"/>
    <n v="14.1"/>
    <s v="Category 2"/>
    <e v="#N/A"/>
    <s v="Yes"/>
    <e v="#N/A"/>
    <n v="1.0016666666666667"/>
    <n v="0.80133333333333345"/>
    <x v="0"/>
    <x v="622"/>
    <x v="1"/>
  </r>
  <r>
    <n v="3704"/>
    <s v="F"/>
    <n v="0.67"/>
    <n v="0.51"/>
    <n v="0.155"/>
    <n v="1.278"/>
    <n v="0.5605"/>
    <n v="0.30449999999999999"/>
    <n v="0.35799999999999998"/>
    <n v="11"/>
    <n v="12"/>
    <s v="Rebecca"/>
    <s v="Bennett"/>
    <s v="University of Houston"/>
    <n v="8"/>
    <x v="4"/>
    <n v="12.3"/>
    <s v="Category 3"/>
    <e v="#N/A"/>
    <e v="#N/A"/>
    <s v="Yes"/>
    <n v="1.0411483333333333"/>
    <n v="1.0411483333333333"/>
    <x v="0"/>
    <x v="0"/>
    <x v="351"/>
  </r>
  <r>
    <n v="2163"/>
    <s v="F"/>
    <n v="0.71"/>
    <n v="0.56499999999999995"/>
    <n v="0.19500000000000001"/>
    <n v="1.8169999999999999"/>
    <n v="0.78500000000000003"/>
    <n v="0.49199999999999999"/>
    <n v="0.49"/>
    <n v="11"/>
    <n v="6"/>
    <s v="Martin"/>
    <s v="Gaines"/>
    <s v="San Diego State University"/>
    <n v="9"/>
    <x v="7"/>
    <n v="1.9"/>
    <s v="Category 3"/>
    <e v="#N/A"/>
    <e v="#N/A"/>
    <s v="Yes"/>
    <n v="1.0629191666666666"/>
    <n v="1.0629191666666666"/>
    <x v="0"/>
    <x v="0"/>
    <x v="352"/>
  </r>
  <r>
    <n v="3736"/>
    <s v="M"/>
    <n v="0.61499999999999999"/>
    <n v="0.47499999999999998"/>
    <n v="0.15"/>
    <n v="1.0375000000000001"/>
    <n v="0.47599999999999998"/>
    <n v="0.23250000000000001"/>
    <n v="0.28299999999999997"/>
    <n v="9"/>
    <n v="13"/>
    <s v="Betty"/>
    <s v="Berg"/>
    <s v="University of Houston"/>
    <n v="5"/>
    <x v="3"/>
    <n v="12.8"/>
    <s v="Category 3"/>
    <e v="#N/A"/>
    <e v="#N/A"/>
    <s v="Yes"/>
    <n v="1.0201041666666666"/>
    <n v="1.0201041666666666"/>
    <x v="0"/>
    <x v="0"/>
    <x v="353"/>
  </r>
  <r>
    <n v="3035"/>
    <s v="M"/>
    <n v="0.54"/>
    <n v="0.42"/>
    <n v="0.19"/>
    <n v="0.6855"/>
    <n v="0.29299999999999998"/>
    <n v="0.16300000000000001"/>
    <n v="0.38"/>
    <n v="10"/>
    <n v="4"/>
    <s v="Nate"/>
    <s v="Craig"/>
    <s v="NOAA Fisheries"/>
    <n v="8"/>
    <x v="4"/>
    <n v="12.3"/>
    <s v="Category 2"/>
    <e v="#N/A"/>
    <s v="Yes"/>
    <e v="#N/A"/>
    <n v="0.99600750000000005"/>
    <n v="0.79680600000000013"/>
    <x v="0"/>
    <x v="623"/>
    <x v="1"/>
  </r>
  <r>
    <n v="2288"/>
    <s v="F"/>
    <n v="0.38500000000000001"/>
    <n v="0.30499999999999999"/>
    <n v="0.105"/>
    <n v="0.33150000000000002"/>
    <n v="0.13650000000000001"/>
    <n v="7.4499999999999997E-2"/>
    <n v="0.1"/>
    <n v="7"/>
    <n v="14"/>
    <s v="Santiago"/>
    <s v="Vaughan"/>
    <s v="Ohio State University_x0009_"/>
    <n v="6"/>
    <x v="8"/>
    <n v="14.1"/>
    <s v="Category 2"/>
    <e v="#N/A"/>
    <s v="Yes"/>
    <e v="#N/A"/>
    <n v="0.91370124999999991"/>
    <n v="0.73096099999999997"/>
    <x v="0"/>
    <x v="624"/>
    <x v="1"/>
  </r>
  <r>
    <n v="3220"/>
    <s v="M"/>
    <n v="0.67500000000000004"/>
    <n v="0.52500000000000002"/>
    <n v="0.17499999999999999"/>
    <n v="1.4019999999999999"/>
    <n v="0.48299999999999998"/>
    <n v="0.32050000000000001"/>
    <n v="0.46500000000000002"/>
    <n v="16"/>
    <n v="2"/>
    <s v="Tiegan"/>
    <s v="Davie"/>
    <s v="University of California, Davis"/>
    <n v="1"/>
    <x v="0"/>
    <n v="22.1"/>
    <s v="Category 2"/>
    <e v="#N/A"/>
    <s v="Yes"/>
    <e v="#N/A"/>
    <n v="1.0474250000000001"/>
    <n v="0.83794000000000013"/>
    <x v="0"/>
    <x v="625"/>
    <x v="1"/>
  </r>
  <r>
    <n v="1539"/>
    <s v="I"/>
    <n v="0.35499999999999998"/>
    <n v="0.27"/>
    <n v="7.4999999999999997E-2"/>
    <n v="0.17749999999999999"/>
    <n v="7.9000000000000001E-2"/>
    <n v="3.15E-2"/>
    <n v="5.3999999999999999E-2"/>
    <n v="6"/>
    <n v="3"/>
    <s v="Inaya"/>
    <s v="Bernard"/>
    <s v="Stanford University"/>
    <n v="3"/>
    <x v="9"/>
    <n v="3.6"/>
    <s v="Category 2"/>
    <e v="#N/A"/>
    <s v="Yes"/>
    <e v="#N/A"/>
    <n v="0.89871875000000001"/>
    <n v="0.71897500000000003"/>
    <x v="0"/>
    <x v="626"/>
    <x v="1"/>
  </r>
  <r>
    <n v="2207"/>
    <s v="F"/>
    <n v="0.28999999999999998"/>
    <n v="0.22500000000000001"/>
    <n v="7.4999999999999997E-2"/>
    <n v="0.14000000000000001"/>
    <n v="5.1499999999999997E-2"/>
    <n v="2.35E-2"/>
    <n v="0.04"/>
    <n v="5"/>
    <n v="3"/>
    <s v="Inaya"/>
    <s v="Bernard"/>
    <s v="Stanford University"/>
    <n v="5"/>
    <x v="3"/>
    <n v="12.8"/>
    <s v="Category 2"/>
    <e v="#N/A"/>
    <s v="Yes"/>
    <e v="#N/A"/>
    <n v="0.8640833333333332"/>
    <n v="0.69126666666666658"/>
    <x v="0"/>
    <x v="627"/>
    <x v="1"/>
  </r>
  <r>
    <n v="3578"/>
    <s v="M"/>
    <n v="0.6"/>
    <n v="0.47499999999999998"/>
    <n v="0.23"/>
    <n v="1.157"/>
    <n v="0.52200000000000002"/>
    <n v="0.2235"/>
    <n v="0.36"/>
    <n v="11"/>
    <n v="7"/>
    <s v="Iona"/>
    <s v="Connolly"/>
    <s v="Florida Atlantic University"/>
    <n v="9"/>
    <x v="7"/>
    <n v="1.9"/>
    <s v="Category 3"/>
    <e v="#N/A"/>
    <e v="#N/A"/>
    <s v="Yes"/>
    <n v="1.0255516666666664"/>
    <n v="1.0255516666666664"/>
    <x v="0"/>
    <x v="0"/>
    <x v="354"/>
  </r>
  <r>
    <n v="226"/>
    <s v="F"/>
    <n v="0.5"/>
    <n v="0.37"/>
    <n v="0.13500000000000001"/>
    <n v="0.45"/>
    <n v="0.17150000000000001"/>
    <n v="0.1055"/>
    <n v="0.155"/>
    <n v="9"/>
    <n v="7"/>
    <s v="Iona"/>
    <s v="Connolly"/>
    <s v="Florida Atlantic University"/>
    <n v="10"/>
    <x v="5"/>
    <n v="24.1"/>
    <s v="Category 2"/>
    <e v="#N/A"/>
    <s v="Yes"/>
    <e v="#N/A"/>
    <n v="0.97012500000000002"/>
    <n v="0.77610000000000001"/>
    <x v="0"/>
    <x v="628"/>
    <x v="1"/>
  </r>
  <r>
    <n v="2684"/>
    <s v="M"/>
    <n v="0.625"/>
    <n v="0.495"/>
    <n v="0.185"/>
    <n v="1.3835"/>
    <n v="0.71050000000000002"/>
    <n v="0.30049999999999999"/>
    <n v="0.34499999999999997"/>
    <n v="11"/>
    <n v="12"/>
    <s v="Rebecca"/>
    <s v="Bennett"/>
    <s v="University of Houston"/>
    <n v="3"/>
    <x v="9"/>
    <n v="3.6"/>
    <s v="Category 3"/>
    <e v="#N/A"/>
    <e v="#N/A"/>
    <s v="Yes"/>
    <n v="1.0237579166666668"/>
    <n v="1.0237579166666668"/>
    <x v="0"/>
    <x v="0"/>
    <x v="355"/>
  </r>
  <r>
    <n v="1776"/>
    <s v="I"/>
    <n v="0.48499999999999999"/>
    <n v="0.36499999999999999"/>
    <n v="0.105"/>
    <n v="0.52049999999999996"/>
    <n v="0.19500000000000001"/>
    <n v="0.123"/>
    <n v="0.182"/>
    <n v="8"/>
    <n v="15"/>
    <s v="Conan"/>
    <s v="Dalton"/>
    <s v="University of Houston"/>
    <n v="9"/>
    <x v="7"/>
    <n v="1.9"/>
    <s v="Category 2"/>
    <e v="#N/A"/>
    <s v="Yes"/>
    <e v="#N/A"/>
    <n v="0.95774208333333333"/>
    <n v="0.76619366666666666"/>
    <x v="0"/>
    <x v="629"/>
    <x v="1"/>
  </r>
  <r>
    <n v="827"/>
    <s v="I"/>
    <n v="0.39500000000000002"/>
    <n v="0.28999999999999998"/>
    <n v="9.5000000000000001E-2"/>
    <n v="0.30399999999999999"/>
    <n v="0.127"/>
    <n v="8.4000000000000005E-2"/>
    <n v="7.6999999999999999E-2"/>
    <n v="6"/>
    <n v="3"/>
    <s v="Inaya"/>
    <s v="Bernard"/>
    <s v="Stanford University"/>
    <n v="4"/>
    <x v="2"/>
    <n v="6.1"/>
    <s v="Category 2"/>
    <e v="#N/A"/>
    <s v="Yes"/>
    <e v="#N/A"/>
    <n v="0.91287999999999991"/>
    <n v="0.73030399999999995"/>
    <x v="0"/>
    <x v="630"/>
    <x v="1"/>
  </r>
  <r>
    <n v="1594"/>
    <s v="I"/>
    <n v="0.52500000000000002"/>
    <n v="0.38"/>
    <n v="0.13500000000000001"/>
    <n v="0.61499999999999999"/>
    <n v="0.26100000000000001"/>
    <n v="0.159"/>
    <n v="0.17499999999999999"/>
    <n v="8"/>
    <n v="9"/>
    <s v="Danica"/>
    <s v="Tyler"/>
    <s v="University of Florida_x0009_"/>
    <n v="8"/>
    <x v="4"/>
    <n v="12.3"/>
    <s v="Category 2"/>
    <e v="#N/A"/>
    <s v="Yes"/>
    <e v="#N/A"/>
    <n v="0.97450416666666673"/>
    <n v="0.77960333333333343"/>
    <x v="0"/>
    <x v="631"/>
    <x v="1"/>
  </r>
  <r>
    <n v="3672"/>
    <s v="I"/>
    <n v="0.59499999999999997"/>
    <n v="0.47"/>
    <n v="0.13500000000000001"/>
    <n v="0.9365"/>
    <n v="0.434"/>
    <n v="0.184"/>
    <n v="0.28699999999999998"/>
    <n v="10"/>
    <n v="3"/>
    <s v="Inaya"/>
    <s v="Bernard"/>
    <s v="Stanford University"/>
    <n v="9"/>
    <x v="7"/>
    <n v="1.9"/>
    <s v="Category 3"/>
    <e v="#N/A"/>
    <e v="#N/A"/>
    <s v="Yes"/>
    <n v="1.0136379166666669"/>
    <n v="1.0136379166666669"/>
    <x v="0"/>
    <x v="0"/>
    <x v="35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BCFA65-FCEE-384B-9872-CE061F853A95}" name="PivotTable3" cacheId="10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8:F40" firstHeaderRow="0" firstDataRow="1" firstDataCol="1"/>
  <pivotFields count="21">
    <pivotField showAll="0"/>
    <pivotField dataField="1" showAll="0"/>
    <pivotField dataField="1" showAll="0"/>
    <pivotField showAll="0"/>
    <pivotField showAll="0"/>
    <pivotField showAll="0"/>
    <pivotField dataField="1"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n="Category 2" x="1"/>
        <item h="1" x="0"/>
        <item t="default"/>
      </items>
    </pivotField>
    <pivotField showAll="0"/>
  </pivotFields>
  <rowFields count="1">
    <field x="19"/>
  </rowFields>
  <rowItems count="2">
    <i>
      <x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Rings" fld="9" baseField="0" baseItem="0"/>
    <dataField name="Sum of Shucked_weight" fld="6" baseField="0" baseItem="0"/>
    <dataField name="Sum of Shell_weight" fld="8" baseField="0" baseItem="0"/>
    <dataField name="Sum of Length" fld="2" baseField="0" baseItem="0"/>
    <dataField name="Count of Gender" fld="1" subtotal="count" baseField="0" baseItem="0"/>
  </dataFields>
  <chartFormats count="10">
    <chartFormat chart="0" format="0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20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0" format="121" series="1">
      <pivotArea type="data" outline="0" fieldPosition="0">
        <references count="2">
          <reference field="4294967294" count="1" selected="0">
            <x v="1"/>
          </reference>
          <reference field="19" count="1" selected="0">
            <x v="0"/>
          </reference>
        </references>
      </pivotArea>
    </chartFormat>
    <chartFormat chart="0" format="122" series="1">
      <pivotArea type="data" outline="0" fieldPosition="0">
        <references count="2">
          <reference field="4294967294" count="1" selected="0">
            <x v="2"/>
          </reference>
          <reference field="19" count="1" selected="0">
            <x v="0"/>
          </reference>
        </references>
      </pivotArea>
    </chartFormat>
    <chartFormat chart="0" format="123" series="1">
      <pivotArea type="data" outline="0" fieldPosition="0">
        <references count="2">
          <reference field="4294967294" count="1" selected="0">
            <x v="3"/>
          </reference>
          <reference field="19" count="1" selected="0">
            <x v="0"/>
          </reference>
        </references>
      </pivotArea>
    </chartFormat>
    <chartFormat chart="0" format="124" series="1">
      <pivotArea type="data" outline="0" fieldPosition="0">
        <references count="2">
          <reference field="4294967294" count="1" selected="0">
            <x v="4"/>
          </reference>
          <reference field="19" count="1" selected="0">
            <x v="0"/>
          </reference>
        </references>
      </pivotArea>
    </chartFormat>
  </chartFormats>
  <pivotTableStyleInfo name="PivotStyleMedium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9BDB89-C081-BF41-8C70-7F943A04FA89}" name="PivotTable2" cacheId="10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7">
  <location ref="A1:F3" firstHeaderRow="0" firstDataRow="1" firstDataCol="1"/>
  <pivotFields count="21">
    <pivotField showAll="0"/>
    <pivotField dataField="1" showAll="0"/>
    <pivotField dataField="1" showAll="0"/>
    <pivotField showAll="0"/>
    <pivotField showAll="0"/>
    <pivotField showAll="0"/>
    <pivotField dataField="1"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multipleItemSelectionAllowed="1" showAll="0">
      <items count="3">
        <item n="Category 1" x="1"/>
        <item h="1" x="0"/>
        <item t="default"/>
      </items>
    </pivotField>
    <pivotField multipleItemSelectionAllowed="1" showAll="0"/>
    <pivotField multipleItemSelectionAllowed="1" showAll="0"/>
  </pivotFields>
  <rowFields count="1">
    <field x="18"/>
  </rowFields>
  <rowItems count="2">
    <i>
      <x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Rings" fld="9" baseField="0" baseItem="0"/>
    <dataField name="Sum of Shucked_weight" fld="6" baseField="0" baseItem="0"/>
    <dataField name="Sum of Shell_weight" fld="8" baseField="0" baseItem="0"/>
    <dataField name="Sum of Length" fld="2" baseField="0" baseItem="0"/>
    <dataField name="Count of Gender" fld="1" subtotal="count" baseField="0" baseItem="0"/>
  </dataFields>
  <chartFormats count="34">
    <chartFormat chart="0" format="10" series="1">
      <pivotArea type="data" outline="0" fieldPosition="0"/>
    </chartFormat>
    <chartFormat chart="0" format="368" series="1">
      <pivotArea type="data" outline="0" fieldPosition="0">
        <references count="1">
          <reference field="18" count="1" selected="0">
            <x v="0"/>
          </reference>
        </references>
      </pivotArea>
    </chartFormat>
    <chartFormat chart="6" format="416" series="1">
      <pivotArea type="data" outline="0" fieldPosition="0">
        <references count="1">
          <reference field="18" count="1" selected="0">
            <x v="0"/>
          </reference>
        </references>
      </pivotArea>
    </chartFormat>
    <chartFormat chart="2" format="416" series="1">
      <pivotArea type="data" outline="0" fieldPosition="0">
        <references count="1">
          <reference field="18" count="1" selected="0">
            <x v="0"/>
          </reference>
        </references>
      </pivotArea>
    </chartFormat>
    <chartFormat chart="1" format="405" series="1">
      <pivotArea type="data" outline="0" fieldPosition="0">
        <references count="1">
          <reference field="18" count="1" selected="0">
            <x v="0"/>
          </reference>
        </references>
      </pivotArea>
    </chartFormat>
    <chartFormat chart="2" format="417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0"/>
          </reference>
        </references>
      </pivotArea>
    </chartFormat>
    <chartFormat chart="1" format="406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0"/>
          </reference>
        </references>
      </pivotArea>
    </chartFormat>
    <chartFormat chart="6" format="417" series="1">
      <pivotArea type="data" outline="0" fieldPosition="0">
        <references count="2">
          <reference field="4294967294" count="1" selected="0">
            <x v="1"/>
          </reference>
          <reference field="18" count="1" selected="0">
            <x v="0"/>
          </reference>
        </references>
      </pivotArea>
    </chartFormat>
    <chartFormat chart="2" format="418" series="1">
      <pivotArea type="data" outline="0" fieldPosition="0">
        <references count="2">
          <reference field="4294967294" count="1" selected="0">
            <x v="1"/>
          </reference>
          <reference field="18" count="1" selected="0">
            <x v="0"/>
          </reference>
        </references>
      </pivotArea>
    </chartFormat>
    <chartFormat chart="1" format="407" series="1">
      <pivotArea type="data" outline="0" fieldPosition="0">
        <references count="2">
          <reference field="4294967294" count="1" selected="0">
            <x v="1"/>
          </reference>
          <reference field="18" count="1" selected="0">
            <x v="0"/>
          </reference>
        </references>
      </pivotArea>
    </chartFormat>
    <chartFormat chart="0" format="383" series="1">
      <pivotArea type="data" outline="0" fieldPosition="0">
        <references count="2">
          <reference field="4294967294" count="1" selected="0">
            <x v="1"/>
          </reference>
          <reference field="18" count="1" selected="0">
            <x v="0"/>
          </reference>
        </references>
      </pivotArea>
    </chartFormat>
    <chartFormat chart="6" format="418" series="1">
      <pivotArea type="data" outline="0" fieldPosition="0">
        <references count="2">
          <reference field="4294967294" count="1" selected="0">
            <x v="2"/>
          </reference>
          <reference field="18" count="1" selected="0">
            <x v="0"/>
          </reference>
        </references>
      </pivotArea>
    </chartFormat>
    <chartFormat chart="2" format="419" series="1">
      <pivotArea type="data" outline="0" fieldPosition="0">
        <references count="2">
          <reference field="4294967294" count="1" selected="0">
            <x v="2"/>
          </reference>
          <reference field="18" count="1" selected="0">
            <x v="0"/>
          </reference>
        </references>
      </pivotArea>
    </chartFormat>
    <chartFormat chart="1" format="408" series="1">
      <pivotArea type="data" outline="0" fieldPosition="0">
        <references count="2">
          <reference field="4294967294" count="1" selected="0">
            <x v="2"/>
          </reference>
          <reference field="18" count="1" selected="0">
            <x v="0"/>
          </reference>
        </references>
      </pivotArea>
    </chartFormat>
    <chartFormat chart="0" format="384" series="1">
      <pivotArea type="data" outline="0" fieldPosition="0">
        <references count="2">
          <reference field="4294967294" count="1" selected="0">
            <x v="2"/>
          </reference>
          <reference field="18" count="1" selected="0">
            <x v="0"/>
          </reference>
        </references>
      </pivotArea>
    </chartFormat>
    <chartFormat chart="6" format="419" series="1">
      <pivotArea type="data" outline="0" fieldPosition="0">
        <references count="2">
          <reference field="4294967294" count="1" selected="0">
            <x v="3"/>
          </reference>
          <reference field="18" count="1" selected="0">
            <x v="0"/>
          </reference>
        </references>
      </pivotArea>
    </chartFormat>
    <chartFormat chart="2" format="420" series="1">
      <pivotArea type="data" outline="0" fieldPosition="0">
        <references count="2">
          <reference field="4294967294" count="1" selected="0">
            <x v="3"/>
          </reference>
          <reference field="18" count="1" selected="0">
            <x v="0"/>
          </reference>
        </references>
      </pivotArea>
    </chartFormat>
    <chartFormat chart="1" format="409" series="1">
      <pivotArea type="data" outline="0" fieldPosition="0">
        <references count="2">
          <reference field="4294967294" count="1" selected="0">
            <x v="3"/>
          </reference>
          <reference field="18" count="1" selected="0">
            <x v="0"/>
          </reference>
        </references>
      </pivotArea>
    </chartFormat>
    <chartFormat chart="0" format="385" series="1">
      <pivotArea type="data" outline="0" fieldPosition="0">
        <references count="2">
          <reference field="4294967294" count="1" selected="0">
            <x v="3"/>
          </reference>
          <reference field="18" count="1" selected="0">
            <x v="0"/>
          </reference>
        </references>
      </pivotArea>
    </chartFormat>
    <chartFormat chart="6" format="420" series="1">
      <pivotArea type="data" outline="0" fieldPosition="0">
        <references count="2">
          <reference field="4294967294" count="1" selected="0">
            <x v="4"/>
          </reference>
          <reference field="18" count="1" selected="0">
            <x v="0"/>
          </reference>
        </references>
      </pivotArea>
    </chartFormat>
    <chartFormat chart="2" format="421" series="1">
      <pivotArea type="data" outline="0" fieldPosition="0">
        <references count="2">
          <reference field="4294967294" count="1" selected="0">
            <x v="4"/>
          </reference>
          <reference field="18" count="1" selected="0">
            <x v="0"/>
          </reference>
        </references>
      </pivotArea>
    </chartFormat>
    <chartFormat chart="1" format="410" series="1">
      <pivotArea type="data" outline="0" fieldPosition="0">
        <references count="2">
          <reference field="4294967294" count="1" selected="0">
            <x v="4"/>
          </reference>
          <reference field="18" count="1" selected="0">
            <x v="0"/>
          </reference>
        </references>
      </pivotArea>
    </chartFormat>
    <chartFormat chart="0" format="386" series="1">
      <pivotArea type="data" outline="0" fieldPosition="0">
        <references count="2">
          <reference field="4294967294" count="1" selected="0">
            <x v="4"/>
          </reference>
          <reference field="18" count="1" selected="0">
            <x v="0"/>
          </reference>
        </references>
      </pivotArea>
    </chartFormat>
    <chartFormat chart="0" format="387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0"/>
          </reference>
        </references>
      </pivotArea>
    </chartFormat>
    <chartFormat chart="6" format="42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2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42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424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6" format="425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38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8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39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91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392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Medium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A87769-54BC-544F-A2DC-686589928942}" name="PivotTable4" cacheId="10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76:F78" firstHeaderRow="0" firstDataRow="1" firstDataCol="1"/>
  <pivotFields count="21">
    <pivotField showAll="0"/>
    <pivotField dataField="1" showAll="0"/>
    <pivotField dataField="1" showAll="0"/>
    <pivotField showAll="0"/>
    <pivotField showAll="0"/>
    <pivotField showAll="0"/>
    <pivotField dataField="1"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n="Category 3" x="0"/>
        <item h="1" x="1"/>
        <item t="default"/>
      </items>
    </pivotField>
  </pivotFields>
  <rowFields count="1">
    <field x="20"/>
  </rowFields>
  <rowItems count="2">
    <i>
      <x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Rings" fld="9" baseField="0" baseItem="0"/>
    <dataField name="Sum of Shucked_weight" fld="6" baseField="0" baseItem="0"/>
    <dataField name="Sum of Shell_weight" fld="8" baseField="0" baseItem="0"/>
    <dataField name="Sum of Length" fld="2" baseField="0" baseItem="0"/>
    <dataField name="Count of Gender" fld="1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86DCB7-9F45-EB4D-9026-EC88514F6FA0}" name="PivotTable7" cacheId="108" dataPosition="0" applyNumberFormats="0" applyBorderFormats="0" applyFontFormats="0" applyPatternFormats="0" applyAlignmentFormats="0" applyWidthHeightFormats="1" dataCaption="Values" updatedVersion="7" minRefreshableVersion="3" useAutoFormatting="1" itemPrintTitles="1" mergeItem="1" createdVersion="7" indent="0" outline="1" outlineData="1" chartFormat="1">
  <location ref="A24:F631" firstHeaderRow="0" firstDataRow="1" firstDataCol="1"/>
  <pivotFields count="26">
    <pivotField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insertBlankRow="1" measureFilter="1">
      <items count="633">
        <item x="107"/>
        <item x="365"/>
        <item x="614"/>
        <item x="420"/>
        <item x="202"/>
        <item x="405"/>
        <item x="478"/>
        <item x="415"/>
        <item x="51"/>
        <item x="557"/>
        <item x="40"/>
        <item h="1" x="189"/>
        <item x="65"/>
        <item x="447"/>
        <item x="442"/>
        <item x="150"/>
        <item x="590"/>
        <item x="418"/>
        <item h="1" x="237"/>
        <item x="282"/>
        <item x="117"/>
        <item x="220"/>
        <item h="1" x="532"/>
        <item x="411"/>
        <item x="257"/>
        <item x="501"/>
        <item x="122"/>
        <item h="1" x="422"/>
        <item x="489"/>
        <item x="137"/>
        <item x="580"/>
        <item x="481"/>
        <item x="533"/>
        <item x="485"/>
        <item x="332"/>
        <item x="125"/>
        <item x="545"/>
        <item x="432"/>
        <item x="176"/>
        <item x="627"/>
        <item x="605"/>
        <item x="236"/>
        <item x="330"/>
        <item x="208"/>
        <item x="440"/>
        <item x="600"/>
        <item x="352"/>
        <item x="166"/>
        <item h="1" x="59"/>
        <item x="423"/>
        <item x="339"/>
        <item x="128"/>
        <item h="1" x="129"/>
        <item x="18"/>
        <item x="500"/>
        <item x="496"/>
        <item h="1" x="191"/>
        <item x="277"/>
        <item x="249"/>
        <item x="156"/>
        <item x="3"/>
        <item h="1" x="22"/>
        <item x="216"/>
        <item x="470"/>
        <item x="512"/>
        <item x="495"/>
        <item x="490"/>
        <item x="49"/>
        <item x="290"/>
        <item x="498"/>
        <item x="450"/>
        <item x="35"/>
        <item x="336"/>
        <item h="1" x="390"/>
        <item x="612"/>
        <item x="327"/>
        <item h="1" x="321"/>
        <item x="497"/>
        <item x="564"/>
        <item h="1" x="338"/>
        <item x="223"/>
        <item x="536"/>
        <item x="461"/>
        <item x="378"/>
        <item x="275"/>
        <item x="130"/>
        <item x="515"/>
        <item x="380"/>
        <item x="344"/>
        <item x="426"/>
        <item x="626"/>
        <item x="424"/>
        <item x="471"/>
        <item x="295"/>
        <item x="565"/>
        <item x="217"/>
        <item x="363"/>
        <item x="455"/>
        <item x="261"/>
        <item x="48"/>
        <item h="1" x="73"/>
        <item x="304"/>
        <item x="301"/>
        <item x="62"/>
        <item x="483"/>
        <item x="30"/>
        <item x="476"/>
        <item x="366"/>
        <item x="552"/>
        <item x="597"/>
        <item x="95"/>
        <item x="90"/>
        <item h="1" x="164"/>
        <item x="221"/>
        <item x="421"/>
        <item h="1" x="182"/>
        <item x="526"/>
        <item x="443"/>
        <item x="268"/>
        <item x="616"/>
        <item x="297"/>
        <item x="517"/>
        <item x="67"/>
        <item x="246"/>
        <item x="376"/>
        <item x="157"/>
        <item x="519"/>
        <item h="1" x="141"/>
        <item x="454"/>
        <item x="17"/>
        <item x="465"/>
        <item x="630"/>
        <item x="624"/>
        <item h="1" x="82"/>
        <item x="186"/>
        <item x="8"/>
        <item x="145"/>
        <item x="209"/>
        <item x="493"/>
        <item x="606"/>
        <item x="228"/>
        <item x="198"/>
        <item x="25"/>
        <item x="37"/>
        <item x="486"/>
        <item x="305"/>
        <item x="70"/>
        <item x="527"/>
        <item h="1" x="360"/>
        <item x="112"/>
        <item x="446"/>
        <item x="341"/>
        <item x="152"/>
        <item x="234"/>
        <item h="1" x="163"/>
        <item x="181"/>
        <item x="219"/>
        <item x="24"/>
        <item x="337"/>
        <item x="591"/>
        <item x="180"/>
        <item x="596"/>
        <item x="225"/>
        <item h="1" x="576"/>
        <item x="621"/>
        <item x="172"/>
        <item h="1" x="55"/>
        <item x="45"/>
        <item x="109"/>
        <item x="200"/>
        <item x="345"/>
        <item x="110"/>
        <item x="613"/>
        <item x="529"/>
        <item x="574"/>
        <item x="118"/>
        <item x="4"/>
        <item x="184"/>
        <item x="513"/>
        <item x="569"/>
        <item x="587"/>
        <item x="23"/>
        <item x="199"/>
        <item x="104"/>
        <item x="151"/>
        <item x="105"/>
        <item x="342"/>
        <item x="444"/>
        <item x="313"/>
        <item x="239"/>
        <item x="584"/>
        <item x="466"/>
        <item x="76"/>
        <item h="1" x="548"/>
        <item x="592"/>
        <item x="195"/>
        <item x="445"/>
        <item x="203"/>
        <item x="265"/>
        <item x="425"/>
        <item x="595"/>
        <item x="619"/>
        <item h="1" x="32"/>
        <item x="351"/>
        <item x="38"/>
        <item x="60"/>
        <item x="6"/>
        <item x="77"/>
        <item h="1" x="494"/>
        <item x="214"/>
        <item x="379"/>
        <item x="309"/>
        <item x="300"/>
        <item x="562"/>
        <item x="98"/>
        <item x="543"/>
        <item x="570"/>
        <item h="1" x="368"/>
        <item x="572"/>
        <item x="340"/>
        <item x="119"/>
        <item x="367"/>
        <item x="582"/>
        <item x="566"/>
        <item x="575"/>
        <item x="113"/>
        <item x="377"/>
        <item x="399"/>
        <item x="133"/>
        <item x="400"/>
        <item x="270"/>
        <item x="79"/>
        <item x="350"/>
        <item x="287"/>
        <item h="1" x="448"/>
        <item x="276"/>
        <item x="245"/>
        <item x="358"/>
        <item x="403"/>
        <item x="603"/>
        <item x="581"/>
        <item x="134"/>
        <item x="311"/>
        <item x="523"/>
        <item x="539"/>
        <item x="256"/>
        <item x="288"/>
        <item x="436"/>
        <item x="467"/>
        <item x="85"/>
        <item x="561"/>
        <item x="356"/>
        <item x="462"/>
        <item x="207"/>
        <item x="44"/>
        <item x="177"/>
        <item x="238"/>
        <item x="437"/>
        <item x="343"/>
        <item x="144"/>
        <item x="227"/>
        <item x="510"/>
        <item x="618"/>
        <item x="20"/>
        <item x="57"/>
        <item x="334"/>
        <item x="146"/>
        <item x="394"/>
        <item x="114"/>
        <item x="278"/>
        <item x="14"/>
        <item x="385"/>
        <item x="472"/>
        <item x="364"/>
        <item x="528"/>
        <item x="439"/>
        <item x="314"/>
        <item x="284"/>
        <item x="354"/>
        <item x="316"/>
        <item x="537"/>
        <item x="460"/>
        <item x="58"/>
        <item x="398"/>
        <item x="417"/>
        <item x="206"/>
        <item x="503"/>
        <item x="263"/>
        <item x="1"/>
        <item x="253"/>
        <item x="10"/>
        <item x="27"/>
        <item x="593"/>
        <item x="136"/>
        <item x="126"/>
        <item x="16"/>
        <item x="419"/>
        <item x="266"/>
        <item x="68"/>
        <item x="388"/>
        <item x="594"/>
        <item x="629"/>
        <item x="511"/>
        <item x="609"/>
        <item x="205"/>
        <item x="333"/>
        <item x="382"/>
        <item x="451"/>
        <item x="554"/>
        <item x="250"/>
        <item x="588"/>
        <item x="491"/>
        <item x="9"/>
        <item x="620"/>
        <item x="121"/>
        <item x="502"/>
        <item x="435"/>
        <item x="308"/>
        <item x="319"/>
        <item x="571"/>
        <item x="159"/>
        <item x="521"/>
        <item x="303"/>
        <item x="599"/>
        <item x="269"/>
        <item x="233"/>
        <item x="29"/>
        <item x="410"/>
        <item x="46"/>
        <item x="210"/>
        <item x="441"/>
        <item x="293"/>
        <item x="2"/>
        <item x="161"/>
        <item x="178"/>
        <item x="492"/>
        <item x="226"/>
        <item x="315"/>
        <item x="299"/>
        <item x="433"/>
        <item x="71"/>
        <item x="19"/>
        <item x="142"/>
        <item x="408"/>
        <item x="56"/>
        <item x="610"/>
        <item x="171"/>
        <item x="449"/>
        <item x="242"/>
        <item x="428"/>
        <item x="262"/>
        <item x="170"/>
        <item x="516"/>
        <item x="41"/>
        <item x="508"/>
        <item x="5"/>
        <item x="169"/>
        <item x="375"/>
        <item x="518"/>
        <item x="193"/>
        <item x="213"/>
        <item x="254"/>
        <item x="604"/>
        <item x="391"/>
        <item x="541"/>
        <item x="291"/>
        <item x="361"/>
        <item x="531"/>
        <item x="168"/>
        <item x="162"/>
        <item x="524"/>
        <item x="324"/>
        <item x="347"/>
        <item x="480"/>
        <item x="96"/>
        <item x="173"/>
        <item x="179"/>
        <item x="11"/>
        <item x="188"/>
        <item x="272"/>
        <item x="175"/>
        <item x="101"/>
        <item x="602"/>
        <item x="453"/>
        <item x="13"/>
        <item x="204"/>
        <item x="355"/>
        <item x="628"/>
        <item x="482"/>
        <item x="286"/>
        <item x="601"/>
        <item x="615"/>
        <item x="318"/>
        <item x="273"/>
        <item x="506"/>
        <item x="459"/>
        <item x="74"/>
        <item x="520"/>
        <item x="66"/>
        <item x="26"/>
        <item x="131"/>
        <item x="285"/>
        <item x="28"/>
        <item x="243"/>
        <item x="556"/>
        <item x="64"/>
        <item x="7"/>
        <item x="416"/>
        <item x="540"/>
        <item x="505"/>
        <item x="39"/>
        <item x="514"/>
        <item x="586"/>
        <item x="47"/>
        <item x="267"/>
        <item x="631"/>
        <item x="222"/>
        <item x="608"/>
        <item x="274"/>
        <item x="88"/>
        <item x="12"/>
        <item x="407"/>
        <item x="617"/>
        <item x="413"/>
        <item x="389"/>
        <item x="53"/>
        <item x="235"/>
        <item x="80"/>
        <item x="371"/>
        <item x="458"/>
        <item x="555"/>
        <item x="611"/>
        <item x="475"/>
        <item x="283"/>
        <item x="463"/>
        <item x="21"/>
        <item x="310"/>
        <item x="120"/>
        <item x="201"/>
        <item x="522"/>
        <item x="31"/>
        <item x="589"/>
        <item x="598"/>
        <item x="83"/>
        <item x="429"/>
        <item x="78"/>
        <item x="296"/>
        <item x="348"/>
        <item x="392"/>
        <item x="106"/>
        <item x="487"/>
        <item x="187"/>
        <item x="158"/>
        <item x="292"/>
        <item x="568"/>
        <item x="194"/>
        <item x="86"/>
        <item x="504"/>
        <item x="75"/>
        <item x="91"/>
        <item x="248"/>
        <item x="99"/>
        <item x="183"/>
        <item x="567"/>
        <item x="406"/>
        <item x="353"/>
        <item x="232"/>
        <item x="123"/>
        <item x="370"/>
        <item x="546"/>
        <item x="381"/>
        <item x="190"/>
        <item x="384"/>
        <item x="167"/>
        <item x="15"/>
        <item x="63"/>
        <item x="397"/>
        <item x="92"/>
        <item x="331"/>
        <item x="551"/>
        <item x="61"/>
        <item x="111"/>
        <item x="255"/>
        <item x="464"/>
        <item x="386"/>
        <item x="412"/>
        <item x="149"/>
        <item x="585"/>
        <item x="97"/>
        <item x="116"/>
        <item x="325"/>
        <item x="430"/>
        <item x="373"/>
        <item x="414"/>
        <item x="52"/>
        <item x="328"/>
        <item x="393"/>
        <item x="215"/>
        <item x="174"/>
        <item x="473"/>
        <item x="395"/>
        <item x="271"/>
        <item x="264"/>
        <item x="185"/>
        <item x="50"/>
        <item x="323"/>
        <item x="402"/>
        <item x="452"/>
        <item x="317"/>
        <item x="438"/>
        <item x="560"/>
        <item x="124"/>
        <item x="535"/>
        <item x="335"/>
        <item x="457"/>
        <item x="349"/>
        <item x="115"/>
        <item x="479"/>
        <item x="623"/>
        <item x="259"/>
        <item x="230"/>
        <item x="218"/>
        <item x="468"/>
        <item x="94"/>
        <item x="542"/>
        <item x="89"/>
        <item x="573"/>
        <item x="165"/>
        <item x="135"/>
        <item x="54"/>
        <item x="155"/>
        <item x="127"/>
        <item x="148"/>
        <item x="396"/>
        <item x="132"/>
        <item x="108"/>
        <item x="553"/>
        <item x="312"/>
        <item x="212"/>
        <item x="558"/>
        <item x="607"/>
        <item x="192"/>
        <item x="477"/>
        <item x="307"/>
        <item x="359"/>
        <item x="240"/>
        <item x="622"/>
        <item x="374"/>
        <item x="579"/>
        <item x="302"/>
        <item x="69"/>
        <item x="100"/>
        <item x="469"/>
        <item x="197"/>
        <item x="258"/>
        <item x="247"/>
        <item x="241"/>
        <item x="294"/>
        <item x="427"/>
        <item x="544"/>
        <item x="369"/>
        <item x="559"/>
        <item x="346"/>
        <item x="139"/>
        <item x="231"/>
        <item x="306"/>
        <item x="387"/>
        <item x="372"/>
        <item x="34"/>
        <item x="33"/>
        <item x="147"/>
        <item x="280"/>
        <item x="456"/>
        <item x="322"/>
        <item x="549"/>
        <item x="43"/>
        <item x="357"/>
        <item x="196"/>
        <item x="401"/>
        <item x="138"/>
        <item x="434"/>
        <item x="281"/>
        <item x="154"/>
        <item x="87"/>
        <item x="229"/>
        <item x="550"/>
        <item x="224"/>
        <item x="320"/>
        <item x="326"/>
        <item x="244"/>
        <item x="404"/>
        <item x="499"/>
        <item x="488"/>
        <item x="525"/>
        <item x="577"/>
        <item x="538"/>
        <item x="81"/>
        <item x="289"/>
        <item x="530"/>
        <item x="329"/>
        <item x="72"/>
        <item x="140"/>
        <item x="143"/>
        <item x="409"/>
        <item x="534"/>
        <item x="153"/>
        <item x="36"/>
        <item x="93"/>
        <item x="563"/>
        <item x="383"/>
        <item x="484"/>
        <item x="252"/>
        <item x="509"/>
        <item x="431"/>
        <item x="578"/>
        <item x="298"/>
        <item x="279"/>
        <item x="260"/>
        <item x="583"/>
        <item x="547"/>
        <item x="103"/>
        <item x="211"/>
        <item x="625"/>
        <item x="84"/>
        <item x="507"/>
        <item x="251"/>
        <item x="102"/>
        <item x="42"/>
        <item x="362"/>
        <item x="474"/>
        <item x="160"/>
        <item h="1" x="0"/>
        <item t="default"/>
      </items>
    </pivotField>
    <pivotField multipleItemSelectionAllowed="1" showAll="0">
      <items count="358">
        <item x="92"/>
        <item x="350"/>
        <item x="64"/>
        <item x="21"/>
        <item x="13"/>
        <item x="241"/>
        <item x="55"/>
        <item x="45"/>
        <item x="69"/>
        <item x="228"/>
        <item x="115"/>
        <item x="149"/>
        <item x="273"/>
        <item x="275"/>
        <item x="19"/>
        <item x="51"/>
        <item x="172"/>
        <item x="16"/>
        <item x="204"/>
        <item x="111"/>
        <item x="308"/>
        <item x="145"/>
        <item x="341"/>
        <item x="144"/>
        <item x="84"/>
        <item x="238"/>
        <item x="294"/>
        <item x="141"/>
        <item x="206"/>
        <item x="207"/>
        <item x="163"/>
        <item x="73"/>
        <item x="306"/>
        <item x="47"/>
        <item x="157"/>
        <item x="300"/>
        <item x="168"/>
        <item x="210"/>
        <item x="30"/>
        <item x="263"/>
        <item x="254"/>
        <item x="79"/>
        <item x="152"/>
        <item x="130"/>
        <item x="337"/>
        <item x="276"/>
        <item x="262"/>
        <item x="299"/>
        <item x="289"/>
        <item x="326"/>
        <item x="10"/>
        <item x="22"/>
        <item x="169"/>
        <item x="196"/>
        <item x="44"/>
        <item x="193"/>
        <item x="182"/>
        <item x="315"/>
        <item x="58"/>
        <item x="288"/>
        <item x="32"/>
        <item x="174"/>
        <item x="259"/>
        <item x="303"/>
        <item x="202"/>
        <item x="311"/>
        <item x="122"/>
        <item x="183"/>
        <item x="339"/>
        <item x="176"/>
        <item x="100"/>
        <item x="211"/>
        <item x="107"/>
        <item x="25"/>
        <item x="143"/>
        <item x="290"/>
        <item x="286"/>
        <item x="87"/>
        <item x="201"/>
        <item x="139"/>
        <item x="284"/>
        <item x="76"/>
        <item x="9"/>
        <item x="180"/>
        <item x="75"/>
        <item x="223"/>
        <item x="28"/>
        <item x="225"/>
        <item x="93"/>
        <item x="214"/>
        <item x="274"/>
        <item x="356"/>
        <item x="282"/>
        <item x="61"/>
        <item x="109"/>
        <item x="118"/>
        <item x="217"/>
        <item x="137"/>
        <item x="117"/>
        <item x="81"/>
        <item x="128"/>
        <item x="162"/>
        <item x="65"/>
        <item x="229"/>
        <item x="11"/>
        <item x="48"/>
        <item x="333"/>
        <item x="68"/>
        <item x="123"/>
        <item x="323"/>
        <item x="242"/>
        <item x="35"/>
        <item x="305"/>
        <item x="342"/>
        <item x="50"/>
        <item x="319"/>
        <item x="67"/>
        <item x="7"/>
        <item x="59"/>
        <item x="251"/>
        <item x="173"/>
        <item x="116"/>
        <item x="62"/>
        <item x="166"/>
        <item x="208"/>
        <item x="344"/>
        <item x="246"/>
        <item x="221"/>
        <item x="178"/>
        <item x="219"/>
        <item x="280"/>
        <item x="158"/>
        <item x="133"/>
        <item x="94"/>
        <item x="353"/>
        <item x="269"/>
        <item x="70"/>
        <item x="31"/>
        <item x="234"/>
        <item x="247"/>
        <item x="230"/>
        <item x="82"/>
        <item x="147"/>
        <item x="330"/>
        <item x="165"/>
        <item x="167"/>
        <item x="304"/>
        <item x="80"/>
        <item x="292"/>
        <item x="237"/>
        <item x="52"/>
        <item x="171"/>
        <item x="99"/>
        <item x="329"/>
        <item x="222"/>
        <item x="317"/>
        <item x="260"/>
        <item x="170"/>
        <item x="253"/>
        <item x="113"/>
        <item x="348"/>
        <item x="355"/>
        <item x="265"/>
        <item x="283"/>
        <item x="105"/>
        <item x="142"/>
        <item x="155"/>
        <item x="249"/>
        <item x="340"/>
        <item x="309"/>
        <item x="33"/>
        <item x="8"/>
        <item x="46"/>
        <item x="324"/>
        <item x="354"/>
        <item x="345"/>
        <item x="245"/>
        <item x="194"/>
        <item x="248"/>
        <item x="34"/>
        <item x="54"/>
        <item x="301"/>
        <item x="77"/>
        <item x="310"/>
        <item x="41"/>
        <item x="135"/>
        <item x="89"/>
        <item x="42"/>
        <item x="106"/>
        <item x="0"/>
        <item x="125"/>
        <item x="198"/>
        <item x="12"/>
        <item x="97"/>
        <item x="188"/>
        <item x="179"/>
        <item x="83"/>
        <item x="349"/>
        <item x="177"/>
        <item x="293"/>
        <item x="15"/>
        <item x="60"/>
        <item x="334"/>
        <item x="277"/>
        <item x="18"/>
        <item x="131"/>
        <item x="134"/>
        <item x="186"/>
        <item x="153"/>
        <item x="316"/>
        <item x="175"/>
        <item x="53"/>
        <item x="140"/>
        <item x="203"/>
        <item x="95"/>
        <item x="332"/>
        <item x="91"/>
        <item x="192"/>
        <item x="110"/>
        <item x="302"/>
        <item x="270"/>
        <item x="38"/>
        <item x="252"/>
        <item x="127"/>
        <item x="200"/>
        <item x="74"/>
        <item x="151"/>
        <item x="78"/>
        <item x="331"/>
        <item x="181"/>
        <item x="213"/>
        <item x="26"/>
        <item x="327"/>
        <item x="321"/>
        <item x="36"/>
        <item x="267"/>
        <item x="218"/>
        <item x="39"/>
        <item x="150"/>
        <item x="261"/>
        <item x="235"/>
        <item x="104"/>
        <item x="71"/>
        <item x="325"/>
        <item x="209"/>
        <item x="227"/>
        <item x="102"/>
        <item x="23"/>
        <item x="190"/>
        <item x="322"/>
        <item x="239"/>
        <item x="88"/>
        <item x="313"/>
        <item x="224"/>
        <item x="29"/>
        <item x="124"/>
        <item x="191"/>
        <item x="4"/>
        <item x="216"/>
        <item x="195"/>
        <item x="351"/>
        <item x="297"/>
        <item x="63"/>
        <item x="90"/>
        <item x="185"/>
        <item x="120"/>
        <item x="295"/>
        <item x="233"/>
        <item x="232"/>
        <item x="66"/>
        <item x="3"/>
        <item x="43"/>
        <item x="154"/>
        <item x="264"/>
        <item x="244"/>
        <item x="287"/>
        <item x="279"/>
        <item x="338"/>
        <item x="296"/>
        <item x="112"/>
        <item x="57"/>
        <item x="108"/>
        <item x="129"/>
        <item x="126"/>
        <item x="343"/>
        <item x="335"/>
        <item x="318"/>
        <item x="314"/>
        <item x="215"/>
        <item x="243"/>
        <item x="37"/>
        <item x="328"/>
        <item x="132"/>
        <item x="226"/>
        <item x="85"/>
        <item x="236"/>
        <item x="119"/>
        <item x="278"/>
        <item x="187"/>
        <item x="160"/>
        <item x="266"/>
        <item x="146"/>
        <item x="114"/>
        <item x="320"/>
        <item x="250"/>
        <item x="96"/>
        <item x="24"/>
        <item x="56"/>
        <item x="285"/>
        <item x="148"/>
        <item x="27"/>
        <item x="20"/>
        <item x="156"/>
        <item x="6"/>
        <item x="40"/>
        <item x="72"/>
        <item x="231"/>
        <item x="212"/>
        <item x="258"/>
        <item x="298"/>
        <item x="184"/>
        <item x="103"/>
        <item x="49"/>
        <item x="220"/>
        <item x="164"/>
        <item x="271"/>
        <item x="161"/>
        <item x="336"/>
        <item x="136"/>
        <item x="189"/>
        <item x="101"/>
        <item x="255"/>
        <item x="352"/>
        <item x="240"/>
        <item x="307"/>
        <item x="14"/>
        <item x="159"/>
        <item x="98"/>
        <item x="86"/>
        <item x="257"/>
        <item x="291"/>
        <item x="281"/>
        <item x="272"/>
        <item x="197"/>
        <item x="5"/>
        <item x="256"/>
        <item x="346"/>
        <item x="17"/>
        <item x="312"/>
        <item x="121"/>
        <item x="138"/>
        <item x="347"/>
        <item x="199"/>
        <item x="2"/>
        <item x="268"/>
        <item x="205"/>
        <item h="1" x="1"/>
        <item t="default"/>
      </items>
    </pivotField>
  </pivotFields>
  <rowFields count="1">
    <field x="24"/>
  </rowFields>
  <rowItems count="60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2"/>
    </i>
    <i>
      <x v="13"/>
    </i>
    <i>
      <x v="14"/>
    </i>
    <i>
      <x v="15"/>
    </i>
    <i>
      <x v="16"/>
    </i>
    <i>
      <x v="17"/>
    </i>
    <i>
      <x v="19"/>
    </i>
    <i>
      <x v="20"/>
    </i>
    <i>
      <x v="21"/>
    </i>
    <i>
      <x v="23"/>
    </i>
    <i>
      <x v="24"/>
    </i>
    <i>
      <x v="25"/>
    </i>
    <i>
      <x v="26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9"/>
    </i>
    <i>
      <x v="50"/>
    </i>
    <i>
      <x v="51"/>
    </i>
    <i>
      <x v="53"/>
    </i>
    <i>
      <x v="54"/>
    </i>
    <i>
      <x v="55"/>
    </i>
    <i>
      <x v="57"/>
    </i>
    <i>
      <x v="58"/>
    </i>
    <i>
      <x v="59"/>
    </i>
    <i>
      <x v="60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4"/>
    </i>
    <i>
      <x v="75"/>
    </i>
    <i>
      <x v="77"/>
    </i>
    <i>
      <x v="78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3"/>
    </i>
    <i>
      <x v="114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8"/>
    </i>
    <i>
      <x v="129"/>
    </i>
    <i>
      <x v="130"/>
    </i>
    <i>
      <x v="131"/>
    </i>
    <i>
      <x v="132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9"/>
    </i>
    <i>
      <x v="150"/>
    </i>
    <i>
      <x v="151"/>
    </i>
    <i>
      <x v="152"/>
    </i>
    <i>
      <x v="153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4"/>
    </i>
    <i>
      <x v="165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3"/>
    </i>
    <i>
      <x v="204"/>
    </i>
    <i>
      <x v="205"/>
    </i>
    <i>
      <x v="206"/>
    </i>
    <i>
      <x v="207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Count of Gender" fld="1" subtotal="count" baseField="0" baseItem="0" numFmtId="2"/>
    <dataField name="Sum of Length" fld="2" baseField="0" baseItem="0" numFmtId="2"/>
    <dataField name="Sum of Diameter" fld="3" baseField="0" baseItem="0" numFmtId="2"/>
    <dataField name="Sum of Height" fld="4" baseField="0" baseItem="0" numFmtId="2"/>
    <dataField name="Sum of Whole_weight" fld="5" baseField="0" baseItem="0" numFmtId="2"/>
  </dataFields>
  <formats count="31">
    <format dxfId="55">
      <pivotArea field="25" type="button" dataOnly="0" labelOnly="1" outline="0"/>
    </format>
    <format dxfId="54">
      <pivotArea dataOnly="0" labelOnly="1" fieldPosition="0">
        <references count="1">
          <reference field="24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53">
      <pivotArea dataOnly="0" labelOnly="1" fieldPosition="0">
        <references count="1">
          <reference field="24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52">
      <pivotArea dataOnly="0" labelOnly="1" fieldPosition="0">
        <references count="1">
          <reference field="24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51">
      <pivotArea dataOnly="0" labelOnly="1" fieldPosition="0">
        <references count="1">
          <reference field="24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50">
      <pivotArea dataOnly="0" labelOnly="1" fieldPosition="0">
        <references count="1">
          <reference field="24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49">
      <pivotArea dataOnly="0" labelOnly="1" fieldPosition="0">
        <references count="1">
          <reference field="24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48">
      <pivotArea dataOnly="0" labelOnly="1" fieldPosition="0">
        <references count="1">
          <reference field="24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47">
      <pivotArea dataOnly="0" labelOnly="1" fieldPosition="0">
        <references count="1">
          <reference field="24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46">
      <pivotArea dataOnly="0" labelOnly="1" fieldPosition="0">
        <references count="1">
          <reference field="24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45">
      <pivotArea dataOnly="0" labelOnly="1" fieldPosition="0">
        <references count="1">
          <reference field="24" count="50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  <x v="498"/>
            <x v="499"/>
          </reference>
        </references>
      </pivotArea>
    </format>
    <format dxfId="44">
      <pivotArea dataOnly="0" labelOnly="1" fieldPosition="0">
        <references count="1">
          <reference field="24" count="50">
            <x v="500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  <x v="513"/>
            <x v="514"/>
            <x v="515"/>
            <x v="516"/>
            <x v="517"/>
            <x v="518"/>
            <x v="519"/>
            <x v="520"/>
            <x v="521"/>
            <x v="522"/>
            <x v="523"/>
            <x v="524"/>
            <x v="525"/>
            <x v="526"/>
            <x v="527"/>
            <x v="528"/>
            <x v="529"/>
            <x v="530"/>
            <x v="531"/>
            <x v="532"/>
            <x v="533"/>
            <x v="534"/>
            <x v="535"/>
            <x v="536"/>
            <x v="537"/>
            <x v="538"/>
            <x v="539"/>
            <x v="540"/>
            <x v="541"/>
            <x v="542"/>
            <x v="543"/>
            <x v="544"/>
            <x v="545"/>
            <x v="546"/>
            <x v="547"/>
            <x v="548"/>
            <x v="549"/>
          </reference>
        </references>
      </pivotArea>
    </format>
    <format dxfId="43">
      <pivotArea dataOnly="0" labelOnly="1" fieldPosition="0">
        <references count="1">
          <reference field="24" count="50">
            <x v="550"/>
            <x v="551"/>
            <x v="552"/>
            <x v="553"/>
            <x v="554"/>
            <x v="555"/>
            <x v="556"/>
            <x v="557"/>
            <x v="558"/>
            <x v="559"/>
            <x v="560"/>
            <x v="561"/>
            <x v="562"/>
            <x v="563"/>
            <x v="564"/>
            <x v="565"/>
            <x v="566"/>
            <x v="567"/>
            <x v="568"/>
            <x v="569"/>
            <x v="570"/>
            <x v="571"/>
            <x v="572"/>
            <x v="573"/>
            <x v="574"/>
            <x v="575"/>
            <x v="576"/>
            <x v="577"/>
            <x v="578"/>
            <x v="579"/>
            <x v="580"/>
            <x v="581"/>
            <x v="582"/>
            <x v="583"/>
            <x v="584"/>
            <x v="585"/>
            <x v="586"/>
            <x v="587"/>
            <x v="588"/>
            <x v="589"/>
            <x v="590"/>
            <x v="591"/>
            <x v="592"/>
            <x v="593"/>
            <x v="594"/>
            <x v="595"/>
            <x v="596"/>
            <x v="597"/>
            <x v="598"/>
            <x v="599"/>
          </reference>
        </references>
      </pivotArea>
    </format>
    <format dxfId="42">
      <pivotArea dataOnly="0" labelOnly="1" fieldPosition="0">
        <references count="1">
          <reference field="24" count="31">
            <x v="600"/>
            <x v="601"/>
            <x v="602"/>
            <x v="603"/>
            <x v="604"/>
            <x v="605"/>
            <x v="606"/>
            <x v="607"/>
            <x v="608"/>
            <x v="609"/>
            <x v="610"/>
            <x v="611"/>
            <x v="612"/>
            <x v="613"/>
            <x v="614"/>
            <x v="615"/>
            <x v="616"/>
            <x v="617"/>
            <x v="618"/>
            <x v="619"/>
            <x v="620"/>
            <x v="621"/>
            <x v="622"/>
            <x v="623"/>
            <x v="624"/>
            <x v="625"/>
            <x v="626"/>
            <x v="627"/>
            <x v="628"/>
            <x v="629"/>
            <x v="630"/>
          </reference>
        </references>
      </pivotArea>
    </format>
    <format dxfId="41">
      <pivotArea dataOnly="0" labelOnly="1" fieldPosition="0">
        <references count="1">
          <reference field="24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2"/>
            <x v="13"/>
            <x v="14"/>
            <x v="15"/>
            <x v="16"/>
            <x v="17"/>
            <x v="19"/>
            <x v="20"/>
            <x v="21"/>
            <x v="23"/>
            <x v="24"/>
            <x v="25"/>
            <x v="26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9"/>
            <x v="50"/>
            <x v="51"/>
            <x v="53"/>
            <x v="54"/>
            <x v="55"/>
          </reference>
        </references>
      </pivotArea>
    </format>
    <format dxfId="40">
      <pivotArea dataOnly="0" labelOnly="1" fieldPosition="0">
        <references count="1">
          <reference field="24" count="50">
            <x v="57"/>
            <x v="58"/>
            <x v="59"/>
            <x v="60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4"/>
            <x v="75"/>
            <x v="77"/>
            <x v="78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</reference>
        </references>
      </pivotArea>
    </format>
    <format dxfId="39">
      <pivotArea dataOnly="0" labelOnly="1" fieldPosition="0">
        <references count="1">
          <reference field="24" count="50">
            <x v="113"/>
            <x v="114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8"/>
            <x v="129"/>
            <x v="130"/>
            <x v="131"/>
            <x v="132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9"/>
            <x v="150"/>
            <x v="151"/>
            <x v="152"/>
            <x v="153"/>
            <x v="155"/>
            <x v="156"/>
            <x v="157"/>
            <x v="158"/>
            <x v="159"/>
            <x v="160"/>
            <x v="161"/>
            <x v="162"/>
            <x v="164"/>
            <x v="165"/>
            <x v="167"/>
            <x v="168"/>
            <x v="169"/>
          </reference>
        </references>
      </pivotArea>
    </format>
    <format dxfId="38">
      <pivotArea dataOnly="0" labelOnly="1" fieldPosition="0">
        <references count="1">
          <reference field="24" count="50"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4"/>
            <x v="195"/>
            <x v="196"/>
            <x v="197"/>
            <x v="198"/>
            <x v="199"/>
            <x v="200"/>
            <x v="201"/>
            <x v="203"/>
            <x v="204"/>
            <x v="205"/>
            <x v="206"/>
            <x v="207"/>
            <x v="209"/>
            <x v="210"/>
            <x v="211"/>
            <x v="212"/>
            <x v="213"/>
            <x v="214"/>
            <x v="215"/>
            <x v="216"/>
            <x v="218"/>
            <x v="219"/>
            <x v="220"/>
            <x v="221"/>
            <x v="222"/>
            <x v="223"/>
          </reference>
        </references>
      </pivotArea>
    </format>
    <format dxfId="37">
      <pivotArea dataOnly="0" labelOnly="1" fieldPosition="0">
        <references count="1">
          <reference field="24" count="50">
            <x v="224"/>
            <x v="225"/>
            <x v="226"/>
            <x v="227"/>
            <x v="228"/>
            <x v="229"/>
            <x v="230"/>
            <x v="231"/>
            <x v="232"/>
            <x v="233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</reference>
        </references>
      </pivotArea>
    </format>
    <format dxfId="36">
      <pivotArea dataOnly="0" labelOnly="1" fieldPosition="0">
        <references count="1">
          <reference field="24" count="50"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</reference>
        </references>
      </pivotArea>
    </format>
    <format dxfId="35">
      <pivotArea dataOnly="0" labelOnly="1" fieldPosition="0">
        <references count="1">
          <reference field="24" count="50"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</reference>
        </references>
      </pivotArea>
    </format>
    <format dxfId="34">
      <pivotArea dataOnly="0" labelOnly="1" fieldPosition="0">
        <references count="1">
          <reference field="24" count="50"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</reference>
        </references>
      </pivotArea>
    </format>
    <format dxfId="33">
      <pivotArea dataOnly="0" labelOnly="1" fieldPosition="0">
        <references count="1">
          <reference field="24" count="50"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</reference>
        </references>
      </pivotArea>
    </format>
    <format dxfId="32">
      <pivotArea dataOnly="0" labelOnly="1" fieldPosition="0">
        <references count="1">
          <reference field="24" count="50"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  <x v="498"/>
            <x v="499"/>
            <x v="500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  <x v="513"/>
            <x v="514"/>
            <x v="515"/>
            <x v="516"/>
            <x v="517"/>
            <x v="518"/>
            <x v="519"/>
            <x v="520"/>
            <x v="521"/>
            <x v="522"/>
            <x v="523"/>
            <x v="524"/>
          </reference>
        </references>
      </pivotArea>
    </format>
    <format dxfId="31">
      <pivotArea dataOnly="0" labelOnly="1" fieldPosition="0">
        <references count="1">
          <reference field="24" count="50">
            <x v="525"/>
            <x v="526"/>
            <x v="527"/>
            <x v="528"/>
            <x v="529"/>
            <x v="530"/>
            <x v="531"/>
            <x v="532"/>
            <x v="533"/>
            <x v="534"/>
            <x v="535"/>
            <x v="536"/>
            <x v="537"/>
            <x v="538"/>
            <x v="539"/>
            <x v="540"/>
            <x v="541"/>
            <x v="542"/>
            <x v="543"/>
            <x v="544"/>
            <x v="545"/>
            <x v="546"/>
            <x v="547"/>
            <x v="548"/>
            <x v="549"/>
            <x v="550"/>
            <x v="551"/>
            <x v="552"/>
            <x v="553"/>
            <x v="554"/>
            <x v="555"/>
            <x v="556"/>
            <x v="557"/>
            <x v="558"/>
            <x v="559"/>
            <x v="560"/>
            <x v="561"/>
            <x v="562"/>
            <x v="563"/>
            <x v="564"/>
            <x v="565"/>
            <x v="566"/>
            <x v="567"/>
            <x v="568"/>
            <x v="569"/>
            <x v="570"/>
            <x v="571"/>
            <x v="572"/>
            <x v="573"/>
            <x v="574"/>
          </reference>
        </references>
      </pivotArea>
    </format>
    <format dxfId="30">
      <pivotArea dataOnly="0" labelOnly="1" fieldPosition="0">
        <references count="1">
          <reference field="24" count="50">
            <x v="575"/>
            <x v="576"/>
            <x v="577"/>
            <x v="578"/>
            <x v="579"/>
            <x v="580"/>
            <x v="581"/>
            <x v="582"/>
            <x v="583"/>
            <x v="584"/>
            <x v="585"/>
            <x v="586"/>
            <x v="587"/>
            <x v="588"/>
            <x v="589"/>
            <x v="590"/>
            <x v="591"/>
            <x v="592"/>
            <x v="593"/>
            <x v="594"/>
            <x v="595"/>
            <x v="596"/>
            <x v="597"/>
            <x v="598"/>
            <x v="599"/>
            <x v="600"/>
            <x v="601"/>
            <x v="602"/>
            <x v="603"/>
            <x v="604"/>
            <x v="605"/>
            <x v="606"/>
            <x v="607"/>
            <x v="608"/>
            <x v="609"/>
            <x v="610"/>
            <x v="611"/>
            <x v="612"/>
            <x v="613"/>
            <x v="614"/>
            <x v="615"/>
            <x v="616"/>
            <x v="617"/>
            <x v="618"/>
            <x v="619"/>
            <x v="620"/>
            <x v="621"/>
            <x v="622"/>
            <x v="623"/>
            <x v="624"/>
          </reference>
        </references>
      </pivotArea>
    </format>
    <format dxfId="29">
      <pivotArea dataOnly="0" labelOnly="1" fieldPosition="0">
        <references count="1">
          <reference field="24" count="6">
            <x v="625"/>
            <x v="626"/>
            <x v="627"/>
            <x v="628"/>
            <x v="629"/>
            <x v="630"/>
          </reference>
        </references>
      </pivotArea>
    </format>
    <format dxfId="28">
      <pivotArea collapsedLevelsAreSubtotals="1" fieldPosition="0">
        <references count="1">
          <reference field="24" count="1">
            <x v="630"/>
          </reference>
        </references>
      </pivotArea>
    </format>
    <format dxfId="27">
      <pivotArea dataOnly="0" labelOnly="1" fieldPosition="0">
        <references count="1">
          <reference field="24" count="1">
            <x v="630"/>
          </reference>
        </references>
      </pivotArea>
    </format>
    <format dxfId="26">
      <pivotArea collapsedLevelsAreSubtotals="1" fieldPosition="0">
        <references count="1">
          <reference field="24" count="1">
            <x v="0"/>
          </reference>
        </references>
      </pivotArea>
    </format>
    <format dxfId="25">
      <pivotArea dataOnly="0" labelOnly="1" fieldPosition="0">
        <references count="1">
          <reference field="24" count="1">
            <x v="0"/>
          </reference>
        </references>
      </pivotArea>
    </format>
  </formats>
  <chartFormats count="11">
    <chartFormat chart="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2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3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4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5"/>
          </reference>
        </references>
      </pivotArea>
    </chartFormat>
  </chartFormats>
  <pivotTableStyleInfo name="PivotStyleMedium3" showRowHeaders="1" showColHeaders="1" showRowStripes="0" showColStripes="0" showLastColumn="1"/>
  <filters count="1">
    <filter fld="24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87FA9B-3D89-D645-B14C-037D04643ABE}" name="PivotTable6" cacheId="10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9:F21" firstHeaderRow="0" firstDataRow="1" firstDataCol="1"/>
  <pivotFields count="26">
    <pivotField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3">
        <item x="9"/>
        <item x="3"/>
        <item x="4"/>
        <item x="7"/>
        <item x="6"/>
        <item x="11"/>
        <item x="5"/>
        <item x="1"/>
        <item x="2"/>
        <item x="10"/>
        <item x="8"/>
        <item h="1" x="0"/>
        <item t="default"/>
      </items>
    </pivotField>
    <pivotField showAll="0"/>
    <pivotField showAll="0"/>
  </pivotFields>
  <rowFields count="1">
    <field x="23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Length" fld="2" baseField="0" baseItem="0"/>
    <dataField name="Sum of Diameter" fld="3" baseField="0" baseItem="0"/>
    <dataField name="Sum of Height" fld="4" baseField="0" baseItem="0"/>
    <dataField name="Sum of Whole_weight" fld="5" baseField="0" baseItem="0"/>
    <dataField name="Count of Gender" fld="1" subtotal="count" baseField="0" baseItem="0"/>
  </dataFields>
  <formats count="4">
    <format dxfId="59">
      <pivotArea collapsedLevelsAreSubtotals="1" fieldPosition="0">
        <references count="1">
          <reference field="23" count="1">
            <x v="10"/>
          </reference>
        </references>
      </pivotArea>
    </format>
    <format dxfId="58">
      <pivotArea dataOnly="0" labelOnly="1" fieldPosition="0">
        <references count="1">
          <reference field="23" count="1">
            <x v="10"/>
          </reference>
        </references>
      </pivotArea>
    </format>
    <format dxfId="57">
      <pivotArea collapsedLevelsAreSubtotals="1" fieldPosition="0">
        <references count="1">
          <reference field="23" count="1">
            <x v="0"/>
          </reference>
        </references>
      </pivotArea>
    </format>
    <format dxfId="56">
      <pivotArea dataOnly="0" labelOnly="1" fieldPosition="0">
        <references count="1">
          <reference field="23" count="1">
            <x v="0"/>
          </reference>
        </references>
      </pivotArea>
    </format>
  </formats>
  <chartFormats count="44">
    <chartFormat chart="0" format="49" series="1">
      <pivotArea type="data" outline="0" fieldPosition="0">
        <references count="1">
          <reference field="23" count="1" selected="0">
            <x v="0"/>
          </reference>
        </references>
      </pivotArea>
    </chartFormat>
    <chartFormat chart="0" format="50" series="1">
      <pivotArea type="data" outline="0" fieldPosition="0">
        <references count="1">
          <reference field="23" count="1" selected="0">
            <x v="1"/>
          </reference>
        </references>
      </pivotArea>
    </chartFormat>
    <chartFormat chart="0" format="51" series="1">
      <pivotArea type="data" outline="0" fieldPosition="0">
        <references count="1">
          <reference field="23" count="1" selected="0">
            <x v="2"/>
          </reference>
        </references>
      </pivotArea>
    </chartFormat>
    <chartFormat chart="0" format="52" series="1">
      <pivotArea type="data" outline="0" fieldPosition="0">
        <references count="1">
          <reference field="23" count="1" selected="0">
            <x v="3"/>
          </reference>
        </references>
      </pivotArea>
    </chartFormat>
    <chartFormat chart="0" format="53" series="1">
      <pivotArea type="data" outline="0" fieldPosition="0">
        <references count="1">
          <reference field="23" count="1" selected="0">
            <x v="4"/>
          </reference>
        </references>
      </pivotArea>
    </chartFormat>
    <chartFormat chart="0" format="54" series="1">
      <pivotArea type="data" outline="0" fieldPosition="0">
        <references count="1">
          <reference field="23" count="1" selected="0">
            <x v="5"/>
          </reference>
        </references>
      </pivotArea>
    </chartFormat>
    <chartFormat chart="0" format="55" series="1">
      <pivotArea type="data" outline="0" fieldPosition="0">
        <references count="1">
          <reference field="23" count="1" selected="0">
            <x v="6"/>
          </reference>
        </references>
      </pivotArea>
    </chartFormat>
    <chartFormat chart="0" format="56" series="1">
      <pivotArea type="data" outline="0" fieldPosition="0">
        <references count="1">
          <reference field="23" count="1" selected="0">
            <x v="7"/>
          </reference>
        </references>
      </pivotArea>
    </chartFormat>
    <chartFormat chart="0" format="57" series="1">
      <pivotArea type="data" outline="0" fieldPosition="0">
        <references count="1">
          <reference field="23" count="1" selected="0">
            <x v="8"/>
          </reference>
        </references>
      </pivotArea>
    </chartFormat>
    <chartFormat chart="0" format="58" series="1">
      <pivotArea type="data" outline="0" fieldPosition="0">
        <references count="1">
          <reference field="23" count="1" selected="0">
            <x v="9"/>
          </reference>
        </references>
      </pivotArea>
    </chartFormat>
    <chartFormat chart="0" format="59" series="1">
      <pivotArea type="data" outline="0" fieldPosition="0">
        <references count="1">
          <reference field="23" count="1" selected="0">
            <x v="10"/>
          </reference>
        </references>
      </pivotArea>
    </chartFormat>
    <chartFormat chart="0" format="60" series="1">
      <pivotArea type="data" outline="0" fieldPosition="0">
        <references count="1">
          <reference field="23" count="1" selected="0">
            <x v="11"/>
          </reference>
        </references>
      </pivotArea>
    </chartFormat>
    <chartFormat chart="0" format="80" series="1">
      <pivotArea type="data" outline="0" fieldPosition="0">
        <references count="2">
          <reference field="4294967294" count="1" selected="0">
            <x v="4"/>
          </reference>
          <reference field="23" count="1" selected="0">
            <x v="0"/>
          </reference>
        </references>
      </pivotArea>
    </chartFormat>
    <chartFormat chart="0" format="81" series="1">
      <pivotArea type="data" outline="0" fieldPosition="0">
        <references count="2">
          <reference field="4294967294" count="1" selected="0">
            <x v="4"/>
          </reference>
          <reference field="23" count="1" selected="0">
            <x v="1"/>
          </reference>
        </references>
      </pivotArea>
    </chartFormat>
    <chartFormat chart="0" format="82" series="1">
      <pivotArea type="data" outline="0" fieldPosition="0">
        <references count="2">
          <reference field="4294967294" count="1" selected="0">
            <x v="4"/>
          </reference>
          <reference field="23" count="1" selected="0">
            <x v="2"/>
          </reference>
        </references>
      </pivotArea>
    </chartFormat>
    <chartFormat chart="0" format="83" series="1">
      <pivotArea type="data" outline="0" fieldPosition="0">
        <references count="2">
          <reference field="4294967294" count="1" selected="0">
            <x v="4"/>
          </reference>
          <reference field="23" count="1" selected="0">
            <x v="3"/>
          </reference>
        </references>
      </pivotArea>
    </chartFormat>
    <chartFormat chart="0" format="84" series="1">
      <pivotArea type="data" outline="0" fieldPosition="0">
        <references count="2">
          <reference field="4294967294" count="1" selected="0">
            <x v="4"/>
          </reference>
          <reference field="23" count="1" selected="0">
            <x v="4"/>
          </reference>
        </references>
      </pivotArea>
    </chartFormat>
    <chartFormat chart="0" format="85" series="1">
      <pivotArea type="data" outline="0" fieldPosition="0">
        <references count="2">
          <reference field="4294967294" count="1" selected="0">
            <x v="4"/>
          </reference>
          <reference field="23" count="1" selected="0">
            <x v="5"/>
          </reference>
        </references>
      </pivotArea>
    </chartFormat>
    <chartFormat chart="0" format="86" series="1">
      <pivotArea type="data" outline="0" fieldPosition="0">
        <references count="2">
          <reference field="4294967294" count="1" selected="0">
            <x v="4"/>
          </reference>
          <reference field="23" count="1" selected="0">
            <x v="6"/>
          </reference>
        </references>
      </pivotArea>
    </chartFormat>
    <chartFormat chart="0" format="87" series="1">
      <pivotArea type="data" outline="0" fieldPosition="0">
        <references count="2">
          <reference field="4294967294" count="1" selected="0">
            <x v="4"/>
          </reference>
          <reference field="23" count="1" selected="0">
            <x v="7"/>
          </reference>
        </references>
      </pivotArea>
    </chartFormat>
    <chartFormat chart="0" format="88" series="1">
      <pivotArea type="data" outline="0" fieldPosition="0">
        <references count="2">
          <reference field="4294967294" count="1" selected="0">
            <x v="4"/>
          </reference>
          <reference field="23" count="1" selected="0">
            <x v="8"/>
          </reference>
        </references>
      </pivotArea>
    </chartFormat>
    <chartFormat chart="0" format="89" series="1">
      <pivotArea type="data" outline="0" fieldPosition="0">
        <references count="2">
          <reference field="4294967294" count="1" selected="0">
            <x v="4"/>
          </reference>
          <reference field="23" count="1" selected="0">
            <x v="9"/>
          </reference>
        </references>
      </pivotArea>
    </chartFormat>
    <chartFormat chart="0" format="90" series="1">
      <pivotArea type="data" outline="0" fieldPosition="0">
        <references count="2">
          <reference field="4294967294" count="1" selected="0">
            <x v="4"/>
          </reference>
          <reference field="23" count="1" selected="0">
            <x v="10"/>
          </reference>
        </references>
      </pivotArea>
    </chartFormat>
    <chartFormat chart="0" format="91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5"/>
          </reference>
        </references>
      </pivotArea>
    </chartFormat>
    <chartFormat chart="0" format="92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6"/>
          </reference>
        </references>
      </pivotArea>
    </chartFormat>
    <chartFormat chart="0" format="93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7"/>
          </reference>
        </references>
      </pivotArea>
    </chartFormat>
    <chartFormat chart="0" format="94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8"/>
          </reference>
        </references>
      </pivotArea>
    </chartFormat>
    <chartFormat chart="0" format="95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9"/>
          </reference>
        </references>
      </pivotArea>
    </chartFormat>
    <chartFormat chart="0" format="96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10"/>
          </reference>
        </references>
      </pivotArea>
    </chartFormat>
    <chartFormat chart="0" format="97" series="1">
      <pivotArea type="data" outline="0" fieldPosition="0">
        <references count="2">
          <reference field="4294967294" count="1" selected="0">
            <x v="1"/>
          </reference>
          <reference field="23" count="1" selected="0">
            <x v="7"/>
          </reference>
        </references>
      </pivotArea>
    </chartFormat>
    <chartFormat chart="0" format="98" series="1">
      <pivotArea type="data" outline="0" fieldPosition="0">
        <references count="2">
          <reference field="4294967294" count="1" selected="0">
            <x v="1"/>
          </reference>
          <reference field="23" count="1" selected="0">
            <x v="8"/>
          </reference>
        </references>
      </pivotArea>
    </chartFormat>
    <chartFormat chart="0" format="99" series="1">
      <pivotArea type="data" outline="0" fieldPosition="0">
        <references count="2">
          <reference field="4294967294" count="1" selected="0">
            <x v="1"/>
          </reference>
          <reference field="23" count="1" selected="0">
            <x v="9"/>
          </reference>
        </references>
      </pivotArea>
    </chartFormat>
    <chartFormat chart="0" format="100" series="1">
      <pivotArea type="data" outline="0" fieldPosition="0">
        <references count="2">
          <reference field="4294967294" count="1" selected="0">
            <x v="1"/>
          </reference>
          <reference field="23" count="1" selected="0">
            <x v="10"/>
          </reference>
        </references>
      </pivotArea>
    </chartFormat>
    <chartFormat chart="0" format="101" series="1">
      <pivotArea type="data" outline="0" fieldPosition="0">
        <references count="2">
          <reference field="4294967294" count="1" selected="0">
            <x v="2"/>
          </reference>
          <reference field="23" count="1" selected="0">
            <x v="8"/>
          </reference>
        </references>
      </pivotArea>
    </chartFormat>
    <chartFormat chart="0" format="102" series="1">
      <pivotArea type="data" outline="0" fieldPosition="0">
        <references count="2">
          <reference field="4294967294" count="1" selected="0">
            <x v="2"/>
          </reference>
          <reference field="23" count="1" selected="0">
            <x v="9"/>
          </reference>
        </references>
      </pivotArea>
    </chartFormat>
    <chartFormat chart="0" format="103" series="1">
      <pivotArea type="data" outline="0" fieldPosition="0">
        <references count="2">
          <reference field="4294967294" count="1" selected="0">
            <x v="2"/>
          </reference>
          <reference field="23" count="1" selected="0">
            <x v="10"/>
          </reference>
        </references>
      </pivotArea>
    </chartFormat>
    <chartFormat chart="0" format="104" series="1">
      <pivotArea type="data" outline="0" fieldPosition="0">
        <references count="2">
          <reference field="4294967294" count="1" selected="0">
            <x v="3"/>
          </reference>
          <reference field="23" count="1" selected="0">
            <x v="8"/>
          </reference>
        </references>
      </pivotArea>
    </chartFormat>
    <chartFormat chart="0" format="105" series="1">
      <pivotArea type="data" outline="0" fieldPosition="0">
        <references count="2">
          <reference field="4294967294" count="1" selected="0">
            <x v="3"/>
          </reference>
          <reference field="23" count="1" selected="0">
            <x v="9"/>
          </reference>
        </references>
      </pivotArea>
    </chartFormat>
    <chartFormat chart="0" format="106" series="1">
      <pivotArea type="data" outline="0" fieldPosition="0">
        <references count="2">
          <reference field="4294967294" count="1" selected="0">
            <x v="3"/>
          </reference>
          <reference field="23" count="1" selected="0">
            <x v="10"/>
          </reference>
        </references>
      </pivotArea>
    </chartFormat>
    <chartFormat chart="0" format="107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0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0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1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111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Medium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91EA59-DCE8-4BD3-AE4C-094F902399F8}" name="PivotTable1" cacheId="108" dataPosition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V1:AA358" firstHeaderRow="0" firstDataRow="1" firstDataCol="1"/>
  <pivotFields count="26">
    <pivotField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58">
        <item x="92"/>
        <item x="350"/>
        <item x="64"/>
        <item x="21"/>
        <item x="13"/>
        <item x="241"/>
        <item x="55"/>
        <item x="45"/>
        <item x="69"/>
        <item x="228"/>
        <item x="115"/>
        <item x="149"/>
        <item x="273"/>
        <item x="275"/>
        <item x="19"/>
        <item x="51"/>
        <item x="172"/>
        <item x="16"/>
        <item x="204"/>
        <item x="111"/>
        <item x="308"/>
        <item x="145"/>
        <item x="341"/>
        <item x="144"/>
        <item x="84"/>
        <item x="238"/>
        <item x="294"/>
        <item x="141"/>
        <item x="206"/>
        <item x="207"/>
        <item x="163"/>
        <item x="73"/>
        <item x="306"/>
        <item x="47"/>
        <item x="157"/>
        <item x="300"/>
        <item x="168"/>
        <item x="210"/>
        <item x="30"/>
        <item x="263"/>
        <item x="254"/>
        <item x="79"/>
        <item x="152"/>
        <item x="130"/>
        <item x="337"/>
        <item x="276"/>
        <item x="262"/>
        <item x="299"/>
        <item x="289"/>
        <item x="326"/>
        <item x="10"/>
        <item x="22"/>
        <item x="169"/>
        <item x="196"/>
        <item x="44"/>
        <item x="193"/>
        <item x="182"/>
        <item x="315"/>
        <item x="58"/>
        <item x="288"/>
        <item x="32"/>
        <item x="174"/>
        <item x="259"/>
        <item x="303"/>
        <item x="202"/>
        <item x="311"/>
        <item x="122"/>
        <item x="183"/>
        <item x="339"/>
        <item x="176"/>
        <item x="100"/>
        <item x="211"/>
        <item x="107"/>
        <item x="25"/>
        <item x="143"/>
        <item x="290"/>
        <item x="286"/>
        <item x="87"/>
        <item x="201"/>
        <item x="139"/>
        <item x="284"/>
        <item x="76"/>
        <item x="9"/>
        <item x="180"/>
        <item x="75"/>
        <item x="223"/>
        <item x="28"/>
        <item x="225"/>
        <item x="93"/>
        <item x="214"/>
        <item x="274"/>
        <item x="356"/>
        <item x="282"/>
        <item x="61"/>
        <item x="109"/>
        <item x="118"/>
        <item x="217"/>
        <item x="137"/>
        <item x="117"/>
        <item x="81"/>
        <item x="128"/>
        <item x="162"/>
        <item x="65"/>
        <item x="229"/>
        <item x="11"/>
        <item x="48"/>
        <item x="333"/>
        <item x="68"/>
        <item x="123"/>
        <item x="323"/>
        <item x="242"/>
        <item x="35"/>
        <item x="305"/>
        <item x="342"/>
        <item x="50"/>
        <item x="319"/>
        <item x="67"/>
        <item x="7"/>
        <item x="59"/>
        <item x="251"/>
        <item x="173"/>
        <item x="116"/>
        <item x="62"/>
        <item x="166"/>
        <item x="208"/>
        <item x="344"/>
        <item x="246"/>
        <item x="221"/>
        <item x="178"/>
        <item x="219"/>
        <item x="280"/>
        <item x="158"/>
        <item x="133"/>
        <item x="94"/>
        <item x="353"/>
        <item x="269"/>
        <item x="70"/>
        <item x="31"/>
        <item x="234"/>
        <item x="247"/>
        <item x="230"/>
        <item x="82"/>
        <item x="147"/>
        <item x="330"/>
        <item x="165"/>
        <item x="167"/>
        <item x="304"/>
        <item x="80"/>
        <item x="292"/>
        <item x="237"/>
        <item x="52"/>
        <item x="171"/>
        <item x="99"/>
        <item x="329"/>
        <item x="222"/>
        <item x="317"/>
        <item x="260"/>
        <item x="170"/>
        <item x="253"/>
        <item x="113"/>
        <item x="348"/>
        <item x="355"/>
        <item x="265"/>
        <item x="283"/>
        <item x="105"/>
        <item x="142"/>
        <item x="155"/>
        <item x="249"/>
        <item x="340"/>
        <item x="309"/>
        <item x="33"/>
        <item x="8"/>
        <item x="46"/>
        <item x="324"/>
        <item x="354"/>
        <item x="345"/>
        <item x="245"/>
        <item x="194"/>
        <item x="248"/>
        <item x="34"/>
        <item x="54"/>
        <item x="301"/>
        <item x="77"/>
        <item x="310"/>
        <item x="41"/>
        <item x="135"/>
        <item x="89"/>
        <item x="42"/>
        <item x="106"/>
        <item x="0"/>
        <item x="125"/>
        <item x="198"/>
        <item x="12"/>
        <item x="97"/>
        <item x="188"/>
        <item x="179"/>
        <item x="83"/>
        <item x="349"/>
        <item x="177"/>
        <item x="293"/>
        <item x="15"/>
        <item x="60"/>
        <item x="334"/>
        <item x="277"/>
        <item x="18"/>
        <item x="131"/>
        <item x="134"/>
        <item x="186"/>
        <item x="153"/>
        <item x="316"/>
        <item x="175"/>
        <item x="53"/>
        <item x="140"/>
        <item x="203"/>
        <item x="95"/>
        <item x="332"/>
        <item x="91"/>
        <item x="192"/>
        <item x="110"/>
        <item x="302"/>
        <item x="270"/>
        <item x="38"/>
        <item x="252"/>
        <item x="127"/>
        <item x="200"/>
        <item x="74"/>
        <item x="151"/>
        <item x="78"/>
        <item x="331"/>
        <item x="181"/>
        <item x="213"/>
        <item x="26"/>
        <item x="327"/>
        <item x="321"/>
        <item x="36"/>
        <item x="267"/>
        <item x="218"/>
        <item x="39"/>
        <item x="150"/>
        <item x="261"/>
        <item x="235"/>
        <item x="104"/>
        <item x="71"/>
        <item x="325"/>
        <item x="209"/>
        <item x="227"/>
        <item x="102"/>
        <item x="23"/>
        <item x="190"/>
        <item x="322"/>
        <item x="239"/>
        <item x="88"/>
        <item x="313"/>
        <item x="224"/>
        <item x="29"/>
        <item x="124"/>
        <item x="191"/>
        <item x="4"/>
        <item x="216"/>
        <item x="195"/>
        <item x="351"/>
        <item x="297"/>
        <item x="63"/>
        <item x="90"/>
        <item x="185"/>
        <item x="120"/>
        <item x="295"/>
        <item x="233"/>
        <item x="232"/>
        <item x="66"/>
        <item x="3"/>
        <item x="43"/>
        <item x="154"/>
        <item x="264"/>
        <item x="244"/>
        <item x="287"/>
        <item x="279"/>
        <item x="338"/>
        <item x="296"/>
        <item x="112"/>
        <item x="57"/>
        <item x="108"/>
        <item x="129"/>
        <item x="126"/>
        <item x="343"/>
        <item x="335"/>
        <item x="318"/>
        <item x="314"/>
        <item x="215"/>
        <item x="243"/>
        <item x="37"/>
        <item x="328"/>
        <item x="132"/>
        <item x="226"/>
        <item x="85"/>
        <item x="236"/>
        <item x="119"/>
        <item x="278"/>
        <item x="187"/>
        <item x="160"/>
        <item x="266"/>
        <item x="146"/>
        <item x="114"/>
        <item x="320"/>
        <item x="250"/>
        <item x="96"/>
        <item x="24"/>
        <item x="56"/>
        <item x="285"/>
        <item x="148"/>
        <item x="27"/>
        <item x="20"/>
        <item x="156"/>
        <item x="6"/>
        <item x="40"/>
        <item x="72"/>
        <item x="231"/>
        <item x="212"/>
        <item x="258"/>
        <item x="298"/>
        <item x="184"/>
        <item x="103"/>
        <item x="49"/>
        <item x="220"/>
        <item x="164"/>
        <item x="271"/>
        <item x="161"/>
        <item x="336"/>
        <item x="136"/>
        <item x="189"/>
        <item x="101"/>
        <item x="255"/>
        <item x="352"/>
        <item x="240"/>
        <item x="307"/>
        <item x="14"/>
        <item x="159"/>
        <item x="98"/>
        <item x="86"/>
        <item x="257"/>
        <item x="291"/>
        <item x="281"/>
        <item x="272"/>
        <item x="197"/>
        <item x="5"/>
        <item x="256"/>
        <item x="346"/>
        <item x="17"/>
        <item x="312"/>
        <item x="121"/>
        <item x="138"/>
        <item x="347"/>
        <item x="199"/>
        <item x="2"/>
        <item x="268"/>
        <item x="205"/>
        <item h="1" x="1"/>
        <item t="default"/>
      </items>
    </pivotField>
  </pivotFields>
  <rowFields count="1">
    <field x="25"/>
  </rowFields>
  <rowItems count="35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Count of Gender" fld="1" subtotal="count" baseField="0" baseItem="0"/>
    <dataField name="Sum of Length" fld="2" baseField="0" baseItem="0"/>
    <dataField name="Sum of Diameter" fld="3" baseField="0" baseItem="0"/>
    <dataField name="Sum of Height" fld="4" baseField="0" baseItem="0"/>
    <dataField name="Sum of Whole_weight" fld="5" baseField="0" baseItem="0"/>
  </dataFields>
  <formats count="4">
    <format dxfId="63">
      <pivotArea collapsedLevelsAreSubtotals="1" fieldPosition="0">
        <references count="1">
          <reference field="25" count="1">
            <x v="355"/>
          </reference>
        </references>
      </pivotArea>
    </format>
    <format dxfId="62">
      <pivotArea dataOnly="0" labelOnly="1" fieldPosition="0">
        <references count="1">
          <reference field="25" count="1">
            <x v="355"/>
          </reference>
        </references>
      </pivotArea>
    </format>
    <format dxfId="61">
      <pivotArea collapsedLevelsAreSubtotals="1" fieldPosition="0">
        <references count="1">
          <reference field="25" count="1">
            <x v="0"/>
          </reference>
        </references>
      </pivotArea>
    </format>
    <format dxfId="60">
      <pivotArea dataOnly="0" labelOnly="1" fieldPosition="0">
        <references count="1">
          <reference field="25" count="1">
            <x v="0"/>
          </reference>
        </references>
      </pivotArea>
    </format>
  </format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3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4"/>
          </reference>
        </references>
      </pivotArea>
    </chartFormat>
  </chartFormats>
  <pivotTableStyleInfo name="PivotStyleMedium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BF4592-8049-F04B-BF8E-2FEE5F529029}" name="PivotTable8" cacheId="10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7:D18" firstHeaderRow="0" firstDataRow="1" firstDataCol="1"/>
  <pivotFields count="26"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0"/>
        <item x="1"/>
        <item x="6"/>
        <item x="8"/>
        <item x="2"/>
        <item x="7"/>
        <item x="9"/>
        <item x="5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5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Shucked_weight" fld="6" subtotal="average" baseField="0" baseItem="0"/>
    <dataField name="Max of Viscera_weight" fld="7" subtotal="max" baseField="0" baseItem="0"/>
    <dataField name="Min of Shell_weight" fld="8" subtotal="min" baseField="0" baseItem="0"/>
  </dataFields>
  <chartFormats count="30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3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4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5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6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7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8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9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1"/>
          </reference>
          <reference field="15" count="1" selected="0">
            <x v="0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1"/>
          </reference>
          <reference field="15" count="1" selected="0">
            <x v="1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1"/>
          </reference>
          <reference field="15" count="1" selected="0">
            <x v="2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1"/>
          </reference>
          <reference field="15" count="1" selected="0">
            <x v="3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1"/>
          </reference>
          <reference field="15" count="1" selected="0">
            <x v="4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1"/>
          </reference>
          <reference field="15" count="1" selected="0">
            <x v="5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1"/>
          </reference>
          <reference field="15" count="1" selected="0">
            <x v="6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1"/>
          </reference>
          <reference field="15" count="1" selected="0">
            <x v="7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1"/>
          </reference>
          <reference field="15" count="1" selected="0">
            <x v="8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1"/>
          </reference>
          <reference field="15" count="1" selected="0">
            <x v="9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2"/>
          </reference>
          <reference field="15" count="1" selected="0">
            <x v="0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2"/>
          </reference>
          <reference field="15" count="1" selected="0">
            <x v="1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2"/>
          </reference>
          <reference field="15" count="1" selected="0">
            <x v="2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2"/>
          </reference>
          <reference field="15" count="1" selected="0">
            <x v="3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2"/>
          </reference>
          <reference field="15" count="1" selected="0">
            <x v="4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2"/>
          </reference>
          <reference field="15" count="1" selected="0">
            <x v="5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2"/>
          </reference>
          <reference field="15" count="1" selected="0">
            <x v="6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2"/>
          </reference>
          <reference field="15" count="1" selected="0">
            <x v="7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2"/>
          </reference>
          <reference field="15" count="1" selected="0">
            <x v="8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2"/>
          </reference>
          <reference field="15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8AFCC6-BF61-894E-978E-0FC3C7181079}" name="Table13" displayName="Table13" ref="A1:AF1001" totalsRowShown="0">
  <autoFilter ref="A1:AF1001" xr:uid="{248AFCC6-BF61-894E-978E-0FC3C7181079}"/>
  <tableColumns count="32">
    <tableColumn id="1" xr3:uid="{C0483ECE-A46C-3C49-AB60-F9DBA40DDCD6}" name="Abalone_id"/>
    <tableColumn id="2" xr3:uid="{B4C55C0B-CA2E-FE45-8D43-55A6560A26A5}" name="Gender"/>
    <tableColumn id="3" xr3:uid="{6FBA6A1F-970E-804C-A3A8-C754CF9A611F}" name="Length"/>
    <tableColumn id="4" xr3:uid="{E2F34394-D78E-7941-8F17-C06D77E66DE3}" name="Diameter"/>
    <tableColumn id="5" xr3:uid="{BF76627D-FE70-7048-A94C-F9B9DEC578FC}" name="Height"/>
    <tableColumn id="6" xr3:uid="{26E98EC2-B8E4-4749-B435-D021332D1480}" name="Whole_weight"/>
    <tableColumn id="7" xr3:uid="{98D9124E-0175-B04F-BD90-F9C8E1E8B8EA}" name="Shucked_weight"/>
    <tableColumn id="8" xr3:uid="{987A9386-280F-914F-9000-CB3AE2398B12}" name="Viscera_weight"/>
    <tableColumn id="9" xr3:uid="{041947EE-E2D8-2F41-808F-662535F73FCC}" name="Shell_weight"/>
    <tableColumn id="10" xr3:uid="{77452394-62D6-2C48-9E6F-C7D753895468}" name="Rings"/>
    <tableColumn id="11" xr3:uid="{3F7E87AE-E980-EB46-8CF0-8139A88EAE87}" name="Collector"/>
    <tableColumn id="12" xr3:uid="{65C90BDD-DB0D-6346-B5BE-DA5C3D101DC8}" name="Collector_First"/>
    <tableColumn id="13" xr3:uid="{5ED3FC7A-8FDB-5C48-8374-CD9238BF78F5}" name="Collector_last"/>
    <tableColumn id="14" xr3:uid="{DE72E011-86E3-1447-9365-C12B9F131107}" name="Collector_organization"/>
    <tableColumn id="15" xr3:uid="{48234DBF-FB66-984A-981A-46F2C8B94434}" name="Water"/>
    <tableColumn id="16" xr3:uid="{D883AA7F-A682-374C-9956-6A6774FC72D7}" name="Water_region"/>
    <tableColumn id="17" xr3:uid="{9D58A683-F2F5-A542-8AAA-E17CA5F1BB8C}" name="Feb_temp"/>
    <tableColumn id="20" xr3:uid="{E79B763C-A6BA-C040-877A-04344AC1EEB5}" name="Category All" dataDxfId="24">
      <calculatedColumnFormula array="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calculatedColumnFormula>
    </tableColumn>
    <tableColumn id="21" xr3:uid="{1DF7FEC2-6112-9E4C-BC66-E3B44F7B4ABC}" name="Category 1" dataDxfId="23">
      <calculatedColumnFormula>IF(Table13[[#This Row],[Category All]]="Category 1", "Yes",NA())</calculatedColumnFormula>
    </tableColumn>
    <tableColumn id="22" xr3:uid="{3D6E64D1-40C2-4146-897F-819EC1ECFDAC}" name="Category 2" dataDxfId="22">
      <calculatedColumnFormula>IF(Table13[[#This Row],[Category All]]="Category 2", "Yes",NA())</calculatedColumnFormula>
    </tableColumn>
    <tableColumn id="23" xr3:uid="{E05ACA47-99D1-F94A-8C9B-59B715D77EF5}" name="Category 3" dataDxfId="21">
      <calculatedColumnFormula>IF(Table13[[#This Row],[Category All]]="Category 3", "Yes",NA())</calculatedColumnFormula>
    </tableColumn>
    <tableColumn id="18" xr3:uid="{978C205B-5D84-6F4B-A533-12697A8A1C55}" name="Base Abalone Value" dataDxfId="20">
      <calculatedColumnFormula>SUM(1,(1/3)*(Table13[[#This Row],[Length]]-0.5),(1/3)*(Table13[[#This Row],[Diameter]]-0.4),(1/3)*(Table13[[#This Row],[Height]]-0.4)*Table13[[#This Row],[Whole_weight]]*0.5)</calculatedColumnFormula>
    </tableColumn>
    <tableColumn id="19" xr3:uid="{5EDC5C14-7A75-A547-A8F6-C45E78C9578C}" name="Value All" dataDxfId="19">
      <calculatedColumnFormula array="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calculatedColumnFormula>
    </tableColumn>
    <tableColumn id="26" xr3:uid="{5093FA5E-608A-2846-91BA-83AF13FB880B}" name="Value 1" dataDxfId="18">
      <calculatedColumnFormula>IF(Table13[[#This Row],[Category All]]="Category 1",Table13[[#This Row],[Base Abalone Value]]*1.5,NA())</calculatedColumnFormula>
    </tableColumn>
    <tableColumn id="27" xr3:uid="{69F06258-0F7C-6348-9652-BBB9C868D834}" name="Value 2" dataDxfId="17">
      <calculatedColumnFormula>IF(Table13[[#This Row],[Category All]]="Category 2",Table13[[#This Row],[Base Abalone Value]]*0.8,NA())</calculatedColumnFormula>
    </tableColumn>
    <tableColumn id="28" xr3:uid="{CB5A9896-993D-4349-8928-5BDB3D40F8B9}" name="Value 3" dataDxfId="16">
      <calculatedColumnFormula>IF(Table13[[#This Row],[Category All]]="Category 3",Table13[[#This Row],[Base Abalone Value]],NA())</calculatedColumnFormula>
    </tableColumn>
    <tableColumn id="24" xr3:uid="{590377C6-D107-DC4E-A7EA-F908464738EE}" name="MALE" dataDxfId="15">
      <calculatedColumnFormula>IF(Table13[[#This Row],[Gender]]="M",Table13[[#This Row],[Whole_weight]],NA())</calculatedColumnFormula>
    </tableColumn>
    <tableColumn id="25" xr3:uid="{5C968E0D-9DAB-774B-B303-611D5F9F92BF}" name="FEMALE" dataDxfId="14">
      <calculatedColumnFormula>IF(Table13[[#This Row],[Gender]]="F",Table13[[#This Row],[Whole_weight]],NA())</calculatedColumnFormula>
    </tableColumn>
    <tableColumn id="29" xr3:uid="{9F13CC2A-6B87-9B4B-A80A-39E40974EAD4}" name="INFANT" dataDxfId="13">
      <calculatedColumnFormula>IF(Table13[[#This Row],[Gender]]="I",Table13[[#This Row],[Whole_weight]],NA())</calculatedColumnFormula>
    </tableColumn>
    <tableColumn id="30" xr3:uid="{3800C984-D396-F740-AA94-02338BFFA4A4}" name="Male2" dataDxfId="12">
      <calculatedColumnFormula>IF(Table13[[#This Row],[Gender]]="M",Table13[[#This Row],[Diameter]],NA())</calculatedColumnFormula>
    </tableColumn>
    <tableColumn id="31" xr3:uid="{1BBD88B4-E0B0-C243-B81C-07DA77283200}" name="Female2" dataDxfId="11">
      <calculatedColumnFormula>IF(Table13[[#This Row],[Gender]]="F",Table13[[#This Row],[Diameter]],NA())</calculatedColumnFormula>
    </tableColumn>
    <tableColumn id="32" xr3:uid="{26479249-0D51-1642-B773-909B13C868F3}" name="Infant2" dataDxfId="10">
      <calculatedColumnFormula>IF(Table13[[#This Row],[Gender]]="I",Table13[[#This Row],[Diameter]],NA())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5522202-BCB1-134F-8D3E-C9F9F1A3CEB7}" name="Table5" displayName="Table5" ref="A1:K6" totalsRowShown="0">
  <autoFilter ref="A1:K6" xr:uid="{15522202-BCB1-134F-8D3E-C9F9F1A3CEB7}"/>
  <tableColumns count="11">
    <tableColumn id="1" xr3:uid="{684716F3-7410-6A41-8C37-5F7EF850E220}" name="Column1"/>
    <tableColumn id="2" xr3:uid="{7FCA7B50-4869-1F43-9FEF-52EA2C8086EB}" name="Florida Atlantic Coast" totalsRowDxfId="9" dataCellStyle="Normal"/>
    <tableColumn id="3" xr3:uid="{0E5DFCE1-D8CD-5D4D-A5C7-B0C2E9CDA12A}" name="Flordia Gulf Coast" totalsRowDxfId="8" dataCellStyle="Normal"/>
    <tableColumn id="4" xr3:uid="{33503A77-4D16-C94D-8676-E55835D175C8}" name="North East" totalsRowDxfId="7" dataCellStyle="Normal"/>
    <tableColumn id="5" xr3:uid="{6377420B-31FA-C344-BEB1-9CD397F18D41}" name="Mid Atlantic" totalsRowDxfId="6" dataCellStyle="Normal"/>
    <tableColumn id="6" xr3:uid="{C4F1D742-22C5-1D41-AE9C-63DAAB3F4AC6}" name="South East" totalsRowDxfId="5" dataCellStyle="Normal"/>
    <tableColumn id="7" xr3:uid="{1D73B396-80D0-CA4E-BCC0-64A969E71FBB}" name="Gulf of Mexico" totalsRowDxfId="4" dataCellStyle="Normal"/>
    <tableColumn id="8" xr3:uid="{8CF4FDE1-032F-AD49-979C-021AA3BC33EC}" name="Great Lakes" totalsRowDxfId="3" dataCellStyle="Normal"/>
    <tableColumn id="9" xr3:uid="{2BD7DB40-66F1-CE46-861C-D5D85C77C00E}" name="West Coast" totalsRowDxfId="2" dataCellStyle="Normal"/>
    <tableColumn id="10" xr3:uid="{FA354470-948A-2447-A375-980CCAAE2842}" name="North Pacific" totalsRowDxfId="1" dataCellStyle="Normal"/>
    <tableColumn id="11" xr3:uid="{F894D9B4-7147-A842-8495-9D8282F8DE35}" name="Pacific" totalsRowDxfId="0" dataCellStyle="Normal"/>
  </tableColumns>
  <tableStyleInfo name="TableStyleLight1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09A7009-399F-6F4E-AF4C-5EDA8EF0631A}" name="Table6" displayName="Table6" ref="A8:L15" totalsRowShown="0">
  <autoFilter ref="A8:L15" xr:uid="{E09A7009-399F-6F4E-AF4C-5EDA8EF0631A}"/>
  <tableColumns count="12">
    <tableColumn id="1" xr3:uid="{C23D4082-2437-3240-8F13-0276BE241F8A}" name="Column1"/>
    <tableColumn id="2" xr3:uid="{BF032ADC-9FBC-6142-A5D9-22D9F59F0840}" name="Column2"/>
    <tableColumn id="3" xr3:uid="{048A706A-981F-FE42-9347-65AEA75F9AB1}" name="Column3"/>
    <tableColumn id="4" xr3:uid="{D78BE4FB-4E71-A047-A436-F18891E92B67}" name="Column4"/>
    <tableColumn id="5" xr3:uid="{5CA36D32-6782-024B-956C-4CF85872535E}" name="Column5"/>
    <tableColumn id="6" xr3:uid="{E2C2DEE1-4299-3947-8D2F-2E7B3F7590C6}" name="Column6"/>
    <tableColumn id="7" xr3:uid="{F33380C0-DFDF-174B-99BA-2277D738483E}" name="Column7"/>
    <tableColumn id="8" xr3:uid="{A1E1E66B-7F5B-1649-99F1-866556DDC8AA}" name="Column8"/>
    <tableColumn id="9" xr3:uid="{E17947D6-B39C-0845-A1A0-036609F63A1A}" name="Column9"/>
    <tableColumn id="10" xr3:uid="{7A7C99D6-FEF4-F14B-89C0-46E655CAC5C5}" name="Column10"/>
    <tableColumn id="11" xr3:uid="{F89223BC-0659-D54F-913F-518EFB1B74F5}" name="Column11"/>
    <tableColumn id="12" xr3:uid="{6CA17877-2762-2D42-942F-1C1F32A4D6F3}" name="Column1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01"/>
  <sheetViews>
    <sheetView tabSelected="1" topLeftCell="A961" zoomScale="96" zoomScaleNormal="96" workbookViewId="0">
      <selection activeCell="H13" sqref="H13"/>
    </sheetView>
    <sheetView workbookViewId="1"/>
  </sheetViews>
  <sheetFormatPr baseColWidth="10" defaultColWidth="8.83203125" defaultRowHeight="15" x14ac:dyDescent="0.2"/>
  <cols>
    <col min="1" max="1" width="10" bestFit="1" customWidth="1"/>
    <col min="2" max="2" width="7" bestFit="1" customWidth="1"/>
    <col min="3" max="3" width="6.5" bestFit="1" customWidth="1"/>
  </cols>
  <sheetData>
    <row r="1" spans="1:32" x14ac:dyDescent="0.2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55</v>
      </c>
      <c r="T1" t="s">
        <v>56</v>
      </c>
      <c r="U1" t="s">
        <v>57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s="32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</row>
    <row r="2" spans="1:32" x14ac:dyDescent="0.2">
      <c r="A2">
        <v>152</v>
      </c>
      <c r="B2" t="s">
        <v>0</v>
      </c>
      <c r="C2">
        <v>0.60499999999999998</v>
      </c>
      <c r="D2">
        <v>0.5</v>
      </c>
      <c r="E2">
        <v>0.185</v>
      </c>
      <c r="F2">
        <v>1.1185</v>
      </c>
      <c r="G2">
        <v>0.46899999999999997</v>
      </c>
      <c r="H2">
        <v>0.25850000000000001</v>
      </c>
      <c r="I2">
        <v>0.33500000000000002</v>
      </c>
      <c r="J2">
        <v>9</v>
      </c>
      <c r="K2">
        <v>12</v>
      </c>
      <c r="L2" t="s">
        <v>1</v>
      </c>
      <c r="M2" t="s">
        <v>2</v>
      </c>
      <c r="N2" t="s">
        <v>3</v>
      </c>
      <c r="O2">
        <v>1</v>
      </c>
      <c r="P2" t="s">
        <v>4</v>
      </c>
      <c r="Q2">
        <v>22.1</v>
      </c>
      <c r="R2" t="str" cm="1">
        <f t="array" ref="R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" t="e">
        <f>IF(Table13[[#This Row],[Category All]]="Category 1", "Yes",NA())</f>
        <v>#N/A</v>
      </c>
      <c r="T2" t="e">
        <f>IF(Table13[[#This Row],[Category All]]="Category 2", "Yes",NA())</f>
        <v>#N/A</v>
      </c>
      <c r="U2" t="str">
        <f>IF(Table13[[#This Row],[Category All]]="Category 3", "Yes",NA())</f>
        <v>Yes</v>
      </c>
      <c r="V2">
        <f>SUM(1,(1/3)*(Table13[[#This Row],[Length]]-0.5),(1/3)*(Table13[[#This Row],[Diameter]]-0.4),(1/3)*(Table13[[#This Row],[Height]]-0.4)*Table13[[#This Row],[Whole_weight]]*0.5)</f>
        <v>1.02825375</v>
      </c>
      <c r="W2" cm="1">
        <f t="array" ref="W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1.02825375</v>
      </c>
      <c r="X2" t="e">
        <f>IF(Table13[[#This Row],[Category All]]="Category 1",Table13[[#This Row],[Base Abalone Value]]*1.5,NA())</f>
        <v>#N/A</v>
      </c>
      <c r="Y2" t="e">
        <f>IF(Table13[[#This Row],[Category All]]="Category 2",Table13[[#This Row],[Base Abalone Value]]*0.8,NA())</f>
        <v>#N/A</v>
      </c>
      <c r="Z2">
        <f>IF(Table13[[#This Row],[Category All]]="Category 3",Table13[[#This Row],[Base Abalone Value]],NA())</f>
        <v>1.02825375</v>
      </c>
      <c r="AA2" s="2" t="e">
        <f>IF(Table13[[#This Row],[Gender]]="M",Table13[[#This Row],[Whole_weight]],NA())</f>
        <v>#N/A</v>
      </c>
      <c r="AB2" s="2">
        <f>IF(Table13[[#This Row],[Gender]]="F",Table13[[#This Row],[Whole_weight]],NA())</f>
        <v>1.1185</v>
      </c>
      <c r="AC2" s="2" t="e">
        <f>IF(Table13[[#This Row],[Gender]]="I",Table13[[#This Row],[Whole_weight]],NA())</f>
        <v>#N/A</v>
      </c>
      <c r="AD2" s="2" t="e">
        <f>IF(Table13[[#This Row],[Gender]]="M",Table13[[#This Row],[Diameter]],NA())</f>
        <v>#N/A</v>
      </c>
      <c r="AE2" s="2">
        <f>IF(Table13[[#This Row],[Gender]]="F",Table13[[#This Row],[Diameter]],NA())</f>
        <v>0.5</v>
      </c>
      <c r="AF2" s="2" t="e">
        <f>IF(Table13[[#This Row],[Gender]]="I",Table13[[#This Row],[Diameter]],NA())</f>
        <v>#N/A</v>
      </c>
    </row>
    <row r="3" spans="1:32" x14ac:dyDescent="0.2">
      <c r="A3">
        <v>3344</v>
      </c>
      <c r="B3" t="s">
        <v>0</v>
      </c>
      <c r="C3">
        <v>0.45500000000000002</v>
      </c>
      <c r="D3">
        <v>0.36499999999999999</v>
      </c>
      <c r="E3">
        <v>0.11</v>
      </c>
      <c r="F3">
        <v>0.38500000000000001</v>
      </c>
      <c r="G3">
        <v>0.16600000000000001</v>
      </c>
      <c r="H3">
        <v>4.5999999999999999E-2</v>
      </c>
      <c r="I3">
        <v>0.13450000000000001</v>
      </c>
      <c r="J3">
        <v>13</v>
      </c>
      <c r="K3">
        <v>11</v>
      </c>
      <c r="L3" t="s">
        <v>5</v>
      </c>
      <c r="M3" t="s">
        <v>6</v>
      </c>
      <c r="N3" t="s">
        <v>3</v>
      </c>
      <c r="O3">
        <v>2</v>
      </c>
      <c r="P3" t="s">
        <v>7</v>
      </c>
      <c r="Q3">
        <v>18</v>
      </c>
      <c r="R3" t="str" cm="1">
        <f t="array" ref="R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" t="e">
        <f>IF(Table13[[#This Row],[Category All]]="Category 1", "Yes",NA())</f>
        <v>#N/A</v>
      </c>
      <c r="T3" t="str">
        <f>IF(Table13[[#This Row],[Category All]]="Category 2", "Yes",NA())</f>
        <v>Yes</v>
      </c>
      <c r="U3" t="e">
        <f>IF(Table13[[#This Row],[Category All]]="Category 3", "Yes",NA())</f>
        <v>#N/A</v>
      </c>
      <c r="V3">
        <f>SUM(1,(1/3)*(Table13[[#This Row],[Length]]-0.5),(1/3)*(Table13[[#This Row],[Diameter]]-0.4),(1/3)*(Table13[[#This Row],[Height]]-0.4)*Table13[[#This Row],[Whole_weight]]*0.5)</f>
        <v>0.95472499999999993</v>
      </c>
      <c r="W3" cm="1">
        <f t="array" ref="W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0.76378000000000001</v>
      </c>
      <c r="X3" t="e">
        <f>IF(Table13[[#This Row],[Category All]]="Category 1",Table13[[#This Row],[Base Abalone Value]]*1.5,NA())</f>
        <v>#N/A</v>
      </c>
      <c r="Y3">
        <f>IF(Table13[[#This Row],[Category All]]="Category 2",Table13[[#This Row],[Base Abalone Value]]*0.8,NA())</f>
        <v>0.76378000000000001</v>
      </c>
      <c r="Z3" t="e">
        <f>IF(Table13[[#This Row],[Category All]]="Category 3",Table13[[#This Row],[Base Abalone Value]],NA())</f>
        <v>#N/A</v>
      </c>
      <c r="AA3" s="2" t="e">
        <f>IF(Table13[[#This Row],[Gender]]="M",Table13[[#This Row],[Whole_weight]],NA())</f>
        <v>#N/A</v>
      </c>
      <c r="AB3" s="2">
        <f>IF(Table13[[#This Row],[Gender]]="F",Table13[[#This Row],[Whole_weight]],NA())</f>
        <v>0.38500000000000001</v>
      </c>
      <c r="AC3" s="2" t="e">
        <f>IF(Table13[[#This Row],[Gender]]="I",Table13[[#This Row],[Whole_weight]],NA())</f>
        <v>#N/A</v>
      </c>
      <c r="AD3" s="2" t="e">
        <f>IF(Table13[[#This Row],[Gender]]="M",Table13[[#This Row],[Diameter]],NA())</f>
        <v>#N/A</v>
      </c>
      <c r="AE3" s="2">
        <f>IF(Table13[[#This Row],[Gender]]="F",Table13[[#This Row],[Diameter]],NA())</f>
        <v>0.36499999999999999</v>
      </c>
      <c r="AF3" s="2" t="e">
        <f>IF(Table13[[#This Row],[Gender]]="I",Table13[[#This Row],[Diameter]],NA())</f>
        <v>#N/A</v>
      </c>
    </row>
    <row r="4" spans="1:32" x14ac:dyDescent="0.2">
      <c r="A4">
        <v>1424</v>
      </c>
      <c r="B4" t="s">
        <v>0</v>
      </c>
      <c r="C4">
        <v>0.72499999999999998</v>
      </c>
      <c r="D4">
        <v>0.6</v>
      </c>
      <c r="E4">
        <v>0.2</v>
      </c>
      <c r="F4">
        <v>1.7370000000000001</v>
      </c>
      <c r="G4">
        <v>0.69699999999999995</v>
      </c>
      <c r="H4">
        <v>0.35849999999999999</v>
      </c>
      <c r="I4">
        <v>0.59499999999999997</v>
      </c>
      <c r="J4">
        <v>11</v>
      </c>
      <c r="K4">
        <v>1</v>
      </c>
      <c r="L4" t="s">
        <v>8</v>
      </c>
      <c r="M4" t="s">
        <v>9</v>
      </c>
      <c r="N4" t="s">
        <v>3</v>
      </c>
      <c r="O4">
        <v>4</v>
      </c>
      <c r="P4" t="s">
        <v>10</v>
      </c>
      <c r="Q4">
        <v>6.1</v>
      </c>
      <c r="R4" t="str" cm="1">
        <f t="array" ref="R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" t="e">
        <f>IF(Table13[[#This Row],[Category All]]="Category 1", "Yes",NA())</f>
        <v>#N/A</v>
      </c>
      <c r="T4" t="e">
        <f>IF(Table13[[#This Row],[Category All]]="Category 2", "Yes",NA())</f>
        <v>#N/A</v>
      </c>
      <c r="U4" t="str">
        <f>IF(Table13[[#This Row],[Category All]]="Category 3", "Yes",NA())</f>
        <v>Yes</v>
      </c>
      <c r="V4">
        <f>SUM(1,(1/3)*(Table13[[#This Row],[Length]]-0.5),(1/3)*(Table13[[#This Row],[Diameter]]-0.4),(1/3)*(Table13[[#This Row],[Height]]-0.4)*Table13[[#This Row],[Whole_weight]]*0.5)</f>
        <v>1.0837666666666665</v>
      </c>
      <c r="W4" cm="1">
        <f t="array" ref="W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1.0837666666666665</v>
      </c>
      <c r="X4" t="e">
        <f>IF(Table13[[#This Row],[Category All]]="Category 1",Table13[[#This Row],[Base Abalone Value]]*1.5,NA())</f>
        <v>#N/A</v>
      </c>
      <c r="Y4" t="e">
        <f>IF(Table13[[#This Row],[Category All]]="Category 2",Table13[[#This Row],[Base Abalone Value]]*0.8,NA())</f>
        <v>#N/A</v>
      </c>
      <c r="Z4">
        <f>IF(Table13[[#This Row],[Category All]]="Category 3",Table13[[#This Row],[Base Abalone Value]],NA())</f>
        <v>1.0837666666666665</v>
      </c>
      <c r="AA4" s="2" t="e">
        <f>IF(Table13[[#This Row],[Gender]]="M",Table13[[#This Row],[Whole_weight]],NA())</f>
        <v>#N/A</v>
      </c>
      <c r="AB4" s="2">
        <f>IF(Table13[[#This Row],[Gender]]="F",Table13[[#This Row],[Whole_weight]],NA())</f>
        <v>1.7370000000000001</v>
      </c>
      <c r="AC4" s="2" t="e">
        <f>IF(Table13[[#This Row],[Gender]]="I",Table13[[#This Row],[Whole_weight]],NA())</f>
        <v>#N/A</v>
      </c>
      <c r="AD4" s="2" t="e">
        <f>IF(Table13[[#This Row],[Gender]]="M",Table13[[#This Row],[Diameter]],NA())</f>
        <v>#N/A</v>
      </c>
      <c r="AE4" s="2">
        <f>IF(Table13[[#This Row],[Gender]]="F",Table13[[#This Row],[Diameter]],NA())</f>
        <v>0.6</v>
      </c>
      <c r="AF4" s="2" t="e">
        <f>IF(Table13[[#This Row],[Gender]]="I",Table13[[#This Row],[Diameter]],NA())</f>
        <v>#N/A</v>
      </c>
    </row>
    <row r="5" spans="1:32" x14ac:dyDescent="0.2">
      <c r="A5">
        <v>3755</v>
      </c>
      <c r="B5" t="s">
        <v>11</v>
      </c>
      <c r="C5">
        <v>0.48499999999999999</v>
      </c>
      <c r="D5">
        <v>0.37</v>
      </c>
      <c r="E5">
        <v>0.14000000000000001</v>
      </c>
      <c r="F5">
        <v>0.50649999999999995</v>
      </c>
      <c r="G5">
        <v>0.24249999999999999</v>
      </c>
      <c r="H5">
        <v>8.7999999999999995E-2</v>
      </c>
      <c r="I5">
        <v>0.14649999999999999</v>
      </c>
      <c r="J5">
        <v>8</v>
      </c>
      <c r="K5">
        <v>13</v>
      </c>
      <c r="L5" t="s">
        <v>12</v>
      </c>
      <c r="M5" t="s">
        <v>13</v>
      </c>
      <c r="N5" t="s">
        <v>3</v>
      </c>
      <c r="O5">
        <v>5</v>
      </c>
      <c r="P5" t="s">
        <v>14</v>
      </c>
      <c r="Q5">
        <v>12.8</v>
      </c>
      <c r="R5" t="str" cm="1">
        <f t="array" ref="R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" t="e">
        <f>IF(Table13[[#This Row],[Category All]]="Category 1", "Yes",NA())</f>
        <v>#N/A</v>
      </c>
      <c r="T5" t="str">
        <f>IF(Table13[[#This Row],[Category All]]="Category 2", "Yes",NA())</f>
        <v>Yes</v>
      </c>
      <c r="U5" t="e">
        <f>IF(Table13[[#This Row],[Category All]]="Category 3", "Yes",NA())</f>
        <v>#N/A</v>
      </c>
      <c r="V5">
        <f>SUM(1,(1/3)*(Table13[[#This Row],[Length]]-0.5),(1/3)*(Table13[[#This Row],[Diameter]]-0.4),(1/3)*(Table13[[#This Row],[Height]]-0.4)*Table13[[#This Row],[Whole_weight]]*0.5)</f>
        <v>0.96305166666666664</v>
      </c>
      <c r="W5" cm="1">
        <f t="array" ref="W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0.77044133333333331</v>
      </c>
      <c r="X5" t="e">
        <f>IF(Table13[[#This Row],[Category All]]="Category 1",Table13[[#This Row],[Base Abalone Value]]*1.5,NA())</f>
        <v>#N/A</v>
      </c>
      <c r="Y5">
        <f>IF(Table13[[#This Row],[Category All]]="Category 2",Table13[[#This Row],[Base Abalone Value]]*0.8,NA())</f>
        <v>0.77044133333333331</v>
      </c>
      <c r="Z5" t="e">
        <f>IF(Table13[[#This Row],[Category All]]="Category 3",Table13[[#This Row],[Base Abalone Value]],NA())</f>
        <v>#N/A</v>
      </c>
      <c r="AA5" s="2" t="e">
        <f>IF(Table13[[#This Row],[Gender]]="M",Table13[[#This Row],[Whole_weight]],NA())</f>
        <v>#N/A</v>
      </c>
      <c r="AB5" s="2" t="e">
        <f>IF(Table13[[#This Row],[Gender]]="F",Table13[[#This Row],[Whole_weight]],NA())</f>
        <v>#N/A</v>
      </c>
      <c r="AC5" s="2">
        <f>IF(Table13[[#This Row],[Gender]]="I",Table13[[#This Row],[Whole_weight]],NA())</f>
        <v>0.50649999999999995</v>
      </c>
      <c r="AD5" s="2" t="e">
        <f>IF(Table13[[#This Row],[Gender]]="M",Table13[[#This Row],[Diameter]],NA())</f>
        <v>#N/A</v>
      </c>
      <c r="AE5" s="2" t="e">
        <f>IF(Table13[[#This Row],[Gender]]="F",Table13[[#This Row],[Diameter]],NA())</f>
        <v>#N/A</v>
      </c>
      <c r="AF5" s="2">
        <f>IF(Table13[[#This Row],[Gender]]="I",Table13[[#This Row],[Diameter]],NA())</f>
        <v>0.37</v>
      </c>
    </row>
    <row r="6" spans="1:32" x14ac:dyDescent="0.2">
      <c r="A6">
        <v>884</v>
      </c>
      <c r="B6" t="s">
        <v>15</v>
      </c>
      <c r="C6">
        <v>0.66</v>
      </c>
      <c r="D6">
        <v>0.53</v>
      </c>
      <c r="E6">
        <v>0.17</v>
      </c>
      <c r="F6">
        <v>1.3905000000000001</v>
      </c>
      <c r="G6">
        <v>0.59050000000000002</v>
      </c>
      <c r="H6">
        <v>0.21199999999999999</v>
      </c>
      <c r="I6">
        <v>0.45300000000000001</v>
      </c>
      <c r="J6">
        <v>15</v>
      </c>
      <c r="K6">
        <v>10</v>
      </c>
      <c r="L6" t="s">
        <v>16</v>
      </c>
      <c r="M6" t="s">
        <v>17</v>
      </c>
      <c r="N6" t="s">
        <v>18</v>
      </c>
      <c r="O6">
        <v>8</v>
      </c>
      <c r="P6" t="s">
        <v>19</v>
      </c>
      <c r="Q6">
        <v>12.3</v>
      </c>
      <c r="R6" t="str" cm="1">
        <f t="array" ref="R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" t="e">
        <f>IF(Table13[[#This Row],[Category All]]="Category 1", "Yes",NA())</f>
        <v>#N/A</v>
      </c>
      <c r="T6" t="e">
        <f>IF(Table13[[#This Row],[Category All]]="Category 2", "Yes",NA())</f>
        <v>#N/A</v>
      </c>
      <c r="U6" t="str">
        <f>IF(Table13[[#This Row],[Category All]]="Category 3", "Yes",NA())</f>
        <v>Yes</v>
      </c>
      <c r="V6">
        <f>SUM(1,(1/3)*(Table13[[#This Row],[Length]]-0.5),(1/3)*(Table13[[#This Row],[Diameter]]-0.4),(1/3)*(Table13[[#This Row],[Height]]-0.4)*Table13[[#This Row],[Whole_weight]]*0.5)</f>
        <v>1.0433641666666666</v>
      </c>
      <c r="W6" cm="1">
        <f t="array" ref="W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1.0433641666666666</v>
      </c>
      <c r="X6" t="e">
        <f>IF(Table13[[#This Row],[Category All]]="Category 1",Table13[[#This Row],[Base Abalone Value]]*1.5,NA())</f>
        <v>#N/A</v>
      </c>
      <c r="Y6" t="e">
        <f>IF(Table13[[#This Row],[Category All]]="Category 2",Table13[[#This Row],[Base Abalone Value]]*0.8,NA())</f>
        <v>#N/A</v>
      </c>
      <c r="Z6">
        <f>IF(Table13[[#This Row],[Category All]]="Category 3",Table13[[#This Row],[Base Abalone Value]],NA())</f>
        <v>1.0433641666666666</v>
      </c>
      <c r="AA6" s="2">
        <f>IF(Table13[[#This Row],[Gender]]="M",Table13[[#This Row],[Whole_weight]],NA())</f>
        <v>1.3905000000000001</v>
      </c>
      <c r="AB6" s="2" t="e">
        <f>IF(Table13[[#This Row],[Gender]]="F",Table13[[#This Row],[Whole_weight]],NA())</f>
        <v>#N/A</v>
      </c>
      <c r="AC6" s="2" t="e">
        <f>IF(Table13[[#This Row],[Gender]]="I",Table13[[#This Row],[Whole_weight]],NA())</f>
        <v>#N/A</v>
      </c>
      <c r="AD6" s="2">
        <f>IF(Table13[[#This Row],[Gender]]="M",Table13[[#This Row],[Diameter]],NA())</f>
        <v>0.53</v>
      </c>
      <c r="AE6" s="2" t="e">
        <f>IF(Table13[[#This Row],[Gender]]="F",Table13[[#This Row],[Diameter]],NA())</f>
        <v>#N/A</v>
      </c>
      <c r="AF6" s="2" t="e">
        <f>IF(Table13[[#This Row],[Gender]]="I",Table13[[#This Row],[Diameter]],NA())</f>
        <v>#N/A</v>
      </c>
    </row>
    <row r="7" spans="1:32" x14ac:dyDescent="0.2">
      <c r="A7">
        <v>2797</v>
      </c>
      <c r="B7" t="s">
        <v>15</v>
      </c>
      <c r="C7">
        <v>0.63</v>
      </c>
      <c r="D7">
        <v>0.52500000000000002</v>
      </c>
      <c r="E7">
        <v>0.19500000000000001</v>
      </c>
      <c r="F7">
        <v>1.3134999999999999</v>
      </c>
      <c r="G7">
        <v>0.49349999999999999</v>
      </c>
      <c r="H7">
        <v>0.25650000000000001</v>
      </c>
      <c r="I7">
        <v>0.46500000000000002</v>
      </c>
      <c r="J7">
        <v>10</v>
      </c>
      <c r="K7">
        <v>9</v>
      </c>
      <c r="L7" t="s">
        <v>20</v>
      </c>
      <c r="M7" t="s">
        <v>21</v>
      </c>
      <c r="N7" t="s">
        <v>22</v>
      </c>
      <c r="O7">
        <v>2</v>
      </c>
      <c r="P7" t="s">
        <v>7</v>
      </c>
      <c r="Q7">
        <v>18</v>
      </c>
      <c r="R7" t="str" cm="1">
        <f t="array" ref="R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" t="e">
        <f>IF(Table13[[#This Row],[Category All]]="Category 1", "Yes",NA())</f>
        <v>#N/A</v>
      </c>
      <c r="T7" t="e">
        <f>IF(Table13[[#This Row],[Category All]]="Category 2", "Yes",NA())</f>
        <v>#N/A</v>
      </c>
      <c r="U7" t="str">
        <f>IF(Table13[[#This Row],[Category All]]="Category 3", "Yes",NA())</f>
        <v>Yes</v>
      </c>
      <c r="V7">
        <f>SUM(1,(1/3)*(Table13[[#This Row],[Length]]-0.5),(1/3)*(Table13[[#This Row],[Diameter]]-0.4),(1/3)*(Table13[[#This Row],[Height]]-0.4)*Table13[[#This Row],[Whole_weight]]*0.5)</f>
        <v>1.0401220833333336</v>
      </c>
      <c r="W7" cm="1">
        <f t="array" ref="W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1.0401220833333336</v>
      </c>
      <c r="X7" t="e">
        <f>IF(Table13[[#This Row],[Category All]]="Category 1",Table13[[#This Row],[Base Abalone Value]]*1.5,NA())</f>
        <v>#N/A</v>
      </c>
      <c r="Y7" t="e">
        <f>IF(Table13[[#This Row],[Category All]]="Category 2",Table13[[#This Row],[Base Abalone Value]]*0.8,NA())</f>
        <v>#N/A</v>
      </c>
      <c r="Z7">
        <f>IF(Table13[[#This Row],[Category All]]="Category 3",Table13[[#This Row],[Base Abalone Value]],NA())</f>
        <v>1.0401220833333336</v>
      </c>
      <c r="AA7" s="2">
        <f>IF(Table13[[#This Row],[Gender]]="M",Table13[[#This Row],[Whole_weight]],NA())</f>
        <v>1.3134999999999999</v>
      </c>
      <c r="AB7" s="2" t="e">
        <f>IF(Table13[[#This Row],[Gender]]="F",Table13[[#This Row],[Whole_weight]],NA())</f>
        <v>#N/A</v>
      </c>
      <c r="AC7" s="2" t="e">
        <f>IF(Table13[[#This Row],[Gender]]="I",Table13[[#This Row],[Whole_weight]],NA())</f>
        <v>#N/A</v>
      </c>
      <c r="AD7" s="2">
        <f>IF(Table13[[#This Row],[Gender]]="M",Table13[[#This Row],[Diameter]],NA())</f>
        <v>0.52500000000000002</v>
      </c>
      <c r="AE7" s="2" t="e">
        <f>IF(Table13[[#This Row],[Gender]]="F",Table13[[#This Row],[Diameter]],NA())</f>
        <v>#N/A</v>
      </c>
      <c r="AF7" s="2" t="e">
        <f>IF(Table13[[#This Row],[Gender]]="I",Table13[[#This Row],[Diameter]],NA())</f>
        <v>#N/A</v>
      </c>
    </row>
    <row r="8" spans="1:32" x14ac:dyDescent="0.2">
      <c r="A8">
        <v>618</v>
      </c>
      <c r="B8" t="s">
        <v>15</v>
      </c>
      <c r="C8">
        <v>0.32</v>
      </c>
      <c r="D8">
        <v>0.24</v>
      </c>
      <c r="E8">
        <v>8.5000000000000006E-2</v>
      </c>
      <c r="F8">
        <v>0.17</v>
      </c>
      <c r="G8">
        <v>6.5500000000000003E-2</v>
      </c>
      <c r="H8">
        <v>4.7E-2</v>
      </c>
      <c r="I8">
        <v>4.9000000000000002E-2</v>
      </c>
      <c r="J8">
        <v>7</v>
      </c>
      <c r="K8">
        <v>11</v>
      </c>
      <c r="L8" t="s">
        <v>5</v>
      </c>
      <c r="M8" t="s">
        <v>6</v>
      </c>
      <c r="N8" t="s">
        <v>3</v>
      </c>
      <c r="O8">
        <v>4</v>
      </c>
      <c r="P8" t="s">
        <v>10</v>
      </c>
      <c r="Q8">
        <v>6.1</v>
      </c>
      <c r="R8" t="str" cm="1">
        <f t="array" ref="R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" t="e">
        <f>IF(Table13[[#This Row],[Category All]]="Category 1", "Yes",NA())</f>
        <v>#N/A</v>
      </c>
      <c r="T8" t="str">
        <f>IF(Table13[[#This Row],[Category All]]="Category 2", "Yes",NA())</f>
        <v>Yes</v>
      </c>
      <c r="U8" t="e">
        <f>IF(Table13[[#This Row],[Category All]]="Category 3", "Yes",NA())</f>
        <v>#N/A</v>
      </c>
      <c r="V8">
        <f>SUM(1,(1/3)*(Table13[[#This Row],[Length]]-0.5),(1/3)*(Table13[[#This Row],[Diameter]]-0.4),(1/3)*(Table13[[#This Row],[Height]]-0.4)*Table13[[#This Row],[Whole_weight]]*0.5)</f>
        <v>0.87774166666666664</v>
      </c>
      <c r="W8" cm="1">
        <f t="array" ref="W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0.70219333333333334</v>
      </c>
      <c r="X8" t="e">
        <f>IF(Table13[[#This Row],[Category All]]="Category 1",Table13[[#This Row],[Base Abalone Value]]*1.5,NA())</f>
        <v>#N/A</v>
      </c>
      <c r="Y8">
        <f>IF(Table13[[#This Row],[Category All]]="Category 2",Table13[[#This Row],[Base Abalone Value]]*0.8,NA())</f>
        <v>0.70219333333333334</v>
      </c>
      <c r="Z8" t="e">
        <f>IF(Table13[[#This Row],[Category All]]="Category 3",Table13[[#This Row],[Base Abalone Value]],NA())</f>
        <v>#N/A</v>
      </c>
      <c r="AA8" s="2">
        <f>IF(Table13[[#This Row],[Gender]]="M",Table13[[#This Row],[Whole_weight]],NA())</f>
        <v>0.17</v>
      </c>
      <c r="AB8" s="2" t="e">
        <f>IF(Table13[[#This Row],[Gender]]="F",Table13[[#This Row],[Whole_weight]],NA())</f>
        <v>#N/A</v>
      </c>
      <c r="AC8" s="2" t="e">
        <f>IF(Table13[[#This Row],[Gender]]="I",Table13[[#This Row],[Whole_weight]],NA())</f>
        <v>#N/A</v>
      </c>
      <c r="AD8" s="2">
        <f>IF(Table13[[#This Row],[Gender]]="M",Table13[[#This Row],[Diameter]],NA())</f>
        <v>0.24</v>
      </c>
      <c r="AE8" s="2" t="e">
        <f>IF(Table13[[#This Row],[Gender]]="F",Table13[[#This Row],[Diameter]],NA())</f>
        <v>#N/A</v>
      </c>
      <c r="AF8" s="2" t="e">
        <f>IF(Table13[[#This Row],[Gender]]="I",Table13[[#This Row],[Diameter]],NA())</f>
        <v>#N/A</v>
      </c>
    </row>
    <row r="9" spans="1:32" x14ac:dyDescent="0.2">
      <c r="A9">
        <v>1078</v>
      </c>
      <c r="B9" t="s">
        <v>11</v>
      </c>
      <c r="C9">
        <v>0.42</v>
      </c>
      <c r="D9">
        <v>0.32</v>
      </c>
      <c r="E9">
        <v>0.11</v>
      </c>
      <c r="F9">
        <v>0.36249999999999999</v>
      </c>
      <c r="G9">
        <v>0.17399999999999999</v>
      </c>
      <c r="H9">
        <v>6.3500000000000001E-2</v>
      </c>
      <c r="I9">
        <v>0.105</v>
      </c>
      <c r="J9">
        <v>7</v>
      </c>
      <c r="K9">
        <v>14</v>
      </c>
      <c r="L9" t="s">
        <v>23</v>
      </c>
      <c r="M9" t="s">
        <v>24</v>
      </c>
      <c r="N9" t="s">
        <v>25</v>
      </c>
      <c r="O9">
        <v>1</v>
      </c>
      <c r="P9" t="s">
        <v>4</v>
      </c>
      <c r="Q9">
        <v>22.1</v>
      </c>
      <c r="R9" t="str" cm="1">
        <f t="array" ref="R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" t="e">
        <f>IF(Table13[[#This Row],[Category All]]="Category 1", "Yes",NA())</f>
        <v>#N/A</v>
      </c>
      <c r="T9" t="str">
        <f>IF(Table13[[#This Row],[Category All]]="Category 2", "Yes",NA())</f>
        <v>Yes</v>
      </c>
      <c r="U9" t="e">
        <f>IF(Table13[[#This Row],[Category All]]="Category 3", "Yes",NA())</f>
        <v>#N/A</v>
      </c>
      <c r="V9">
        <f>SUM(1,(1/3)*(Table13[[#This Row],[Length]]-0.5),(1/3)*(Table13[[#This Row],[Diameter]]-0.4),(1/3)*(Table13[[#This Row],[Height]]-0.4)*Table13[[#This Row],[Whole_weight]]*0.5)</f>
        <v>0.92914583333333345</v>
      </c>
      <c r="W9" cm="1">
        <f t="array" ref="W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0.74331666666666685</v>
      </c>
      <c r="X9" t="e">
        <f>IF(Table13[[#This Row],[Category All]]="Category 1",Table13[[#This Row],[Base Abalone Value]]*1.5,NA())</f>
        <v>#N/A</v>
      </c>
      <c r="Y9">
        <f>IF(Table13[[#This Row],[Category All]]="Category 2",Table13[[#This Row],[Base Abalone Value]]*0.8,NA())</f>
        <v>0.74331666666666685</v>
      </c>
      <c r="Z9" t="e">
        <f>IF(Table13[[#This Row],[Category All]]="Category 3",Table13[[#This Row],[Base Abalone Value]],NA())</f>
        <v>#N/A</v>
      </c>
      <c r="AA9" s="2" t="e">
        <f>IF(Table13[[#This Row],[Gender]]="M",Table13[[#This Row],[Whole_weight]],NA())</f>
        <v>#N/A</v>
      </c>
      <c r="AB9" s="2" t="e">
        <f>IF(Table13[[#This Row],[Gender]]="F",Table13[[#This Row],[Whole_weight]],NA())</f>
        <v>#N/A</v>
      </c>
      <c r="AC9" s="2">
        <f>IF(Table13[[#This Row],[Gender]]="I",Table13[[#This Row],[Whole_weight]],NA())</f>
        <v>0.36249999999999999</v>
      </c>
      <c r="AD9" s="2" t="e">
        <f>IF(Table13[[#This Row],[Gender]]="M",Table13[[#This Row],[Diameter]],NA())</f>
        <v>#N/A</v>
      </c>
      <c r="AE9" s="2" t="e">
        <f>IF(Table13[[#This Row],[Gender]]="F",Table13[[#This Row],[Diameter]],NA())</f>
        <v>#N/A</v>
      </c>
      <c r="AF9" s="2">
        <f>IF(Table13[[#This Row],[Gender]]="I",Table13[[#This Row],[Diameter]],NA())</f>
        <v>0.32</v>
      </c>
    </row>
    <row r="10" spans="1:32" x14ac:dyDescent="0.2">
      <c r="A10">
        <v>1982</v>
      </c>
      <c r="B10" t="s">
        <v>0</v>
      </c>
      <c r="C10">
        <v>0.72</v>
      </c>
      <c r="D10">
        <v>0.57499999999999996</v>
      </c>
      <c r="E10">
        <v>0.18</v>
      </c>
      <c r="F10">
        <v>1.6705000000000001</v>
      </c>
      <c r="G10">
        <v>0.73199999999999998</v>
      </c>
      <c r="H10">
        <v>0.36049999999999999</v>
      </c>
      <c r="I10">
        <v>0.501</v>
      </c>
      <c r="J10">
        <v>12</v>
      </c>
      <c r="K10">
        <v>5</v>
      </c>
      <c r="L10" t="s">
        <v>26</v>
      </c>
      <c r="M10" t="s">
        <v>27</v>
      </c>
      <c r="N10" t="s">
        <v>28</v>
      </c>
      <c r="O10">
        <v>2</v>
      </c>
      <c r="P10" t="s">
        <v>7</v>
      </c>
      <c r="Q10">
        <v>18</v>
      </c>
      <c r="R10" t="str" cm="1">
        <f t="array" ref="R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0" t="e">
        <f>IF(Table13[[#This Row],[Category All]]="Category 1", "Yes",NA())</f>
        <v>#N/A</v>
      </c>
      <c r="T10" t="e">
        <f>IF(Table13[[#This Row],[Category All]]="Category 2", "Yes",NA())</f>
        <v>#N/A</v>
      </c>
      <c r="U10" t="str">
        <f>IF(Table13[[#This Row],[Category All]]="Category 3", "Yes",NA())</f>
        <v>Yes</v>
      </c>
      <c r="V10">
        <f>SUM(1,(1/3)*(Table13[[#This Row],[Length]]-0.5),(1/3)*(Table13[[#This Row],[Diameter]]-0.4),(1/3)*(Table13[[#This Row],[Height]]-0.4)*Table13[[#This Row],[Whole_weight]]*0.5)</f>
        <v>1.0704149999999999</v>
      </c>
      <c r="W10" cm="1">
        <f t="array" ref="W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1.0704149999999999</v>
      </c>
      <c r="X10" t="e">
        <f>IF(Table13[[#This Row],[Category All]]="Category 1",Table13[[#This Row],[Base Abalone Value]]*1.5,NA())</f>
        <v>#N/A</v>
      </c>
      <c r="Y10" t="e">
        <f>IF(Table13[[#This Row],[Category All]]="Category 2",Table13[[#This Row],[Base Abalone Value]]*0.8,NA())</f>
        <v>#N/A</v>
      </c>
      <c r="Z10">
        <f>IF(Table13[[#This Row],[Category All]]="Category 3",Table13[[#This Row],[Base Abalone Value]],NA())</f>
        <v>1.0704149999999999</v>
      </c>
      <c r="AA10" s="2" t="e">
        <f>IF(Table13[[#This Row],[Gender]]="M",Table13[[#This Row],[Whole_weight]],NA())</f>
        <v>#N/A</v>
      </c>
      <c r="AB10" s="2">
        <f>IF(Table13[[#This Row],[Gender]]="F",Table13[[#This Row],[Whole_weight]],NA())</f>
        <v>1.6705000000000001</v>
      </c>
      <c r="AC10" s="2" t="e">
        <f>IF(Table13[[#This Row],[Gender]]="I",Table13[[#This Row],[Whole_weight]],NA())</f>
        <v>#N/A</v>
      </c>
      <c r="AD10" s="2" t="e">
        <f>IF(Table13[[#This Row],[Gender]]="M",Table13[[#This Row],[Diameter]],NA())</f>
        <v>#N/A</v>
      </c>
      <c r="AE10" s="2">
        <f>IF(Table13[[#This Row],[Gender]]="F",Table13[[#This Row],[Diameter]],NA())</f>
        <v>0.57499999999999996</v>
      </c>
      <c r="AF10" s="2" t="e">
        <f>IF(Table13[[#This Row],[Gender]]="I",Table13[[#This Row],[Diameter]],NA())</f>
        <v>#N/A</v>
      </c>
    </row>
    <row r="11" spans="1:32" x14ac:dyDescent="0.2">
      <c r="A11">
        <v>729</v>
      </c>
      <c r="B11" t="s">
        <v>15</v>
      </c>
      <c r="C11">
        <v>0.505</v>
      </c>
      <c r="D11">
        <v>0.4</v>
      </c>
      <c r="E11">
        <v>0.125</v>
      </c>
      <c r="F11">
        <v>0.77</v>
      </c>
      <c r="G11">
        <v>0.27350000000000002</v>
      </c>
      <c r="H11">
        <v>0.159</v>
      </c>
      <c r="I11">
        <v>0.255</v>
      </c>
      <c r="J11">
        <v>13</v>
      </c>
      <c r="K11">
        <v>11</v>
      </c>
      <c r="L11" t="s">
        <v>5</v>
      </c>
      <c r="M11" t="s">
        <v>6</v>
      </c>
      <c r="N11" t="s">
        <v>3</v>
      </c>
      <c r="O11">
        <v>5</v>
      </c>
      <c r="P11" t="s">
        <v>14</v>
      </c>
      <c r="Q11">
        <v>12.8</v>
      </c>
      <c r="R11" t="str" cm="1">
        <f t="array" ref="R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1" t="e">
        <f>IF(Table13[[#This Row],[Category All]]="Category 1", "Yes",NA())</f>
        <v>#N/A</v>
      </c>
      <c r="T11" t="str">
        <f>IF(Table13[[#This Row],[Category All]]="Category 2", "Yes",NA())</f>
        <v>Yes</v>
      </c>
      <c r="U11" t="e">
        <f>IF(Table13[[#This Row],[Category All]]="Category 3", "Yes",NA())</f>
        <v>#N/A</v>
      </c>
      <c r="V11">
        <f>SUM(1,(1/3)*(Table13[[#This Row],[Length]]-0.5),(1/3)*(Table13[[#This Row],[Diameter]]-0.4),(1/3)*(Table13[[#This Row],[Height]]-0.4)*Table13[[#This Row],[Whole_weight]]*0.5)</f>
        <v>0.96637499999999998</v>
      </c>
      <c r="W11" cm="1">
        <f t="array" ref="W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0.77310000000000001</v>
      </c>
      <c r="X11" t="e">
        <f>IF(Table13[[#This Row],[Category All]]="Category 1",Table13[[#This Row],[Base Abalone Value]]*1.5,NA())</f>
        <v>#N/A</v>
      </c>
      <c r="Y11">
        <f>IF(Table13[[#This Row],[Category All]]="Category 2",Table13[[#This Row],[Base Abalone Value]]*0.8,NA())</f>
        <v>0.77310000000000001</v>
      </c>
      <c r="Z11" t="e">
        <f>IF(Table13[[#This Row],[Category All]]="Category 3",Table13[[#This Row],[Base Abalone Value]],NA())</f>
        <v>#N/A</v>
      </c>
      <c r="AA11" s="2">
        <f>IF(Table13[[#This Row],[Gender]]="M",Table13[[#This Row],[Whole_weight]],NA())</f>
        <v>0.77</v>
      </c>
      <c r="AB11" s="2" t="e">
        <f>IF(Table13[[#This Row],[Gender]]="F",Table13[[#This Row],[Whole_weight]],NA())</f>
        <v>#N/A</v>
      </c>
      <c r="AC11" s="2" t="e">
        <f>IF(Table13[[#This Row],[Gender]]="I",Table13[[#This Row],[Whole_weight]],NA())</f>
        <v>#N/A</v>
      </c>
      <c r="AD11" s="2">
        <f>IF(Table13[[#This Row],[Gender]]="M",Table13[[#This Row],[Diameter]],NA())</f>
        <v>0.4</v>
      </c>
      <c r="AE11" s="2" t="e">
        <f>IF(Table13[[#This Row],[Gender]]="F",Table13[[#This Row],[Diameter]],NA())</f>
        <v>#N/A</v>
      </c>
      <c r="AF11" s="2" t="e">
        <f>IF(Table13[[#This Row],[Gender]]="I",Table13[[#This Row],[Diameter]],NA())</f>
        <v>#N/A</v>
      </c>
    </row>
    <row r="12" spans="1:32" x14ac:dyDescent="0.2">
      <c r="A12">
        <v>2050</v>
      </c>
      <c r="B12" t="s">
        <v>11</v>
      </c>
      <c r="C12">
        <v>0.44500000000000001</v>
      </c>
      <c r="D12">
        <v>0.32</v>
      </c>
      <c r="E12">
        <v>0.12</v>
      </c>
      <c r="F12">
        <v>0.378</v>
      </c>
      <c r="G12">
        <v>0.152</v>
      </c>
      <c r="H12">
        <v>8.2500000000000004E-2</v>
      </c>
      <c r="I12">
        <v>0.12</v>
      </c>
      <c r="J12">
        <v>8</v>
      </c>
      <c r="K12">
        <v>8</v>
      </c>
      <c r="L12" t="s">
        <v>29</v>
      </c>
      <c r="M12" t="s">
        <v>30</v>
      </c>
      <c r="N12" t="s">
        <v>31</v>
      </c>
      <c r="O12">
        <v>5</v>
      </c>
      <c r="P12" t="s">
        <v>14</v>
      </c>
      <c r="Q12">
        <v>12.8</v>
      </c>
      <c r="R12" t="str" cm="1">
        <f t="array" ref="R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2" t="e">
        <f>IF(Table13[[#This Row],[Category All]]="Category 1", "Yes",NA())</f>
        <v>#N/A</v>
      </c>
      <c r="T12" t="str">
        <f>IF(Table13[[#This Row],[Category All]]="Category 2", "Yes",NA())</f>
        <v>Yes</v>
      </c>
      <c r="U12" t="e">
        <f>IF(Table13[[#This Row],[Category All]]="Category 3", "Yes",NA())</f>
        <v>#N/A</v>
      </c>
      <c r="V12">
        <f>SUM(1,(1/3)*(Table13[[#This Row],[Length]]-0.5),(1/3)*(Table13[[#This Row],[Diameter]]-0.4),(1/3)*(Table13[[#This Row],[Height]]-0.4)*Table13[[#This Row],[Whole_weight]]*0.5)</f>
        <v>0.93736000000000008</v>
      </c>
      <c r="W12" cm="1">
        <f t="array" ref="W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0.74988800000000011</v>
      </c>
      <c r="X12" t="e">
        <f>IF(Table13[[#This Row],[Category All]]="Category 1",Table13[[#This Row],[Base Abalone Value]]*1.5,NA())</f>
        <v>#N/A</v>
      </c>
      <c r="Y12">
        <f>IF(Table13[[#This Row],[Category All]]="Category 2",Table13[[#This Row],[Base Abalone Value]]*0.8,NA())</f>
        <v>0.74988800000000011</v>
      </c>
      <c r="Z12" t="e">
        <f>IF(Table13[[#This Row],[Category All]]="Category 3",Table13[[#This Row],[Base Abalone Value]],NA())</f>
        <v>#N/A</v>
      </c>
      <c r="AA12" s="2" t="e">
        <f>IF(Table13[[#This Row],[Gender]]="M",Table13[[#This Row],[Whole_weight]],NA())</f>
        <v>#N/A</v>
      </c>
      <c r="AB12" s="2" t="e">
        <f>IF(Table13[[#This Row],[Gender]]="F",Table13[[#This Row],[Whole_weight]],NA())</f>
        <v>#N/A</v>
      </c>
      <c r="AC12" s="2">
        <f>IF(Table13[[#This Row],[Gender]]="I",Table13[[#This Row],[Whole_weight]],NA())</f>
        <v>0.378</v>
      </c>
      <c r="AD12" s="2" t="e">
        <f>IF(Table13[[#This Row],[Gender]]="M",Table13[[#This Row],[Diameter]],NA())</f>
        <v>#N/A</v>
      </c>
      <c r="AE12" s="2" t="e">
        <f>IF(Table13[[#This Row],[Gender]]="F",Table13[[#This Row],[Diameter]],NA())</f>
        <v>#N/A</v>
      </c>
      <c r="AF12" s="2">
        <f>IF(Table13[[#This Row],[Gender]]="I",Table13[[#This Row],[Diameter]],NA())</f>
        <v>0.32</v>
      </c>
    </row>
    <row r="13" spans="1:32" x14ac:dyDescent="0.2">
      <c r="A13">
        <v>2642</v>
      </c>
      <c r="B13" t="s">
        <v>11</v>
      </c>
      <c r="C13">
        <v>0.47499999999999998</v>
      </c>
      <c r="D13">
        <v>0.36499999999999999</v>
      </c>
      <c r="E13">
        <v>0.1</v>
      </c>
      <c r="F13">
        <v>0.13150000000000001</v>
      </c>
      <c r="G13">
        <v>0.20250000000000001</v>
      </c>
      <c r="H13">
        <v>8.7499999999999994E-2</v>
      </c>
      <c r="I13">
        <v>0.123</v>
      </c>
      <c r="J13">
        <v>7</v>
      </c>
      <c r="K13">
        <v>2</v>
      </c>
      <c r="L13" t="s">
        <v>32</v>
      </c>
      <c r="M13" t="s">
        <v>33</v>
      </c>
      <c r="N13" t="s">
        <v>34</v>
      </c>
      <c r="O13">
        <v>1</v>
      </c>
      <c r="P13" t="s">
        <v>4</v>
      </c>
      <c r="Q13">
        <v>22.1</v>
      </c>
      <c r="R13" t="str" cm="1">
        <f t="array" ref="R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3" t="e">
        <f>IF(Table13[[#This Row],[Category All]]="Category 1", "Yes",NA())</f>
        <v>#N/A</v>
      </c>
      <c r="T13" t="str">
        <f>IF(Table13[[#This Row],[Category All]]="Category 2", "Yes",NA())</f>
        <v>Yes</v>
      </c>
      <c r="U13" t="e">
        <f>IF(Table13[[#This Row],[Category All]]="Category 3", "Yes",NA())</f>
        <v>#N/A</v>
      </c>
      <c r="V13">
        <f>SUM(1,(1/3)*(Table13[[#This Row],[Length]]-0.5),(1/3)*(Table13[[#This Row],[Diameter]]-0.4),(1/3)*(Table13[[#This Row],[Height]]-0.4)*Table13[[#This Row],[Whole_weight]]*0.5)</f>
        <v>0.97342499999999998</v>
      </c>
      <c r="W13" cm="1">
        <f t="array" ref="W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0.77873999999999999</v>
      </c>
      <c r="X13" t="e">
        <f>IF(Table13[[#This Row],[Category All]]="Category 1",Table13[[#This Row],[Base Abalone Value]]*1.5,NA())</f>
        <v>#N/A</v>
      </c>
      <c r="Y13">
        <f>IF(Table13[[#This Row],[Category All]]="Category 2",Table13[[#This Row],[Base Abalone Value]]*0.8,NA())</f>
        <v>0.77873999999999999</v>
      </c>
      <c r="Z13" t="e">
        <f>IF(Table13[[#This Row],[Category All]]="Category 3",Table13[[#This Row],[Base Abalone Value]],NA())</f>
        <v>#N/A</v>
      </c>
      <c r="AA13" s="2" t="e">
        <f>IF(Table13[[#This Row],[Gender]]="M",Table13[[#This Row],[Whole_weight]],NA())</f>
        <v>#N/A</v>
      </c>
      <c r="AB13" s="2" t="e">
        <f>IF(Table13[[#This Row],[Gender]]="F",Table13[[#This Row],[Whole_weight]],NA())</f>
        <v>#N/A</v>
      </c>
      <c r="AC13" s="2">
        <f>IF(Table13[[#This Row],[Gender]]="I",Table13[[#This Row],[Whole_weight]],NA())</f>
        <v>0.13150000000000001</v>
      </c>
      <c r="AD13" s="2" t="e">
        <f>IF(Table13[[#This Row],[Gender]]="M",Table13[[#This Row],[Diameter]],NA())</f>
        <v>#N/A</v>
      </c>
      <c r="AE13" s="2" t="e">
        <f>IF(Table13[[#This Row],[Gender]]="F",Table13[[#This Row],[Diameter]],NA())</f>
        <v>#N/A</v>
      </c>
      <c r="AF13" s="2">
        <f>IF(Table13[[#This Row],[Gender]]="I",Table13[[#This Row],[Diameter]],NA())</f>
        <v>0.36499999999999999</v>
      </c>
    </row>
    <row r="14" spans="1:32" x14ac:dyDescent="0.2">
      <c r="A14">
        <v>2044</v>
      </c>
      <c r="B14" t="s">
        <v>11</v>
      </c>
      <c r="C14">
        <v>0.39500000000000002</v>
      </c>
      <c r="D14">
        <v>0.29499999999999998</v>
      </c>
      <c r="E14">
        <v>0.1</v>
      </c>
      <c r="F14">
        <v>0.29299999999999998</v>
      </c>
      <c r="G14">
        <v>0.14000000000000001</v>
      </c>
      <c r="H14">
        <v>6.2E-2</v>
      </c>
      <c r="I14">
        <v>8.2000000000000003E-2</v>
      </c>
      <c r="J14">
        <v>7</v>
      </c>
      <c r="K14">
        <v>7</v>
      </c>
      <c r="L14" t="s">
        <v>35</v>
      </c>
      <c r="M14" t="s">
        <v>36</v>
      </c>
      <c r="N14" t="s">
        <v>37</v>
      </c>
      <c r="O14">
        <v>10</v>
      </c>
      <c r="P14" t="s">
        <v>38</v>
      </c>
      <c r="Q14">
        <v>24.1</v>
      </c>
      <c r="R14" t="str" cm="1">
        <f t="array" ref="R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4" t="e">
        <f>IF(Table13[[#This Row],[Category All]]="Category 1", "Yes",NA())</f>
        <v>#N/A</v>
      </c>
      <c r="T14" t="str">
        <f>IF(Table13[[#This Row],[Category All]]="Category 2", "Yes",NA())</f>
        <v>Yes</v>
      </c>
      <c r="U14" t="e">
        <f>IF(Table13[[#This Row],[Category All]]="Category 3", "Yes",NA())</f>
        <v>#N/A</v>
      </c>
      <c r="V14">
        <f>SUM(1,(1/3)*(Table13[[#This Row],[Length]]-0.5),(1/3)*(Table13[[#This Row],[Diameter]]-0.4),(1/3)*(Table13[[#This Row],[Height]]-0.4)*Table13[[#This Row],[Whole_weight]]*0.5)</f>
        <v>0.91534999999999989</v>
      </c>
      <c r="W14" cm="1">
        <f t="array" ref="W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0.73227999999999993</v>
      </c>
      <c r="X14" t="e">
        <f>IF(Table13[[#This Row],[Category All]]="Category 1",Table13[[#This Row],[Base Abalone Value]]*1.5,NA())</f>
        <v>#N/A</v>
      </c>
      <c r="Y14">
        <f>IF(Table13[[#This Row],[Category All]]="Category 2",Table13[[#This Row],[Base Abalone Value]]*0.8,NA())</f>
        <v>0.73227999999999993</v>
      </c>
      <c r="Z14" t="e">
        <f>IF(Table13[[#This Row],[Category All]]="Category 3",Table13[[#This Row],[Base Abalone Value]],NA())</f>
        <v>#N/A</v>
      </c>
      <c r="AA14" s="2" t="e">
        <f>IF(Table13[[#This Row],[Gender]]="M",Table13[[#This Row],[Whole_weight]],NA())</f>
        <v>#N/A</v>
      </c>
      <c r="AB14" s="2" t="e">
        <f>IF(Table13[[#This Row],[Gender]]="F",Table13[[#This Row],[Whole_weight]],NA())</f>
        <v>#N/A</v>
      </c>
      <c r="AC14" s="2">
        <f>IF(Table13[[#This Row],[Gender]]="I",Table13[[#This Row],[Whole_weight]],NA())</f>
        <v>0.29299999999999998</v>
      </c>
      <c r="AD14" s="2" t="e">
        <f>IF(Table13[[#This Row],[Gender]]="M",Table13[[#This Row],[Diameter]],NA())</f>
        <v>#N/A</v>
      </c>
      <c r="AE14" s="2" t="e">
        <f>IF(Table13[[#This Row],[Gender]]="F",Table13[[#This Row],[Diameter]],NA())</f>
        <v>#N/A</v>
      </c>
      <c r="AF14" s="2">
        <f>IF(Table13[[#This Row],[Gender]]="I",Table13[[#This Row],[Diameter]],NA())</f>
        <v>0.29499999999999998</v>
      </c>
    </row>
    <row r="15" spans="1:32" x14ac:dyDescent="0.2">
      <c r="A15">
        <v>1527</v>
      </c>
      <c r="B15" t="s">
        <v>15</v>
      </c>
      <c r="C15">
        <v>0.70499999999999996</v>
      </c>
      <c r="D15">
        <v>0.56000000000000005</v>
      </c>
      <c r="E15">
        <v>0.16500000000000001</v>
      </c>
      <c r="F15">
        <v>1.675</v>
      </c>
      <c r="G15">
        <v>0.79700000000000004</v>
      </c>
      <c r="H15">
        <v>0.40949999999999998</v>
      </c>
      <c r="I15">
        <v>0.38800000000000001</v>
      </c>
      <c r="J15">
        <v>10</v>
      </c>
      <c r="K15">
        <v>13</v>
      </c>
      <c r="L15" t="s">
        <v>12</v>
      </c>
      <c r="M15" t="s">
        <v>13</v>
      </c>
      <c r="N15" t="s">
        <v>3</v>
      </c>
      <c r="O15">
        <v>8</v>
      </c>
      <c r="P15" t="s">
        <v>19</v>
      </c>
      <c r="Q15">
        <v>12.3</v>
      </c>
      <c r="R15" t="str" cm="1">
        <f t="array" ref="R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5" t="e">
        <f>IF(Table13[[#This Row],[Category All]]="Category 1", "Yes",NA())</f>
        <v>#N/A</v>
      </c>
      <c r="T15" t="e">
        <f>IF(Table13[[#This Row],[Category All]]="Category 2", "Yes",NA())</f>
        <v>#N/A</v>
      </c>
      <c r="U15" t="str">
        <f>IF(Table13[[#This Row],[Category All]]="Category 3", "Yes",NA())</f>
        <v>Yes</v>
      </c>
      <c r="V15">
        <f>SUM(1,(1/3)*(Table13[[#This Row],[Length]]-0.5),(1/3)*(Table13[[#This Row],[Diameter]]-0.4),(1/3)*(Table13[[#This Row],[Height]]-0.4)*Table13[[#This Row],[Whole_weight]]*0.5)</f>
        <v>1.0560624999999999</v>
      </c>
      <c r="W15" cm="1">
        <f t="array" ref="W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1.0560624999999999</v>
      </c>
      <c r="X15" t="e">
        <f>IF(Table13[[#This Row],[Category All]]="Category 1",Table13[[#This Row],[Base Abalone Value]]*1.5,NA())</f>
        <v>#N/A</v>
      </c>
      <c r="Y15" t="e">
        <f>IF(Table13[[#This Row],[Category All]]="Category 2",Table13[[#This Row],[Base Abalone Value]]*0.8,NA())</f>
        <v>#N/A</v>
      </c>
      <c r="Z15">
        <f>IF(Table13[[#This Row],[Category All]]="Category 3",Table13[[#This Row],[Base Abalone Value]],NA())</f>
        <v>1.0560624999999999</v>
      </c>
      <c r="AA15" s="2">
        <f>IF(Table13[[#This Row],[Gender]]="M",Table13[[#This Row],[Whole_weight]],NA())</f>
        <v>1.675</v>
      </c>
      <c r="AB15" s="2" t="e">
        <f>IF(Table13[[#This Row],[Gender]]="F",Table13[[#This Row],[Whole_weight]],NA())</f>
        <v>#N/A</v>
      </c>
      <c r="AC15" s="2" t="e">
        <f>IF(Table13[[#This Row],[Gender]]="I",Table13[[#This Row],[Whole_weight]],NA())</f>
        <v>#N/A</v>
      </c>
      <c r="AD15" s="2">
        <f>IF(Table13[[#This Row],[Gender]]="M",Table13[[#This Row],[Diameter]],NA())</f>
        <v>0.56000000000000005</v>
      </c>
      <c r="AE15" s="2" t="e">
        <f>IF(Table13[[#This Row],[Gender]]="F",Table13[[#This Row],[Diameter]],NA())</f>
        <v>#N/A</v>
      </c>
      <c r="AF15" s="2" t="e">
        <f>IF(Table13[[#This Row],[Gender]]="I",Table13[[#This Row],[Diameter]],NA())</f>
        <v>#N/A</v>
      </c>
    </row>
    <row r="16" spans="1:32" x14ac:dyDescent="0.2">
      <c r="A16">
        <v>1678</v>
      </c>
      <c r="B16" t="s">
        <v>15</v>
      </c>
      <c r="C16">
        <v>0.61499999999999999</v>
      </c>
      <c r="D16">
        <v>0.47499999999999998</v>
      </c>
      <c r="E16">
        <v>0.17499999999999999</v>
      </c>
      <c r="F16">
        <v>1.224</v>
      </c>
      <c r="G16">
        <v>0.60350000000000004</v>
      </c>
      <c r="H16">
        <v>0.26100000000000001</v>
      </c>
      <c r="I16">
        <v>0.311</v>
      </c>
      <c r="J16">
        <v>9</v>
      </c>
      <c r="K16">
        <v>1</v>
      </c>
      <c r="L16" t="s">
        <v>8</v>
      </c>
      <c r="M16" t="s">
        <v>9</v>
      </c>
      <c r="N16" t="s">
        <v>3</v>
      </c>
      <c r="O16">
        <v>2</v>
      </c>
      <c r="P16" t="s">
        <v>7</v>
      </c>
      <c r="Q16">
        <v>18</v>
      </c>
      <c r="R16" t="str" cm="1">
        <f t="array" ref="R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6" t="e">
        <f>IF(Table13[[#This Row],[Category All]]="Category 1", "Yes",NA())</f>
        <v>#N/A</v>
      </c>
      <c r="T16" t="e">
        <f>IF(Table13[[#This Row],[Category All]]="Category 2", "Yes",NA())</f>
        <v>#N/A</v>
      </c>
      <c r="U16" t="str">
        <f>IF(Table13[[#This Row],[Category All]]="Category 3", "Yes",NA())</f>
        <v>Yes</v>
      </c>
      <c r="V16">
        <f>SUM(1,(1/3)*(Table13[[#This Row],[Length]]-0.5),(1/3)*(Table13[[#This Row],[Diameter]]-0.4),(1/3)*(Table13[[#This Row],[Height]]-0.4)*Table13[[#This Row],[Whole_weight]]*0.5)</f>
        <v>1.0174333333333332</v>
      </c>
      <c r="W16" cm="1">
        <f t="array" ref="W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1.0174333333333332</v>
      </c>
      <c r="X16" t="e">
        <f>IF(Table13[[#This Row],[Category All]]="Category 1",Table13[[#This Row],[Base Abalone Value]]*1.5,NA())</f>
        <v>#N/A</v>
      </c>
      <c r="Y16" t="e">
        <f>IF(Table13[[#This Row],[Category All]]="Category 2",Table13[[#This Row],[Base Abalone Value]]*0.8,NA())</f>
        <v>#N/A</v>
      </c>
      <c r="Z16">
        <f>IF(Table13[[#This Row],[Category All]]="Category 3",Table13[[#This Row],[Base Abalone Value]],NA())</f>
        <v>1.0174333333333332</v>
      </c>
      <c r="AA16" s="2">
        <f>IF(Table13[[#This Row],[Gender]]="M",Table13[[#This Row],[Whole_weight]],NA())</f>
        <v>1.224</v>
      </c>
      <c r="AB16" s="2" t="e">
        <f>IF(Table13[[#This Row],[Gender]]="F",Table13[[#This Row],[Whole_weight]],NA())</f>
        <v>#N/A</v>
      </c>
      <c r="AC16" s="2" t="e">
        <f>IF(Table13[[#This Row],[Gender]]="I",Table13[[#This Row],[Whole_weight]],NA())</f>
        <v>#N/A</v>
      </c>
      <c r="AD16" s="2">
        <f>IF(Table13[[#This Row],[Gender]]="M",Table13[[#This Row],[Diameter]],NA())</f>
        <v>0.47499999999999998</v>
      </c>
      <c r="AE16" s="2" t="e">
        <f>IF(Table13[[#This Row],[Gender]]="F",Table13[[#This Row],[Diameter]],NA())</f>
        <v>#N/A</v>
      </c>
      <c r="AF16" s="2" t="e">
        <f>IF(Table13[[#This Row],[Gender]]="I",Table13[[#This Row],[Diameter]],NA())</f>
        <v>#N/A</v>
      </c>
    </row>
    <row r="17" spans="1:32" x14ac:dyDescent="0.2">
      <c r="A17">
        <v>726</v>
      </c>
      <c r="B17" t="s">
        <v>0</v>
      </c>
      <c r="C17">
        <v>0.49</v>
      </c>
      <c r="D17">
        <v>0.36</v>
      </c>
      <c r="E17">
        <v>0.11</v>
      </c>
      <c r="F17">
        <v>0.50049999999999994</v>
      </c>
      <c r="G17">
        <v>0.161</v>
      </c>
      <c r="H17">
        <v>0.107</v>
      </c>
      <c r="I17">
        <v>0.19500000000000001</v>
      </c>
      <c r="J17">
        <v>17</v>
      </c>
      <c r="K17">
        <v>5</v>
      </c>
      <c r="L17" t="s">
        <v>26</v>
      </c>
      <c r="M17" t="s">
        <v>27</v>
      </c>
      <c r="N17" t="s">
        <v>28</v>
      </c>
      <c r="O17">
        <v>1</v>
      </c>
      <c r="P17" t="s">
        <v>4</v>
      </c>
      <c r="Q17">
        <v>22.1</v>
      </c>
      <c r="R17" t="str" cm="1">
        <f t="array" ref="R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7" t="e">
        <f>IF(Table13[[#This Row],[Category All]]="Category 1", "Yes",NA())</f>
        <v>#N/A</v>
      </c>
      <c r="T17" t="str">
        <f>IF(Table13[[#This Row],[Category All]]="Category 2", "Yes",NA())</f>
        <v>Yes</v>
      </c>
      <c r="U17" t="e">
        <f>IF(Table13[[#This Row],[Category All]]="Category 3", "Yes",NA())</f>
        <v>#N/A</v>
      </c>
      <c r="V17">
        <f>SUM(1,(1/3)*(Table13[[#This Row],[Length]]-0.5),(1/3)*(Table13[[#This Row],[Diameter]]-0.4),(1/3)*(Table13[[#This Row],[Height]]-0.4)*Table13[[#This Row],[Whole_weight]]*0.5)</f>
        <v>0.95914250000000001</v>
      </c>
      <c r="W17" cm="1">
        <f t="array" ref="W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0.76731400000000005</v>
      </c>
      <c r="X17" t="e">
        <f>IF(Table13[[#This Row],[Category All]]="Category 1",Table13[[#This Row],[Base Abalone Value]]*1.5,NA())</f>
        <v>#N/A</v>
      </c>
      <c r="Y17">
        <f>IF(Table13[[#This Row],[Category All]]="Category 2",Table13[[#This Row],[Base Abalone Value]]*0.8,NA())</f>
        <v>0.76731400000000005</v>
      </c>
      <c r="Z17" t="e">
        <f>IF(Table13[[#This Row],[Category All]]="Category 3",Table13[[#This Row],[Base Abalone Value]],NA())</f>
        <v>#N/A</v>
      </c>
      <c r="AA17" s="2" t="e">
        <f>IF(Table13[[#This Row],[Gender]]="M",Table13[[#This Row],[Whole_weight]],NA())</f>
        <v>#N/A</v>
      </c>
      <c r="AB17" s="2">
        <f>IF(Table13[[#This Row],[Gender]]="F",Table13[[#This Row],[Whole_weight]],NA())</f>
        <v>0.50049999999999994</v>
      </c>
      <c r="AC17" s="2" t="e">
        <f>IF(Table13[[#This Row],[Gender]]="I",Table13[[#This Row],[Whole_weight]],NA())</f>
        <v>#N/A</v>
      </c>
      <c r="AD17" s="2" t="e">
        <f>IF(Table13[[#This Row],[Gender]]="M",Table13[[#This Row],[Diameter]],NA())</f>
        <v>#N/A</v>
      </c>
      <c r="AE17" s="2">
        <f>IF(Table13[[#This Row],[Gender]]="F",Table13[[#This Row],[Diameter]],NA())</f>
        <v>0.36</v>
      </c>
      <c r="AF17" s="2" t="e">
        <f>IF(Table13[[#This Row],[Gender]]="I",Table13[[#This Row],[Diameter]],NA())</f>
        <v>#N/A</v>
      </c>
    </row>
    <row r="18" spans="1:32" x14ac:dyDescent="0.2">
      <c r="A18">
        <v>3548</v>
      </c>
      <c r="B18" t="s">
        <v>11</v>
      </c>
      <c r="C18">
        <v>0.48</v>
      </c>
      <c r="D18">
        <v>0.35499999999999998</v>
      </c>
      <c r="E18">
        <v>0.125</v>
      </c>
      <c r="F18">
        <v>0.49399999999999999</v>
      </c>
      <c r="G18">
        <v>0.23849999999999999</v>
      </c>
      <c r="H18">
        <v>8.3500000000000005E-2</v>
      </c>
      <c r="I18">
        <v>0.15</v>
      </c>
      <c r="J18">
        <v>9</v>
      </c>
      <c r="K18">
        <v>6</v>
      </c>
      <c r="L18" t="s">
        <v>39</v>
      </c>
      <c r="M18" t="s">
        <v>40</v>
      </c>
      <c r="N18" t="s">
        <v>41</v>
      </c>
      <c r="O18">
        <v>8</v>
      </c>
      <c r="P18" t="s">
        <v>19</v>
      </c>
      <c r="Q18">
        <v>12.3</v>
      </c>
      <c r="R18" t="str" cm="1">
        <f t="array" ref="R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8" t="e">
        <f>IF(Table13[[#This Row],[Category All]]="Category 1", "Yes",NA())</f>
        <v>#N/A</v>
      </c>
      <c r="T18" t="str">
        <f>IF(Table13[[#This Row],[Category All]]="Category 2", "Yes",NA())</f>
        <v>Yes</v>
      </c>
      <c r="U18" t="e">
        <f>IF(Table13[[#This Row],[Category All]]="Category 3", "Yes",NA())</f>
        <v>#N/A</v>
      </c>
      <c r="V18">
        <f>SUM(1,(1/3)*(Table13[[#This Row],[Length]]-0.5),(1/3)*(Table13[[#This Row],[Diameter]]-0.4),(1/3)*(Table13[[#This Row],[Height]]-0.4)*Table13[[#This Row],[Whole_weight]]*0.5)</f>
        <v>0.95569166666666661</v>
      </c>
      <c r="W18" cm="1">
        <f t="array" ref="W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0.76455333333333331</v>
      </c>
      <c r="X18" t="e">
        <f>IF(Table13[[#This Row],[Category All]]="Category 1",Table13[[#This Row],[Base Abalone Value]]*1.5,NA())</f>
        <v>#N/A</v>
      </c>
      <c r="Y18">
        <f>IF(Table13[[#This Row],[Category All]]="Category 2",Table13[[#This Row],[Base Abalone Value]]*0.8,NA())</f>
        <v>0.76455333333333331</v>
      </c>
      <c r="Z18" t="e">
        <f>IF(Table13[[#This Row],[Category All]]="Category 3",Table13[[#This Row],[Base Abalone Value]],NA())</f>
        <v>#N/A</v>
      </c>
      <c r="AA18" s="2" t="e">
        <f>IF(Table13[[#This Row],[Gender]]="M",Table13[[#This Row],[Whole_weight]],NA())</f>
        <v>#N/A</v>
      </c>
      <c r="AB18" s="2" t="e">
        <f>IF(Table13[[#This Row],[Gender]]="F",Table13[[#This Row],[Whole_weight]],NA())</f>
        <v>#N/A</v>
      </c>
      <c r="AC18" s="2">
        <f>IF(Table13[[#This Row],[Gender]]="I",Table13[[#This Row],[Whole_weight]],NA())</f>
        <v>0.49399999999999999</v>
      </c>
      <c r="AD18" s="2" t="e">
        <f>IF(Table13[[#This Row],[Gender]]="M",Table13[[#This Row],[Diameter]],NA())</f>
        <v>#N/A</v>
      </c>
      <c r="AE18" s="2" t="e">
        <f>IF(Table13[[#This Row],[Gender]]="F",Table13[[#This Row],[Diameter]],NA())</f>
        <v>#N/A</v>
      </c>
      <c r="AF18" s="2">
        <f>IF(Table13[[#This Row],[Gender]]="I",Table13[[#This Row],[Diameter]],NA())</f>
        <v>0.35499999999999998</v>
      </c>
    </row>
    <row r="19" spans="1:32" x14ac:dyDescent="0.2">
      <c r="A19">
        <v>1172</v>
      </c>
      <c r="B19" t="s">
        <v>15</v>
      </c>
      <c r="C19">
        <v>0.625</v>
      </c>
      <c r="D19">
        <v>0.48</v>
      </c>
      <c r="E19">
        <v>0.185</v>
      </c>
      <c r="F19">
        <v>1.2064999999999999</v>
      </c>
      <c r="G19">
        <v>0.58699999999999997</v>
      </c>
      <c r="H19">
        <v>0.28999999999999998</v>
      </c>
      <c r="I19">
        <v>0.28599999999999998</v>
      </c>
      <c r="J19">
        <v>8</v>
      </c>
      <c r="K19">
        <v>12</v>
      </c>
      <c r="L19" t="s">
        <v>1</v>
      </c>
      <c r="M19" t="s">
        <v>2</v>
      </c>
      <c r="N19" t="s">
        <v>3</v>
      </c>
      <c r="O19">
        <v>7</v>
      </c>
      <c r="P19" t="s">
        <v>42</v>
      </c>
      <c r="Q19">
        <v>2.5</v>
      </c>
      <c r="R19" t="str" cm="1">
        <f t="array" ref="R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9" t="e">
        <f>IF(Table13[[#This Row],[Category All]]="Category 1", "Yes",NA())</f>
        <v>#N/A</v>
      </c>
      <c r="T19" t="e">
        <f>IF(Table13[[#This Row],[Category All]]="Category 2", "Yes",NA())</f>
        <v>#N/A</v>
      </c>
      <c r="U19" t="str">
        <f>IF(Table13[[#This Row],[Category All]]="Category 3", "Yes",NA())</f>
        <v>Yes</v>
      </c>
      <c r="V19">
        <f>SUM(1,(1/3)*(Table13[[#This Row],[Length]]-0.5),(1/3)*(Table13[[#This Row],[Diameter]]-0.4),(1/3)*(Table13[[#This Row],[Height]]-0.4)*Table13[[#This Row],[Whole_weight]]*0.5)</f>
        <v>1.0251004166666666</v>
      </c>
      <c r="W19" cm="1">
        <f t="array" ref="W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1.0251004166666666</v>
      </c>
      <c r="X19" t="e">
        <f>IF(Table13[[#This Row],[Category All]]="Category 1",Table13[[#This Row],[Base Abalone Value]]*1.5,NA())</f>
        <v>#N/A</v>
      </c>
      <c r="Y19" t="e">
        <f>IF(Table13[[#This Row],[Category All]]="Category 2",Table13[[#This Row],[Base Abalone Value]]*0.8,NA())</f>
        <v>#N/A</v>
      </c>
      <c r="Z19">
        <f>IF(Table13[[#This Row],[Category All]]="Category 3",Table13[[#This Row],[Base Abalone Value]],NA())</f>
        <v>1.0251004166666666</v>
      </c>
      <c r="AA19" s="2">
        <f>IF(Table13[[#This Row],[Gender]]="M",Table13[[#This Row],[Whole_weight]],NA())</f>
        <v>1.2064999999999999</v>
      </c>
      <c r="AB19" s="2" t="e">
        <f>IF(Table13[[#This Row],[Gender]]="F",Table13[[#This Row],[Whole_weight]],NA())</f>
        <v>#N/A</v>
      </c>
      <c r="AC19" s="2" t="e">
        <f>IF(Table13[[#This Row],[Gender]]="I",Table13[[#This Row],[Whole_weight]],NA())</f>
        <v>#N/A</v>
      </c>
      <c r="AD19" s="2">
        <f>IF(Table13[[#This Row],[Gender]]="M",Table13[[#This Row],[Diameter]],NA())</f>
        <v>0.48</v>
      </c>
      <c r="AE19" s="2" t="e">
        <f>IF(Table13[[#This Row],[Gender]]="F",Table13[[#This Row],[Diameter]],NA())</f>
        <v>#N/A</v>
      </c>
      <c r="AF19" s="2" t="e">
        <f>IF(Table13[[#This Row],[Gender]]="I",Table13[[#This Row],[Diameter]],NA())</f>
        <v>#N/A</v>
      </c>
    </row>
    <row r="20" spans="1:32" x14ac:dyDescent="0.2">
      <c r="A20">
        <v>2287</v>
      </c>
      <c r="B20" t="s">
        <v>0</v>
      </c>
      <c r="C20">
        <v>0.5</v>
      </c>
      <c r="D20">
        <v>0.39500000000000002</v>
      </c>
      <c r="E20">
        <v>0.15</v>
      </c>
      <c r="F20">
        <v>0.71450000000000002</v>
      </c>
      <c r="G20">
        <v>0.32350000000000001</v>
      </c>
      <c r="H20">
        <v>0.17299999999999999</v>
      </c>
      <c r="I20">
        <v>0.19500000000000001</v>
      </c>
      <c r="J20">
        <v>9</v>
      </c>
      <c r="K20">
        <v>9</v>
      </c>
      <c r="L20" t="s">
        <v>20</v>
      </c>
      <c r="M20" t="s">
        <v>21</v>
      </c>
      <c r="N20" t="s">
        <v>22</v>
      </c>
      <c r="O20">
        <v>4</v>
      </c>
      <c r="P20" t="s">
        <v>10</v>
      </c>
      <c r="Q20">
        <v>6.1</v>
      </c>
      <c r="R20" t="str" cm="1">
        <f t="array" ref="R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0" t="e">
        <f>IF(Table13[[#This Row],[Category All]]="Category 1", "Yes",NA())</f>
        <v>#N/A</v>
      </c>
      <c r="T20" t="str">
        <f>IF(Table13[[#This Row],[Category All]]="Category 2", "Yes",NA())</f>
        <v>Yes</v>
      </c>
      <c r="U20" t="e">
        <f>IF(Table13[[#This Row],[Category All]]="Category 3", "Yes",NA())</f>
        <v>#N/A</v>
      </c>
      <c r="V20">
        <f>SUM(1,(1/3)*(Table13[[#This Row],[Length]]-0.5),(1/3)*(Table13[[#This Row],[Diameter]]-0.4),(1/3)*(Table13[[#This Row],[Height]]-0.4)*Table13[[#This Row],[Whole_weight]]*0.5)</f>
        <v>0.96856249999999999</v>
      </c>
      <c r="W20" cm="1">
        <f t="array" ref="W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0.77485000000000004</v>
      </c>
      <c r="X20" t="e">
        <f>IF(Table13[[#This Row],[Category All]]="Category 1",Table13[[#This Row],[Base Abalone Value]]*1.5,NA())</f>
        <v>#N/A</v>
      </c>
      <c r="Y20">
        <f>IF(Table13[[#This Row],[Category All]]="Category 2",Table13[[#This Row],[Base Abalone Value]]*0.8,NA())</f>
        <v>0.77485000000000004</v>
      </c>
      <c r="Z20" t="e">
        <f>IF(Table13[[#This Row],[Category All]]="Category 3",Table13[[#This Row],[Base Abalone Value]],NA())</f>
        <v>#N/A</v>
      </c>
      <c r="AA20" s="2" t="e">
        <f>IF(Table13[[#This Row],[Gender]]="M",Table13[[#This Row],[Whole_weight]],NA())</f>
        <v>#N/A</v>
      </c>
      <c r="AB20" s="2">
        <f>IF(Table13[[#This Row],[Gender]]="F",Table13[[#This Row],[Whole_weight]],NA())</f>
        <v>0.71450000000000002</v>
      </c>
      <c r="AC20" s="2" t="e">
        <f>IF(Table13[[#This Row],[Gender]]="I",Table13[[#This Row],[Whole_weight]],NA())</f>
        <v>#N/A</v>
      </c>
      <c r="AD20" s="2" t="e">
        <f>IF(Table13[[#This Row],[Gender]]="M",Table13[[#This Row],[Diameter]],NA())</f>
        <v>#N/A</v>
      </c>
      <c r="AE20" s="2">
        <f>IF(Table13[[#This Row],[Gender]]="F",Table13[[#This Row],[Diameter]],NA())</f>
        <v>0.39500000000000002</v>
      </c>
      <c r="AF20" s="2" t="e">
        <f>IF(Table13[[#This Row],[Gender]]="I",Table13[[#This Row],[Diameter]],NA())</f>
        <v>#N/A</v>
      </c>
    </row>
    <row r="21" spans="1:32" x14ac:dyDescent="0.2">
      <c r="A21">
        <v>2886</v>
      </c>
      <c r="B21" t="s">
        <v>11</v>
      </c>
      <c r="C21">
        <v>0.505</v>
      </c>
      <c r="D21">
        <v>0.4</v>
      </c>
      <c r="E21">
        <v>0.125</v>
      </c>
      <c r="F21">
        <v>0.5605</v>
      </c>
      <c r="G21">
        <v>0.22550000000000001</v>
      </c>
      <c r="H21">
        <v>0.14349999999999999</v>
      </c>
      <c r="I21">
        <v>0.17</v>
      </c>
      <c r="J21">
        <v>8</v>
      </c>
      <c r="K21">
        <v>3</v>
      </c>
      <c r="L21" t="s">
        <v>43</v>
      </c>
      <c r="M21" t="s">
        <v>44</v>
      </c>
      <c r="N21" t="s">
        <v>45</v>
      </c>
      <c r="O21">
        <v>1</v>
      </c>
      <c r="P21" t="s">
        <v>4</v>
      </c>
      <c r="Q21">
        <v>22.1</v>
      </c>
      <c r="R21" t="str" cm="1">
        <f t="array" ref="R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1" t="e">
        <f>IF(Table13[[#This Row],[Category All]]="Category 1", "Yes",NA())</f>
        <v>#N/A</v>
      </c>
      <c r="T21" t="str">
        <f>IF(Table13[[#This Row],[Category All]]="Category 2", "Yes",NA())</f>
        <v>Yes</v>
      </c>
      <c r="U21" t="e">
        <f>IF(Table13[[#This Row],[Category All]]="Category 3", "Yes",NA())</f>
        <v>#N/A</v>
      </c>
      <c r="V21">
        <f>SUM(1,(1/3)*(Table13[[#This Row],[Length]]-0.5),(1/3)*(Table13[[#This Row],[Diameter]]-0.4),(1/3)*(Table13[[#This Row],[Height]]-0.4)*Table13[[#This Row],[Whole_weight]]*0.5)</f>
        <v>0.97597708333333333</v>
      </c>
      <c r="W21" cm="1">
        <f t="array" ref="W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0.78078166666666671</v>
      </c>
      <c r="X21" t="e">
        <f>IF(Table13[[#This Row],[Category All]]="Category 1",Table13[[#This Row],[Base Abalone Value]]*1.5,NA())</f>
        <v>#N/A</v>
      </c>
      <c r="Y21">
        <f>IF(Table13[[#This Row],[Category All]]="Category 2",Table13[[#This Row],[Base Abalone Value]]*0.8,NA())</f>
        <v>0.78078166666666671</v>
      </c>
      <c r="Z21" t="e">
        <f>IF(Table13[[#This Row],[Category All]]="Category 3",Table13[[#This Row],[Base Abalone Value]],NA())</f>
        <v>#N/A</v>
      </c>
      <c r="AA21" s="2" t="e">
        <f>IF(Table13[[#This Row],[Gender]]="M",Table13[[#This Row],[Whole_weight]],NA())</f>
        <v>#N/A</v>
      </c>
      <c r="AB21" s="2" t="e">
        <f>IF(Table13[[#This Row],[Gender]]="F",Table13[[#This Row],[Whole_weight]],NA())</f>
        <v>#N/A</v>
      </c>
      <c r="AC21" s="2">
        <f>IF(Table13[[#This Row],[Gender]]="I",Table13[[#This Row],[Whole_weight]],NA())</f>
        <v>0.5605</v>
      </c>
      <c r="AD21" s="2" t="e">
        <f>IF(Table13[[#This Row],[Gender]]="M",Table13[[#This Row],[Diameter]],NA())</f>
        <v>#N/A</v>
      </c>
      <c r="AE21" s="2" t="e">
        <f>IF(Table13[[#This Row],[Gender]]="F",Table13[[#This Row],[Diameter]],NA())</f>
        <v>#N/A</v>
      </c>
      <c r="AF21" s="2">
        <f>IF(Table13[[#This Row],[Gender]]="I",Table13[[#This Row],[Diameter]],NA())</f>
        <v>0.4</v>
      </c>
    </row>
    <row r="22" spans="1:32" x14ac:dyDescent="0.2">
      <c r="A22">
        <v>3347</v>
      </c>
      <c r="B22" t="s">
        <v>11</v>
      </c>
      <c r="C22">
        <v>0.47</v>
      </c>
      <c r="D22">
        <v>0.4</v>
      </c>
      <c r="E22">
        <v>0.16</v>
      </c>
      <c r="F22">
        <v>0.51</v>
      </c>
      <c r="G22">
        <v>0.1615</v>
      </c>
      <c r="H22">
        <v>7.2999999999999995E-2</v>
      </c>
      <c r="I22">
        <v>0.19800000000000001</v>
      </c>
      <c r="J22">
        <v>14</v>
      </c>
      <c r="K22">
        <v>10</v>
      </c>
      <c r="L22" t="s">
        <v>16</v>
      </c>
      <c r="M22" t="s">
        <v>17</v>
      </c>
      <c r="N22" t="s">
        <v>18</v>
      </c>
      <c r="O22">
        <v>9</v>
      </c>
      <c r="P22" t="s">
        <v>46</v>
      </c>
      <c r="Q22">
        <v>1.9</v>
      </c>
      <c r="R22" t="str" cm="1">
        <f t="array" ref="R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2" t="e">
        <f>IF(Table13[[#This Row],[Category All]]="Category 1", "Yes",NA())</f>
        <v>#N/A</v>
      </c>
      <c r="T22" t="str">
        <f>IF(Table13[[#This Row],[Category All]]="Category 2", "Yes",NA())</f>
        <v>Yes</v>
      </c>
      <c r="U22" t="e">
        <f>IF(Table13[[#This Row],[Category All]]="Category 3", "Yes",NA())</f>
        <v>#N/A</v>
      </c>
      <c r="V22">
        <f>SUM(1,(1/3)*(Table13[[#This Row],[Length]]-0.5),(1/3)*(Table13[[#This Row],[Diameter]]-0.4),(1/3)*(Table13[[#This Row],[Height]]-0.4)*Table13[[#This Row],[Whole_weight]]*0.5)</f>
        <v>0.96960000000000002</v>
      </c>
      <c r="W22" cm="1">
        <f t="array" ref="W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0.77568000000000004</v>
      </c>
      <c r="X22" t="e">
        <f>IF(Table13[[#This Row],[Category All]]="Category 1",Table13[[#This Row],[Base Abalone Value]]*1.5,NA())</f>
        <v>#N/A</v>
      </c>
      <c r="Y22">
        <f>IF(Table13[[#This Row],[Category All]]="Category 2",Table13[[#This Row],[Base Abalone Value]]*0.8,NA())</f>
        <v>0.77568000000000004</v>
      </c>
      <c r="Z22" t="e">
        <f>IF(Table13[[#This Row],[Category All]]="Category 3",Table13[[#This Row],[Base Abalone Value]],NA())</f>
        <v>#N/A</v>
      </c>
      <c r="AA22" s="2" t="e">
        <f>IF(Table13[[#This Row],[Gender]]="M",Table13[[#This Row],[Whole_weight]],NA())</f>
        <v>#N/A</v>
      </c>
      <c r="AB22" s="2" t="e">
        <f>IF(Table13[[#This Row],[Gender]]="F",Table13[[#This Row],[Whole_weight]],NA())</f>
        <v>#N/A</v>
      </c>
      <c r="AC22" s="2">
        <f>IF(Table13[[#This Row],[Gender]]="I",Table13[[#This Row],[Whole_weight]],NA())</f>
        <v>0.51</v>
      </c>
      <c r="AD22" s="2" t="e">
        <f>IF(Table13[[#This Row],[Gender]]="M",Table13[[#This Row],[Diameter]],NA())</f>
        <v>#N/A</v>
      </c>
      <c r="AE22" s="2" t="e">
        <f>IF(Table13[[#This Row],[Gender]]="F",Table13[[#This Row],[Diameter]],NA())</f>
        <v>#N/A</v>
      </c>
      <c r="AF22" s="2">
        <f>IF(Table13[[#This Row],[Gender]]="I",Table13[[#This Row],[Diameter]],NA())</f>
        <v>0.4</v>
      </c>
    </row>
    <row r="23" spans="1:32" x14ac:dyDescent="0.2">
      <c r="A23">
        <v>2640</v>
      </c>
      <c r="B23" t="s">
        <v>11</v>
      </c>
      <c r="C23">
        <v>0.46</v>
      </c>
      <c r="D23">
        <v>0.37</v>
      </c>
      <c r="E23">
        <v>0.12</v>
      </c>
      <c r="F23">
        <v>0.53349999999999997</v>
      </c>
      <c r="G23">
        <v>0.26450000000000001</v>
      </c>
      <c r="H23">
        <v>0.108</v>
      </c>
      <c r="I23">
        <v>0.13450000000000001</v>
      </c>
      <c r="J23">
        <v>6</v>
      </c>
      <c r="K23">
        <v>6</v>
      </c>
      <c r="L23" t="s">
        <v>39</v>
      </c>
      <c r="M23" t="s">
        <v>40</v>
      </c>
      <c r="N23" t="s">
        <v>41</v>
      </c>
      <c r="O23">
        <v>2</v>
      </c>
      <c r="P23" t="s">
        <v>7</v>
      </c>
      <c r="Q23">
        <v>18</v>
      </c>
      <c r="R23" t="str" cm="1">
        <f t="array" ref="R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" t="e">
        <f>IF(Table13[[#This Row],[Category All]]="Category 1", "Yes",NA())</f>
        <v>#N/A</v>
      </c>
      <c r="T23" t="str">
        <f>IF(Table13[[#This Row],[Category All]]="Category 2", "Yes",NA())</f>
        <v>Yes</v>
      </c>
      <c r="U23" t="e">
        <f>IF(Table13[[#This Row],[Category All]]="Category 3", "Yes",NA())</f>
        <v>#N/A</v>
      </c>
      <c r="V23">
        <f>SUM(1,(1/3)*(Table13[[#This Row],[Length]]-0.5),(1/3)*(Table13[[#This Row],[Diameter]]-0.4),(1/3)*(Table13[[#This Row],[Height]]-0.4)*Table13[[#This Row],[Whole_weight]]*0.5)</f>
        <v>0.95177</v>
      </c>
      <c r="W23" cm="1">
        <f t="array" ref="W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0.76141600000000009</v>
      </c>
      <c r="X23" t="e">
        <f>IF(Table13[[#This Row],[Category All]]="Category 1",Table13[[#This Row],[Base Abalone Value]]*1.5,NA())</f>
        <v>#N/A</v>
      </c>
      <c r="Y23">
        <f>IF(Table13[[#This Row],[Category All]]="Category 2",Table13[[#This Row],[Base Abalone Value]]*0.8,NA())</f>
        <v>0.76141600000000009</v>
      </c>
      <c r="Z23" t="e">
        <f>IF(Table13[[#This Row],[Category All]]="Category 3",Table13[[#This Row],[Base Abalone Value]],NA())</f>
        <v>#N/A</v>
      </c>
      <c r="AA23" s="2" t="e">
        <f>IF(Table13[[#This Row],[Gender]]="M",Table13[[#This Row],[Whole_weight]],NA())</f>
        <v>#N/A</v>
      </c>
      <c r="AB23" s="2" t="e">
        <f>IF(Table13[[#This Row],[Gender]]="F",Table13[[#This Row],[Whole_weight]],NA())</f>
        <v>#N/A</v>
      </c>
      <c r="AC23" s="2">
        <f>IF(Table13[[#This Row],[Gender]]="I",Table13[[#This Row],[Whole_weight]],NA())</f>
        <v>0.53349999999999997</v>
      </c>
      <c r="AD23" s="2" t="e">
        <f>IF(Table13[[#This Row],[Gender]]="M",Table13[[#This Row],[Diameter]],NA())</f>
        <v>#N/A</v>
      </c>
      <c r="AE23" s="2" t="e">
        <f>IF(Table13[[#This Row],[Gender]]="F",Table13[[#This Row],[Diameter]],NA())</f>
        <v>#N/A</v>
      </c>
      <c r="AF23" s="2">
        <f>IF(Table13[[#This Row],[Gender]]="I",Table13[[#This Row],[Diameter]],NA())</f>
        <v>0.37</v>
      </c>
    </row>
    <row r="24" spans="1:32" x14ac:dyDescent="0.2">
      <c r="A24">
        <v>3951</v>
      </c>
      <c r="B24" t="s">
        <v>0</v>
      </c>
      <c r="C24">
        <v>0.53</v>
      </c>
      <c r="D24">
        <v>0.42499999999999999</v>
      </c>
      <c r="E24">
        <v>0.13</v>
      </c>
      <c r="F24">
        <v>0.71699999999999997</v>
      </c>
      <c r="G24">
        <v>0.21149999999999999</v>
      </c>
      <c r="H24">
        <v>0.16600000000000001</v>
      </c>
      <c r="I24">
        <v>0.255</v>
      </c>
      <c r="J24">
        <v>13</v>
      </c>
      <c r="K24">
        <v>6</v>
      </c>
      <c r="L24" t="s">
        <v>39</v>
      </c>
      <c r="M24" t="s">
        <v>40</v>
      </c>
      <c r="N24" t="s">
        <v>41</v>
      </c>
      <c r="O24">
        <v>2</v>
      </c>
      <c r="P24" t="s">
        <v>7</v>
      </c>
      <c r="Q24">
        <v>18</v>
      </c>
      <c r="R24" t="str" cm="1">
        <f t="array" ref="R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" t="e">
        <f>IF(Table13[[#This Row],[Category All]]="Category 1", "Yes",NA())</f>
        <v>#N/A</v>
      </c>
      <c r="T24" t="str">
        <f>IF(Table13[[#This Row],[Category All]]="Category 2", "Yes",NA())</f>
        <v>Yes</v>
      </c>
      <c r="U24" t="e">
        <f>IF(Table13[[#This Row],[Category All]]="Category 3", "Yes",NA())</f>
        <v>#N/A</v>
      </c>
      <c r="V24">
        <f>SUM(1,(1/3)*(Table13[[#This Row],[Length]]-0.5),(1/3)*(Table13[[#This Row],[Diameter]]-0.4),(1/3)*(Table13[[#This Row],[Height]]-0.4)*Table13[[#This Row],[Whole_weight]]*0.5)</f>
        <v>0.98606833333333332</v>
      </c>
      <c r="W24" cm="1">
        <f t="array" ref="W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0.7888546666666667</v>
      </c>
      <c r="X24" t="e">
        <f>IF(Table13[[#This Row],[Category All]]="Category 1",Table13[[#This Row],[Base Abalone Value]]*1.5,NA())</f>
        <v>#N/A</v>
      </c>
      <c r="Y24">
        <f>IF(Table13[[#This Row],[Category All]]="Category 2",Table13[[#This Row],[Base Abalone Value]]*0.8,NA())</f>
        <v>0.7888546666666667</v>
      </c>
      <c r="Z24" t="e">
        <f>IF(Table13[[#This Row],[Category All]]="Category 3",Table13[[#This Row],[Base Abalone Value]],NA())</f>
        <v>#N/A</v>
      </c>
      <c r="AA24" s="2" t="e">
        <f>IF(Table13[[#This Row],[Gender]]="M",Table13[[#This Row],[Whole_weight]],NA())</f>
        <v>#N/A</v>
      </c>
      <c r="AB24" s="2">
        <f>IF(Table13[[#This Row],[Gender]]="F",Table13[[#This Row],[Whole_weight]],NA())</f>
        <v>0.71699999999999997</v>
      </c>
      <c r="AC24" s="2" t="e">
        <f>IF(Table13[[#This Row],[Gender]]="I",Table13[[#This Row],[Whole_weight]],NA())</f>
        <v>#N/A</v>
      </c>
      <c r="AD24" s="2" t="e">
        <f>IF(Table13[[#This Row],[Gender]]="M",Table13[[#This Row],[Diameter]],NA())</f>
        <v>#N/A</v>
      </c>
      <c r="AE24" s="2">
        <f>IF(Table13[[#This Row],[Gender]]="F",Table13[[#This Row],[Diameter]],NA())</f>
        <v>0.42499999999999999</v>
      </c>
      <c r="AF24" s="2" t="e">
        <f>IF(Table13[[#This Row],[Gender]]="I",Table13[[#This Row],[Diameter]],NA())</f>
        <v>#N/A</v>
      </c>
    </row>
    <row r="25" spans="1:32" x14ac:dyDescent="0.2">
      <c r="A25">
        <v>1571</v>
      </c>
      <c r="B25" t="s">
        <v>15</v>
      </c>
      <c r="C25">
        <v>0.47499999999999998</v>
      </c>
      <c r="D25">
        <v>0.36</v>
      </c>
      <c r="E25">
        <v>0.1</v>
      </c>
      <c r="F25">
        <v>0.42849999999999999</v>
      </c>
      <c r="G25">
        <v>0.19650000000000001</v>
      </c>
      <c r="H25">
        <v>9.9000000000000005E-2</v>
      </c>
      <c r="I25">
        <v>0.112</v>
      </c>
      <c r="J25">
        <v>7</v>
      </c>
      <c r="K25">
        <v>5</v>
      </c>
      <c r="L25" t="s">
        <v>26</v>
      </c>
      <c r="M25" t="s">
        <v>27</v>
      </c>
      <c r="N25" t="s">
        <v>28</v>
      </c>
      <c r="O25">
        <v>6</v>
      </c>
      <c r="P25" t="s">
        <v>47</v>
      </c>
      <c r="Q25">
        <v>14.1</v>
      </c>
      <c r="R25" t="str" cm="1">
        <f t="array" ref="R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5" t="e">
        <f>IF(Table13[[#This Row],[Category All]]="Category 1", "Yes",NA())</f>
        <v>#N/A</v>
      </c>
      <c r="T25" t="str">
        <f>IF(Table13[[#This Row],[Category All]]="Category 2", "Yes",NA())</f>
        <v>Yes</v>
      </c>
      <c r="U25" t="e">
        <f>IF(Table13[[#This Row],[Category All]]="Category 3", "Yes",NA())</f>
        <v>#N/A</v>
      </c>
      <c r="V25">
        <f>SUM(1,(1/3)*(Table13[[#This Row],[Length]]-0.5),(1/3)*(Table13[[#This Row],[Diameter]]-0.4),(1/3)*(Table13[[#This Row],[Height]]-0.4)*Table13[[#This Row],[Whole_weight]]*0.5)</f>
        <v>0.95690833333333336</v>
      </c>
      <c r="W25" cm="1">
        <f t="array" ref="W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0.76552666666666669</v>
      </c>
      <c r="X25" t="e">
        <f>IF(Table13[[#This Row],[Category All]]="Category 1",Table13[[#This Row],[Base Abalone Value]]*1.5,NA())</f>
        <v>#N/A</v>
      </c>
      <c r="Y25">
        <f>IF(Table13[[#This Row],[Category All]]="Category 2",Table13[[#This Row],[Base Abalone Value]]*0.8,NA())</f>
        <v>0.76552666666666669</v>
      </c>
      <c r="Z25" t="e">
        <f>IF(Table13[[#This Row],[Category All]]="Category 3",Table13[[#This Row],[Base Abalone Value]],NA())</f>
        <v>#N/A</v>
      </c>
      <c r="AA25" s="2">
        <f>IF(Table13[[#This Row],[Gender]]="M",Table13[[#This Row],[Whole_weight]],NA())</f>
        <v>0.42849999999999999</v>
      </c>
      <c r="AB25" s="2" t="e">
        <f>IF(Table13[[#This Row],[Gender]]="F",Table13[[#This Row],[Whole_weight]],NA())</f>
        <v>#N/A</v>
      </c>
      <c r="AC25" s="2" t="e">
        <f>IF(Table13[[#This Row],[Gender]]="I",Table13[[#This Row],[Whole_weight]],NA())</f>
        <v>#N/A</v>
      </c>
      <c r="AD25" s="2">
        <f>IF(Table13[[#This Row],[Gender]]="M",Table13[[#This Row],[Diameter]],NA())</f>
        <v>0.36</v>
      </c>
      <c r="AE25" s="2" t="e">
        <f>IF(Table13[[#This Row],[Gender]]="F",Table13[[#This Row],[Diameter]],NA())</f>
        <v>#N/A</v>
      </c>
      <c r="AF25" s="2" t="e">
        <f>IF(Table13[[#This Row],[Gender]]="I",Table13[[#This Row],[Diameter]],NA())</f>
        <v>#N/A</v>
      </c>
    </row>
    <row r="26" spans="1:32" x14ac:dyDescent="0.2">
      <c r="A26">
        <v>1035</v>
      </c>
      <c r="B26" t="s">
        <v>0</v>
      </c>
      <c r="C26">
        <v>0.65500000000000003</v>
      </c>
      <c r="D26">
        <v>0.46</v>
      </c>
      <c r="E26">
        <v>0.16</v>
      </c>
      <c r="F26">
        <v>1.494</v>
      </c>
      <c r="G26">
        <v>0.6895</v>
      </c>
      <c r="H26">
        <v>0.33100000000000002</v>
      </c>
      <c r="I26">
        <v>0.1825</v>
      </c>
      <c r="J26">
        <v>9</v>
      </c>
      <c r="K26">
        <v>1</v>
      </c>
      <c r="L26" t="s">
        <v>8</v>
      </c>
      <c r="M26" t="s">
        <v>9</v>
      </c>
      <c r="N26" t="s">
        <v>3</v>
      </c>
      <c r="O26">
        <v>8</v>
      </c>
      <c r="P26" t="s">
        <v>19</v>
      </c>
      <c r="Q26">
        <v>12.3</v>
      </c>
      <c r="R26" t="str" cm="1">
        <f t="array" ref="R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6" t="e">
        <f>IF(Table13[[#This Row],[Category All]]="Category 1", "Yes",NA())</f>
        <v>#N/A</v>
      </c>
      <c r="T26" t="e">
        <f>IF(Table13[[#This Row],[Category All]]="Category 2", "Yes",NA())</f>
        <v>#N/A</v>
      </c>
      <c r="U26" t="str">
        <f>IF(Table13[[#This Row],[Category All]]="Category 3", "Yes",NA())</f>
        <v>Yes</v>
      </c>
      <c r="V26">
        <f>SUM(1,(1/3)*(Table13[[#This Row],[Length]]-0.5),(1/3)*(Table13[[#This Row],[Diameter]]-0.4),(1/3)*(Table13[[#This Row],[Height]]-0.4)*Table13[[#This Row],[Whole_weight]]*0.5)</f>
        <v>1.0119066666666667</v>
      </c>
      <c r="W26" cm="1">
        <f t="array" ref="W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1.0119066666666667</v>
      </c>
      <c r="X26" t="e">
        <f>IF(Table13[[#This Row],[Category All]]="Category 1",Table13[[#This Row],[Base Abalone Value]]*1.5,NA())</f>
        <v>#N/A</v>
      </c>
      <c r="Y26" t="e">
        <f>IF(Table13[[#This Row],[Category All]]="Category 2",Table13[[#This Row],[Base Abalone Value]]*0.8,NA())</f>
        <v>#N/A</v>
      </c>
      <c r="Z26">
        <f>IF(Table13[[#This Row],[Category All]]="Category 3",Table13[[#This Row],[Base Abalone Value]],NA())</f>
        <v>1.0119066666666667</v>
      </c>
      <c r="AA26" s="2" t="e">
        <f>IF(Table13[[#This Row],[Gender]]="M",Table13[[#This Row],[Whole_weight]],NA())</f>
        <v>#N/A</v>
      </c>
      <c r="AB26" s="2">
        <f>IF(Table13[[#This Row],[Gender]]="F",Table13[[#This Row],[Whole_weight]],NA())</f>
        <v>1.494</v>
      </c>
      <c r="AC26" s="2" t="e">
        <f>IF(Table13[[#This Row],[Gender]]="I",Table13[[#This Row],[Whole_weight]],NA())</f>
        <v>#N/A</v>
      </c>
      <c r="AD26" s="2" t="e">
        <f>IF(Table13[[#This Row],[Gender]]="M",Table13[[#This Row],[Diameter]],NA())</f>
        <v>#N/A</v>
      </c>
      <c r="AE26" s="2">
        <f>IF(Table13[[#This Row],[Gender]]="F",Table13[[#This Row],[Diameter]],NA())</f>
        <v>0.46</v>
      </c>
      <c r="AF26" s="2" t="e">
        <f>IF(Table13[[#This Row],[Gender]]="I",Table13[[#This Row],[Diameter]],NA())</f>
        <v>#N/A</v>
      </c>
    </row>
    <row r="27" spans="1:32" x14ac:dyDescent="0.2">
      <c r="A27">
        <v>4165</v>
      </c>
      <c r="B27" t="s">
        <v>11</v>
      </c>
      <c r="C27">
        <v>0.39</v>
      </c>
      <c r="D27">
        <v>0.28999999999999998</v>
      </c>
      <c r="E27">
        <v>0.1</v>
      </c>
      <c r="F27">
        <v>0.28449999999999998</v>
      </c>
      <c r="G27">
        <v>0.1255</v>
      </c>
      <c r="H27">
        <v>6.3500000000000001E-2</v>
      </c>
      <c r="I27">
        <v>8.1000000000000003E-2</v>
      </c>
      <c r="J27">
        <v>7</v>
      </c>
      <c r="K27">
        <v>10</v>
      </c>
      <c r="L27" t="s">
        <v>16</v>
      </c>
      <c r="M27" t="s">
        <v>17</v>
      </c>
      <c r="N27" t="s">
        <v>18</v>
      </c>
      <c r="O27">
        <v>5</v>
      </c>
      <c r="P27" t="s">
        <v>14</v>
      </c>
      <c r="Q27">
        <v>12.8</v>
      </c>
      <c r="R27" t="str" cm="1">
        <f t="array" ref="R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7" t="e">
        <f>IF(Table13[[#This Row],[Category All]]="Category 1", "Yes",NA())</f>
        <v>#N/A</v>
      </c>
      <c r="T27" t="str">
        <f>IF(Table13[[#This Row],[Category All]]="Category 2", "Yes",NA())</f>
        <v>Yes</v>
      </c>
      <c r="U27" t="e">
        <f>IF(Table13[[#This Row],[Category All]]="Category 3", "Yes",NA())</f>
        <v>#N/A</v>
      </c>
      <c r="V27">
        <f>SUM(1,(1/3)*(Table13[[#This Row],[Length]]-0.5),(1/3)*(Table13[[#This Row],[Diameter]]-0.4),(1/3)*(Table13[[#This Row],[Height]]-0.4)*Table13[[#This Row],[Whole_weight]]*0.5)</f>
        <v>0.91244166666666671</v>
      </c>
      <c r="W27" cm="1">
        <f t="array" ref="W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0.72995333333333345</v>
      </c>
      <c r="X27" t="e">
        <f>IF(Table13[[#This Row],[Category All]]="Category 1",Table13[[#This Row],[Base Abalone Value]]*1.5,NA())</f>
        <v>#N/A</v>
      </c>
      <c r="Y27">
        <f>IF(Table13[[#This Row],[Category All]]="Category 2",Table13[[#This Row],[Base Abalone Value]]*0.8,NA())</f>
        <v>0.72995333333333345</v>
      </c>
      <c r="Z27" t="e">
        <f>IF(Table13[[#This Row],[Category All]]="Category 3",Table13[[#This Row],[Base Abalone Value]],NA())</f>
        <v>#N/A</v>
      </c>
      <c r="AA27" s="2" t="e">
        <f>IF(Table13[[#This Row],[Gender]]="M",Table13[[#This Row],[Whole_weight]],NA())</f>
        <v>#N/A</v>
      </c>
      <c r="AB27" s="2" t="e">
        <f>IF(Table13[[#This Row],[Gender]]="F",Table13[[#This Row],[Whole_weight]],NA())</f>
        <v>#N/A</v>
      </c>
      <c r="AC27" s="2">
        <f>IF(Table13[[#This Row],[Gender]]="I",Table13[[#This Row],[Whole_weight]],NA())</f>
        <v>0.28449999999999998</v>
      </c>
      <c r="AD27" s="2" t="e">
        <f>IF(Table13[[#This Row],[Gender]]="M",Table13[[#This Row],[Diameter]],NA())</f>
        <v>#N/A</v>
      </c>
      <c r="AE27" s="2" t="e">
        <f>IF(Table13[[#This Row],[Gender]]="F",Table13[[#This Row],[Diameter]],NA())</f>
        <v>#N/A</v>
      </c>
      <c r="AF27" s="2">
        <f>IF(Table13[[#This Row],[Gender]]="I",Table13[[#This Row],[Diameter]],NA())</f>
        <v>0.28999999999999998</v>
      </c>
    </row>
    <row r="28" spans="1:32" x14ac:dyDescent="0.2">
      <c r="A28">
        <v>2818</v>
      </c>
      <c r="B28" t="s">
        <v>11</v>
      </c>
      <c r="C28">
        <v>0.33</v>
      </c>
      <c r="D28">
        <v>0.22500000000000001</v>
      </c>
      <c r="E28">
        <v>7.4999999999999997E-2</v>
      </c>
      <c r="F28">
        <v>0.187</v>
      </c>
      <c r="G28">
        <v>9.4500000000000001E-2</v>
      </c>
      <c r="H28">
        <v>3.95E-2</v>
      </c>
      <c r="I28">
        <v>4.2500000000000003E-2</v>
      </c>
      <c r="J28">
        <v>7</v>
      </c>
      <c r="K28">
        <v>1</v>
      </c>
      <c r="L28" t="s">
        <v>8</v>
      </c>
      <c r="M28" t="s">
        <v>9</v>
      </c>
      <c r="N28" t="s">
        <v>3</v>
      </c>
      <c r="O28">
        <v>8</v>
      </c>
      <c r="P28" t="s">
        <v>19</v>
      </c>
      <c r="Q28">
        <v>12.3</v>
      </c>
      <c r="R28" t="str" cm="1">
        <f t="array" ref="R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8" t="e">
        <f>IF(Table13[[#This Row],[Category All]]="Category 1", "Yes",NA())</f>
        <v>#N/A</v>
      </c>
      <c r="T28" t="str">
        <f>IF(Table13[[#This Row],[Category All]]="Category 2", "Yes",NA())</f>
        <v>Yes</v>
      </c>
      <c r="U28" t="e">
        <f>IF(Table13[[#This Row],[Category All]]="Category 3", "Yes",NA())</f>
        <v>#N/A</v>
      </c>
      <c r="V28">
        <f>SUM(1,(1/3)*(Table13[[#This Row],[Length]]-0.5),(1/3)*(Table13[[#This Row],[Diameter]]-0.4),(1/3)*(Table13[[#This Row],[Height]]-0.4)*Table13[[#This Row],[Whole_weight]]*0.5)</f>
        <v>0.87487083333333338</v>
      </c>
      <c r="W28" cm="1">
        <f t="array" ref="W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0.69989666666666672</v>
      </c>
      <c r="X28" t="e">
        <f>IF(Table13[[#This Row],[Category All]]="Category 1",Table13[[#This Row],[Base Abalone Value]]*1.5,NA())</f>
        <v>#N/A</v>
      </c>
      <c r="Y28">
        <f>IF(Table13[[#This Row],[Category All]]="Category 2",Table13[[#This Row],[Base Abalone Value]]*0.8,NA())</f>
        <v>0.69989666666666672</v>
      </c>
      <c r="Z28" t="e">
        <f>IF(Table13[[#This Row],[Category All]]="Category 3",Table13[[#This Row],[Base Abalone Value]],NA())</f>
        <v>#N/A</v>
      </c>
      <c r="AA28" s="2" t="e">
        <f>IF(Table13[[#This Row],[Gender]]="M",Table13[[#This Row],[Whole_weight]],NA())</f>
        <v>#N/A</v>
      </c>
      <c r="AB28" s="2" t="e">
        <f>IF(Table13[[#This Row],[Gender]]="F",Table13[[#This Row],[Whole_weight]],NA())</f>
        <v>#N/A</v>
      </c>
      <c r="AC28" s="2">
        <f>IF(Table13[[#This Row],[Gender]]="I",Table13[[#This Row],[Whole_weight]],NA())</f>
        <v>0.187</v>
      </c>
      <c r="AD28" s="2" t="e">
        <f>IF(Table13[[#This Row],[Gender]]="M",Table13[[#This Row],[Diameter]],NA())</f>
        <v>#N/A</v>
      </c>
      <c r="AE28" s="2" t="e">
        <f>IF(Table13[[#This Row],[Gender]]="F",Table13[[#This Row],[Diameter]],NA())</f>
        <v>#N/A</v>
      </c>
      <c r="AF28" s="2">
        <f>IF(Table13[[#This Row],[Gender]]="I",Table13[[#This Row],[Diameter]],NA())</f>
        <v>0.22500000000000001</v>
      </c>
    </row>
    <row r="29" spans="1:32" x14ac:dyDescent="0.2">
      <c r="A29">
        <v>1274</v>
      </c>
      <c r="B29" t="s">
        <v>11</v>
      </c>
      <c r="C29">
        <v>0.47499999999999998</v>
      </c>
      <c r="D29">
        <v>0.38</v>
      </c>
      <c r="E29">
        <v>0.12</v>
      </c>
      <c r="F29">
        <v>0.441</v>
      </c>
      <c r="G29">
        <v>0.17849999999999999</v>
      </c>
      <c r="H29">
        <v>8.8499999999999995E-2</v>
      </c>
      <c r="I29">
        <v>0.15049999999999999</v>
      </c>
      <c r="J29">
        <v>8</v>
      </c>
      <c r="K29">
        <v>3</v>
      </c>
      <c r="L29" t="s">
        <v>43</v>
      </c>
      <c r="M29" t="s">
        <v>44</v>
      </c>
      <c r="N29" t="s">
        <v>45</v>
      </c>
      <c r="O29">
        <v>8</v>
      </c>
      <c r="P29" t="s">
        <v>19</v>
      </c>
      <c r="Q29">
        <v>12.3</v>
      </c>
      <c r="R29" t="str" cm="1">
        <f t="array" ref="R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9" t="e">
        <f>IF(Table13[[#This Row],[Category All]]="Category 1", "Yes",NA())</f>
        <v>#N/A</v>
      </c>
      <c r="T29" t="str">
        <f>IF(Table13[[#This Row],[Category All]]="Category 2", "Yes",NA())</f>
        <v>Yes</v>
      </c>
      <c r="U29" t="e">
        <f>IF(Table13[[#This Row],[Category All]]="Category 3", "Yes",NA())</f>
        <v>#N/A</v>
      </c>
      <c r="V29">
        <f>SUM(1,(1/3)*(Table13[[#This Row],[Length]]-0.5),(1/3)*(Table13[[#This Row],[Diameter]]-0.4),(1/3)*(Table13[[#This Row],[Height]]-0.4)*Table13[[#This Row],[Whole_weight]]*0.5)</f>
        <v>0.96441999999999994</v>
      </c>
      <c r="W29" cm="1">
        <f t="array" ref="W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0.771536</v>
      </c>
      <c r="X29" t="e">
        <f>IF(Table13[[#This Row],[Category All]]="Category 1",Table13[[#This Row],[Base Abalone Value]]*1.5,NA())</f>
        <v>#N/A</v>
      </c>
      <c r="Y29">
        <f>IF(Table13[[#This Row],[Category All]]="Category 2",Table13[[#This Row],[Base Abalone Value]]*0.8,NA())</f>
        <v>0.771536</v>
      </c>
      <c r="Z29" t="e">
        <f>IF(Table13[[#This Row],[Category All]]="Category 3",Table13[[#This Row],[Base Abalone Value]],NA())</f>
        <v>#N/A</v>
      </c>
      <c r="AA29" s="2" t="e">
        <f>IF(Table13[[#This Row],[Gender]]="M",Table13[[#This Row],[Whole_weight]],NA())</f>
        <v>#N/A</v>
      </c>
      <c r="AB29" s="2" t="e">
        <f>IF(Table13[[#This Row],[Gender]]="F",Table13[[#This Row],[Whole_weight]],NA())</f>
        <v>#N/A</v>
      </c>
      <c r="AC29" s="2">
        <f>IF(Table13[[#This Row],[Gender]]="I",Table13[[#This Row],[Whole_weight]],NA())</f>
        <v>0.441</v>
      </c>
      <c r="AD29" s="2" t="e">
        <f>IF(Table13[[#This Row],[Gender]]="M",Table13[[#This Row],[Diameter]],NA())</f>
        <v>#N/A</v>
      </c>
      <c r="AE29" s="2" t="e">
        <f>IF(Table13[[#This Row],[Gender]]="F",Table13[[#This Row],[Diameter]],NA())</f>
        <v>#N/A</v>
      </c>
      <c r="AF29" s="2">
        <f>IF(Table13[[#This Row],[Gender]]="I",Table13[[#This Row],[Diameter]],NA())</f>
        <v>0.38</v>
      </c>
    </row>
    <row r="30" spans="1:32" x14ac:dyDescent="0.2">
      <c r="A30">
        <v>386</v>
      </c>
      <c r="B30" t="s">
        <v>0</v>
      </c>
      <c r="C30">
        <v>0.45500000000000002</v>
      </c>
      <c r="D30">
        <v>0.37</v>
      </c>
      <c r="E30">
        <v>0.105</v>
      </c>
      <c r="F30">
        <v>0.49249999999999999</v>
      </c>
      <c r="G30">
        <v>0.216</v>
      </c>
      <c r="H30">
        <v>0.1245</v>
      </c>
      <c r="I30">
        <v>0.13500000000000001</v>
      </c>
      <c r="J30">
        <v>9</v>
      </c>
      <c r="K30">
        <v>10</v>
      </c>
      <c r="L30" t="s">
        <v>16</v>
      </c>
      <c r="M30" t="s">
        <v>17</v>
      </c>
      <c r="N30" t="s">
        <v>18</v>
      </c>
      <c r="O30">
        <v>7</v>
      </c>
      <c r="P30" t="s">
        <v>42</v>
      </c>
      <c r="Q30">
        <v>2.5</v>
      </c>
      <c r="R30" t="str" cm="1">
        <f t="array" ref="R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" t="e">
        <f>IF(Table13[[#This Row],[Category All]]="Category 1", "Yes",NA())</f>
        <v>#N/A</v>
      </c>
      <c r="T30" t="str">
        <f>IF(Table13[[#This Row],[Category All]]="Category 2", "Yes",NA())</f>
        <v>Yes</v>
      </c>
      <c r="U30" t="e">
        <f>IF(Table13[[#This Row],[Category All]]="Category 3", "Yes",NA())</f>
        <v>#N/A</v>
      </c>
      <c r="V30">
        <f>SUM(1,(1/3)*(Table13[[#This Row],[Length]]-0.5),(1/3)*(Table13[[#This Row],[Diameter]]-0.4),(1/3)*(Table13[[#This Row],[Height]]-0.4)*Table13[[#This Row],[Whole_weight]]*0.5)</f>
        <v>0.95078541666666661</v>
      </c>
      <c r="W30" cm="1">
        <f t="array" ref="W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0.76062833333333335</v>
      </c>
      <c r="X30" t="e">
        <f>IF(Table13[[#This Row],[Category All]]="Category 1",Table13[[#This Row],[Base Abalone Value]]*1.5,NA())</f>
        <v>#N/A</v>
      </c>
      <c r="Y30">
        <f>IF(Table13[[#This Row],[Category All]]="Category 2",Table13[[#This Row],[Base Abalone Value]]*0.8,NA())</f>
        <v>0.76062833333333335</v>
      </c>
      <c r="Z30" t="e">
        <f>IF(Table13[[#This Row],[Category All]]="Category 3",Table13[[#This Row],[Base Abalone Value]],NA())</f>
        <v>#N/A</v>
      </c>
      <c r="AA30" s="2" t="e">
        <f>IF(Table13[[#This Row],[Gender]]="M",Table13[[#This Row],[Whole_weight]],NA())</f>
        <v>#N/A</v>
      </c>
      <c r="AB30" s="2">
        <f>IF(Table13[[#This Row],[Gender]]="F",Table13[[#This Row],[Whole_weight]],NA())</f>
        <v>0.49249999999999999</v>
      </c>
      <c r="AC30" s="2" t="e">
        <f>IF(Table13[[#This Row],[Gender]]="I",Table13[[#This Row],[Whole_weight]],NA())</f>
        <v>#N/A</v>
      </c>
      <c r="AD30" s="2" t="e">
        <f>IF(Table13[[#This Row],[Gender]]="M",Table13[[#This Row],[Diameter]],NA())</f>
        <v>#N/A</v>
      </c>
      <c r="AE30" s="2">
        <f>IF(Table13[[#This Row],[Gender]]="F",Table13[[#This Row],[Diameter]],NA())</f>
        <v>0.37</v>
      </c>
      <c r="AF30" s="2" t="e">
        <f>IF(Table13[[#This Row],[Gender]]="I",Table13[[#This Row],[Diameter]],NA())</f>
        <v>#N/A</v>
      </c>
    </row>
    <row r="31" spans="1:32" x14ac:dyDescent="0.2">
      <c r="A31">
        <v>3488</v>
      </c>
      <c r="B31" t="s">
        <v>11</v>
      </c>
      <c r="C31">
        <v>0.51</v>
      </c>
      <c r="D31">
        <v>0.40500000000000003</v>
      </c>
      <c r="E31">
        <v>0.13</v>
      </c>
      <c r="F31">
        <v>0.59899999999999998</v>
      </c>
      <c r="G31">
        <v>0.30649999999999999</v>
      </c>
      <c r="H31">
        <v>0.11550000000000001</v>
      </c>
      <c r="I31">
        <v>0.14849999999999999</v>
      </c>
      <c r="J31">
        <v>8</v>
      </c>
      <c r="K31">
        <v>10</v>
      </c>
      <c r="L31" t="s">
        <v>16</v>
      </c>
      <c r="M31" t="s">
        <v>17</v>
      </c>
      <c r="N31" t="s">
        <v>18</v>
      </c>
      <c r="O31">
        <v>9</v>
      </c>
      <c r="P31" t="s">
        <v>46</v>
      </c>
      <c r="Q31">
        <v>1.9</v>
      </c>
      <c r="R31" t="str" cm="1">
        <f t="array" ref="R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" t="e">
        <f>IF(Table13[[#This Row],[Category All]]="Category 1", "Yes",NA())</f>
        <v>#N/A</v>
      </c>
      <c r="T31" t="str">
        <f>IF(Table13[[#This Row],[Category All]]="Category 2", "Yes",NA())</f>
        <v>Yes</v>
      </c>
      <c r="U31" t="e">
        <f>IF(Table13[[#This Row],[Category All]]="Category 3", "Yes",NA())</f>
        <v>#N/A</v>
      </c>
      <c r="V31">
        <f>SUM(1,(1/3)*(Table13[[#This Row],[Length]]-0.5),(1/3)*(Table13[[#This Row],[Diameter]]-0.4),(1/3)*(Table13[[#This Row],[Height]]-0.4)*Table13[[#This Row],[Whole_weight]]*0.5)</f>
        <v>0.97804500000000016</v>
      </c>
      <c r="W31" cm="1">
        <f t="array" ref="W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0.78243600000000013</v>
      </c>
      <c r="X31" t="e">
        <f>IF(Table13[[#This Row],[Category All]]="Category 1",Table13[[#This Row],[Base Abalone Value]]*1.5,NA())</f>
        <v>#N/A</v>
      </c>
      <c r="Y31">
        <f>IF(Table13[[#This Row],[Category All]]="Category 2",Table13[[#This Row],[Base Abalone Value]]*0.8,NA())</f>
        <v>0.78243600000000013</v>
      </c>
      <c r="Z31" t="e">
        <f>IF(Table13[[#This Row],[Category All]]="Category 3",Table13[[#This Row],[Base Abalone Value]],NA())</f>
        <v>#N/A</v>
      </c>
      <c r="AA31" s="2" t="e">
        <f>IF(Table13[[#This Row],[Gender]]="M",Table13[[#This Row],[Whole_weight]],NA())</f>
        <v>#N/A</v>
      </c>
      <c r="AB31" s="2" t="e">
        <f>IF(Table13[[#This Row],[Gender]]="F",Table13[[#This Row],[Whole_weight]],NA())</f>
        <v>#N/A</v>
      </c>
      <c r="AC31" s="2">
        <f>IF(Table13[[#This Row],[Gender]]="I",Table13[[#This Row],[Whole_weight]],NA())</f>
        <v>0.59899999999999998</v>
      </c>
      <c r="AD31" s="2" t="e">
        <f>IF(Table13[[#This Row],[Gender]]="M",Table13[[#This Row],[Diameter]],NA())</f>
        <v>#N/A</v>
      </c>
      <c r="AE31" s="2" t="e">
        <f>IF(Table13[[#This Row],[Gender]]="F",Table13[[#This Row],[Diameter]],NA())</f>
        <v>#N/A</v>
      </c>
      <c r="AF31" s="2">
        <f>IF(Table13[[#This Row],[Gender]]="I",Table13[[#This Row],[Diameter]],NA())</f>
        <v>0.40500000000000003</v>
      </c>
    </row>
    <row r="32" spans="1:32" x14ac:dyDescent="0.2">
      <c r="A32">
        <v>3526</v>
      </c>
      <c r="B32" t="s">
        <v>11</v>
      </c>
      <c r="C32">
        <v>0.33</v>
      </c>
      <c r="D32">
        <v>0.23</v>
      </c>
      <c r="E32">
        <v>8.5000000000000006E-2</v>
      </c>
      <c r="F32">
        <v>0.16950000000000001</v>
      </c>
      <c r="G32">
        <v>7.9000000000000001E-2</v>
      </c>
      <c r="H32">
        <v>2.5999999999999999E-2</v>
      </c>
      <c r="I32">
        <v>5.0500000000000003E-2</v>
      </c>
      <c r="J32">
        <v>6</v>
      </c>
      <c r="K32">
        <v>5</v>
      </c>
      <c r="L32" t="s">
        <v>26</v>
      </c>
      <c r="M32" t="s">
        <v>27</v>
      </c>
      <c r="N32" t="s">
        <v>28</v>
      </c>
      <c r="O32">
        <v>3</v>
      </c>
      <c r="P32" t="s">
        <v>48</v>
      </c>
      <c r="Q32">
        <v>3.6</v>
      </c>
      <c r="R32" t="str" cm="1">
        <f t="array" ref="R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" t="e">
        <f>IF(Table13[[#This Row],[Category All]]="Category 1", "Yes",NA())</f>
        <v>#N/A</v>
      </c>
      <c r="T32" t="str">
        <f>IF(Table13[[#This Row],[Category All]]="Category 2", "Yes",NA())</f>
        <v>Yes</v>
      </c>
      <c r="U32" t="e">
        <f>IF(Table13[[#This Row],[Category All]]="Category 3", "Yes",NA())</f>
        <v>#N/A</v>
      </c>
      <c r="V32">
        <f>SUM(1,(1/3)*(Table13[[#This Row],[Length]]-0.5),(1/3)*(Table13[[#This Row],[Diameter]]-0.4),(1/3)*(Table13[[#This Row],[Height]]-0.4)*Table13[[#This Row],[Whole_weight]]*0.5)</f>
        <v>0.87776791666666676</v>
      </c>
      <c r="W32" cm="1">
        <f t="array" ref="W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0.7022143333333335</v>
      </c>
      <c r="X32" t="e">
        <f>IF(Table13[[#This Row],[Category All]]="Category 1",Table13[[#This Row],[Base Abalone Value]]*1.5,NA())</f>
        <v>#N/A</v>
      </c>
      <c r="Y32">
        <f>IF(Table13[[#This Row],[Category All]]="Category 2",Table13[[#This Row],[Base Abalone Value]]*0.8,NA())</f>
        <v>0.7022143333333335</v>
      </c>
      <c r="Z32" t="e">
        <f>IF(Table13[[#This Row],[Category All]]="Category 3",Table13[[#This Row],[Base Abalone Value]],NA())</f>
        <v>#N/A</v>
      </c>
      <c r="AA32" s="2" t="e">
        <f>IF(Table13[[#This Row],[Gender]]="M",Table13[[#This Row],[Whole_weight]],NA())</f>
        <v>#N/A</v>
      </c>
      <c r="AB32" s="2" t="e">
        <f>IF(Table13[[#This Row],[Gender]]="F",Table13[[#This Row],[Whole_weight]],NA())</f>
        <v>#N/A</v>
      </c>
      <c r="AC32" s="2">
        <f>IF(Table13[[#This Row],[Gender]]="I",Table13[[#This Row],[Whole_weight]],NA())</f>
        <v>0.16950000000000001</v>
      </c>
      <c r="AD32" s="2" t="e">
        <f>IF(Table13[[#This Row],[Gender]]="M",Table13[[#This Row],[Diameter]],NA())</f>
        <v>#N/A</v>
      </c>
      <c r="AE32" s="2" t="e">
        <f>IF(Table13[[#This Row],[Gender]]="F",Table13[[#This Row],[Diameter]],NA())</f>
        <v>#N/A</v>
      </c>
      <c r="AF32" s="2">
        <f>IF(Table13[[#This Row],[Gender]]="I",Table13[[#This Row],[Diameter]],NA())</f>
        <v>0.23</v>
      </c>
    </row>
    <row r="33" spans="1:32" x14ac:dyDescent="0.2">
      <c r="A33">
        <v>3412</v>
      </c>
      <c r="B33" t="s">
        <v>11</v>
      </c>
      <c r="C33">
        <v>0.43</v>
      </c>
      <c r="D33">
        <v>0.32</v>
      </c>
      <c r="E33">
        <v>0.1</v>
      </c>
      <c r="F33">
        <v>0.38550000000000001</v>
      </c>
      <c r="G33">
        <v>0.192</v>
      </c>
      <c r="H33">
        <v>7.4499999999999997E-2</v>
      </c>
      <c r="I33">
        <v>0.1</v>
      </c>
      <c r="J33">
        <v>7</v>
      </c>
      <c r="K33">
        <v>11</v>
      </c>
      <c r="L33" t="s">
        <v>5</v>
      </c>
      <c r="M33" t="s">
        <v>6</v>
      </c>
      <c r="N33" t="s">
        <v>3</v>
      </c>
      <c r="O33">
        <v>6</v>
      </c>
      <c r="P33" t="s">
        <v>47</v>
      </c>
      <c r="Q33">
        <v>14.1</v>
      </c>
      <c r="R33" t="str" cm="1">
        <f t="array" ref="R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3" t="e">
        <f>IF(Table13[[#This Row],[Category All]]="Category 1", "Yes",NA())</f>
        <v>#N/A</v>
      </c>
      <c r="T33" t="str">
        <f>IF(Table13[[#This Row],[Category All]]="Category 2", "Yes",NA())</f>
        <v>Yes</v>
      </c>
      <c r="U33" t="e">
        <f>IF(Table13[[#This Row],[Category All]]="Category 3", "Yes",NA())</f>
        <v>#N/A</v>
      </c>
      <c r="V33">
        <f>SUM(1,(1/3)*(Table13[[#This Row],[Length]]-0.5),(1/3)*(Table13[[#This Row],[Diameter]]-0.4),(1/3)*(Table13[[#This Row],[Height]]-0.4)*Table13[[#This Row],[Whole_weight]]*0.5)</f>
        <v>0.93072499999999991</v>
      </c>
      <c r="W33" cm="1">
        <f t="array" ref="W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0.74458000000000002</v>
      </c>
      <c r="X33" t="e">
        <f>IF(Table13[[#This Row],[Category All]]="Category 1",Table13[[#This Row],[Base Abalone Value]]*1.5,NA())</f>
        <v>#N/A</v>
      </c>
      <c r="Y33">
        <f>IF(Table13[[#This Row],[Category All]]="Category 2",Table13[[#This Row],[Base Abalone Value]]*0.8,NA())</f>
        <v>0.74458000000000002</v>
      </c>
      <c r="Z33" t="e">
        <f>IF(Table13[[#This Row],[Category All]]="Category 3",Table13[[#This Row],[Base Abalone Value]],NA())</f>
        <v>#N/A</v>
      </c>
      <c r="AA33" s="2" t="e">
        <f>IF(Table13[[#This Row],[Gender]]="M",Table13[[#This Row],[Whole_weight]],NA())</f>
        <v>#N/A</v>
      </c>
      <c r="AB33" s="2" t="e">
        <f>IF(Table13[[#This Row],[Gender]]="F",Table13[[#This Row],[Whole_weight]],NA())</f>
        <v>#N/A</v>
      </c>
      <c r="AC33" s="2">
        <f>IF(Table13[[#This Row],[Gender]]="I",Table13[[#This Row],[Whole_weight]],NA())</f>
        <v>0.38550000000000001</v>
      </c>
      <c r="AD33" s="2" t="e">
        <f>IF(Table13[[#This Row],[Gender]]="M",Table13[[#This Row],[Diameter]],NA())</f>
        <v>#N/A</v>
      </c>
      <c r="AE33" s="2" t="e">
        <f>IF(Table13[[#This Row],[Gender]]="F",Table13[[#This Row],[Diameter]],NA())</f>
        <v>#N/A</v>
      </c>
      <c r="AF33" s="2">
        <f>IF(Table13[[#This Row],[Gender]]="I",Table13[[#This Row],[Diameter]],NA())</f>
        <v>0.32</v>
      </c>
    </row>
    <row r="34" spans="1:32" x14ac:dyDescent="0.2">
      <c r="A34">
        <v>1075</v>
      </c>
      <c r="B34" t="s">
        <v>11</v>
      </c>
      <c r="C34">
        <v>0.41</v>
      </c>
      <c r="D34">
        <v>0.3</v>
      </c>
      <c r="E34">
        <v>0.1</v>
      </c>
      <c r="F34">
        <v>0.28199999999999997</v>
      </c>
      <c r="G34">
        <v>0.1255</v>
      </c>
      <c r="H34">
        <v>5.7000000000000002E-2</v>
      </c>
      <c r="I34">
        <v>8.7499999999999994E-2</v>
      </c>
      <c r="J34">
        <v>7</v>
      </c>
      <c r="K34">
        <v>12</v>
      </c>
      <c r="L34" t="s">
        <v>1</v>
      </c>
      <c r="M34" t="s">
        <v>2</v>
      </c>
      <c r="N34" t="s">
        <v>3</v>
      </c>
      <c r="O34">
        <v>1</v>
      </c>
      <c r="P34" t="s">
        <v>4</v>
      </c>
      <c r="Q34">
        <v>22.1</v>
      </c>
      <c r="R34" t="str" cm="1">
        <f t="array" ref="R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4" t="e">
        <f>IF(Table13[[#This Row],[Category All]]="Category 1", "Yes",NA())</f>
        <v>#N/A</v>
      </c>
      <c r="T34" t="str">
        <f>IF(Table13[[#This Row],[Category All]]="Category 2", "Yes",NA())</f>
        <v>Yes</v>
      </c>
      <c r="U34" t="e">
        <f>IF(Table13[[#This Row],[Category All]]="Category 3", "Yes",NA())</f>
        <v>#N/A</v>
      </c>
      <c r="V34">
        <f>SUM(1,(1/3)*(Table13[[#This Row],[Length]]-0.5),(1/3)*(Table13[[#This Row],[Diameter]]-0.4),(1/3)*(Table13[[#This Row],[Height]]-0.4)*Table13[[#This Row],[Whole_weight]]*0.5)</f>
        <v>0.92256666666666665</v>
      </c>
      <c r="W34" cm="1">
        <f t="array" ref="W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0.73805333333333334</v>
      </c>
      <c r="X34" t="e">
        <f>IF(Table13[[#This Row],[Category All]]="Category 1",Table13[[#This Row],[Base Abalone Value]]*1.5,NA())</f>
        <v>#N/A</v>
      </c>
      <c r="Y34">
        <f>IF(Table13[[#This Row],[Category All]]="Category 2",Table13[[#This Row],[Base Abalone Value]]*0.8,NA())</f>
        <v>0.73805333333333334</v>
      </c>
      <c r="Z34" t="e">
        <f>IF(Table13[[#This Row],[Category All]]="Category 3",Table13[[#This Row],[Base Abalone Value]],NA())</f>
        <v>#N/A</v>
      </c>
      <c r="AA34" s="2" t="e">
        <f>IF(Table13[[#This Row],[Gender]]="M",Table13[[#This Row],[Whole_weight]],NA())</f>
        <v>#N/A</v>
      </c>
      <c r="AB34" s="2" t="e">
        <f>IF(Table13[[#This Row],[Gender]]="F",Table13[[#This Row],[Whole_weight]],NA())</f>
        <v>#N/A</v>
      </c>
      <c r="AC34" s="2">
        <f>IF(Table13[[#This Row],[Gender]]="I",Table13[[#This Row],[Whole_weight]],NA())</f>
        <v>0.28199999999999997</v>
      </c>
      <c r="AD34" s="2" t="e">
        <f>IF(Table13[[#This Row],[Gender]]="M",Table13[[#This Row],[Diameter]],NA())</f>
        <v>#N/A</v>
      </c>
      <c r="AE34" s="2" t="e">
        <f>IF(Table13[[#This Row],[Gender]]="F",Table13[[#This Row],[Diameter]],NA())</f>
        <v>#N/A</v>
      </c>
      <c r="AF34" s="2">
        <f>IF(Table13[[#This Row],[Gender]]="I",Table13[[#This Row],[Diameter]],NA())</f>
        <v>0.3</v>
      </c>
    </row>
    <row r="35" spans="1:32" x14ac:dyDescent="0.2">
      <c r="A35">
        <v>426</v>
      </c>
      <c r="B35" t="s">
        <v>15</v>
      </c>
      <c r="C35">
        <v>0.57999999999999996</v>
      </c>
      <c r="D35">
        <v>0.45</v>
      </c>
      <c r="E35">
        <v>0.17499999999999999</v>
      </c>
      <c r="F35">
        <v>1.0680000000000001</v>
      </c>
      <c r="G35">
        <v>0.42499999999999999</v>
      </c>
      <c r="H35">
        <v>0.20300000000000001</v>
      </c>
      <c r="I35">
        <v>0.32</v>
      </c>
      <c r="J35">
        <v>13</v>
      </c>
      <c r="K35">
        <v>11</v>
      </c>
      <c r="L35" t="s">
        <v>5</v>
      </c>
      <c r="M35" t="s">
        <v>6</v>
      </c>
      <c r="N35" t="s">
        <v>3</v>
      </c>
      <c r="O35">
        <v>3</v>
      </c>
      <c r="P35" t="s">
        <v>48</v>
      </c>
      <c r="Q35">
        <v>3.6</v>
      </c>
      <c r="R35" t="str" cm="1">
        <f t="array" ref="R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5" t="e">
        <f>IF(Table13[[#This Row],[Category All]]="Category 1", "Yes",NA())</f>
        <v>#N/A</v>
      </c>
      <c r="T35" t="e">
        <f>IF(Table13[[#This Row],[Category All]]="Category 2", "Yes",NA())</f>
        <v>#N/A</v>
      </c>
      <c r="U35" t="str">
        <f>IF(Table13[[#This Row],[Category All]]="Category 3", "Yes",NA())</f>
        <v>Yes</v>
      </c>
      <c r="V35">
        <f>SUM(1,(1/3)*(Table13[[#This Row],[Length]]-0.5),(1/3)*(Table13[[#This Row],[Diameter]]-0.4),(1/3)*(Table13[[#This Row],[Height]]-0.4)*Table13[[#This Row],[Whole_weight]]*0.5)</f>
        <v>1.0032833333333333</v>
      </c>
      <c r="W35" cm="1">
        <f t="array" ref="W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1.0032833333333333</v>
      </c>
      <c r="X35" t="e">
        <f>IF(Table13[[#This Row],[Category All]]="Category 1",Table13[[#This Row],[Base Abalone Value]]*1.5,NA())</f>
        <v>#N/A</v>
      </c>
      <c r="Y35" t="e">
        <f>IF(Table13[[#This Row],[Category All]]="Category 2",Table13[[#This Row],[Base Abalone Value]]*0.8,NA())</f>
        <v>#N/A</v>
      </c>
      <c r="Z35">
        <f>IF(Table13[[#This Row],[Category All]]="Category 3",Table13[[#This Row],[Base Abalone Value]],NA())</f>
        <v>1.0032833333333333</v>
      </c>
      <c r="AA35" s="2">
        <f>IF(Table13[[#This Row],[Gender]]="M",Table13[[#This Row],[Whole_weight]],NA())</f>
        <v>1.0680000000000001</v>
      </c>
      <c r="AB35" s="2" t="e">
        <f>IF(Table13[[#This Row],[Gender]]="F",Table13[[#This Row],[Whole_weight]],NA())</f>
        <v>#N/A</v>
      </c>
      <c r="AC35" s="2" t="e">
        <f>IF(Table13[[#This Row],[Gender]]="I",Table13[[#This Row],[Whole_weight]],NA())</f>
        <v>#N/A</v>
      </c>
      <c r="AD35" s="2">
        <f>IF(Table13[[#This Row],[Gender]]="M",Table13[[#This Row],[Diameter]],NA())</f>
        <v>0.45</v>
      </c>
      <c r="AE35" s="2" t="e">
        <f>IF(Table13[[#This Row],[Gender]]="F",Table13[[#This Row],[Diameter]],NA())</f>
        <v>#N/A</v>
      </c>
      <c r="AF35" s="2" t="e">
        <f>IF(Table13[[#This Row],[Gender]]="I",Table13[[#This Row],[Diameter]],NA())</f>
        <v>#N/A</v>
      </c>
    </row>
    <row r="36" spans="1:32" x14ac:dyDescent="0.2">
      <c r="A36">
        <v>3722</v>
      </c>
      <c r="B36" t="s">
        <v>15</v>
      </c>
      <c r="C36">
        <v>0.43</v>
      </c>
      <c r="D36">
        <v>0.31</v>
      </c>
      <c r="E36">
        <v>0.13</v>
      </c>
      <c r="F36">
        <v>0.64849999999999997</v>
      </c>
      <c r="G36">
        <v>0.27350000000000002</v>
      </c>
      <c r="H36">
        <v>0.16300000000000001</v>
      </c>
      <c r="I36">
        <v>0.184</v>
      </c>
      <c r="J36">
        <v>9</v>
      </c>
      <c r="K36">
        <v>15</v>
      </c>
      <c r="L36" t="s">
        <v>49</v>
      </c>
      <c r="M36" t="s">
        <v>50</v>
      </c>
      <c r="N36" t="s">
        <v>3</v>
      </c>
      <c r="O36">
        <v>10</v>
      </c>
      <c r="P36" t="s">
        <v>38</v>
      </c>
      <c r="Q36">
        <v>24.1</v>
      </c>
      <c r="R36" t="str" cm="1">
        <f t="array" ref="R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6" t="e">
        <f>IF(Table13[[#This Row],[Category All]]="Category 1", "Yes",NA())</f>
        <v>#N/A</v>
      </c>
      <c r="T36" t="str">
        <f>IF(Table13[[#This Row],[Category All]]="Category 2", "Yes",NA())</f>
        <v>Yes</v>
      </c>
      <c r="U36" t="e">
        <f>IF(Table13[[#This Row],[Category All]]="Category 3", "Yes",NA())</f>
        <v>#N/A</v>
      </c>
      <c r="V36">
        <f>SUM(1,(1/3)*(Table13[[#This Row],[Length]]-0.5),(1/3)*(Table13[[#This Row],[Diameter]]-0.4),(1/3)*(Table13[[#This Row],[Height]]-0.4)*Table13[[#This Row],[Whole_weight]]*0.5)</f>
        <v>0.91748416666666666</v>
      </c>
      <c r="W36" cm="1">
        <f t="array" ref="W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0.73398733333333332</v>
      </c>
      <c r="X36" t="e">
        <f>IF(Table13[[#This Row],[Category All]]="Category 1",Table13[[#This Row],[Base Abalone Value]]*1.5,NA())</f>
        <v>#N/A</v>
      </c>
      <c r="Y36">
        <f>IF(Table13[[#This Row],[Category All]]="Category 2",Table13[[#This Row],[Base Abalone Value]]*0.8,NA())</f>
        <v>0.73398733333333332</v>
      </c>
      <c r="Z36" t="e">
        <f>IF(Table13[[#This Row],[Category All]]="Category 3",Table13[[#This Row],[Base Abalone Value]],NA())</f>
        <v>#N/A</v>
      </c>
      <c r="AA36" s="2">
        <f>IF(Table13[[#This Row],[Gender]]="M",Table13[[#This Row],[Whole_weight]],NA())</f>
        <v>0.64849999999999997</v>
      </c>
      <c r="AB36" s="2" t="e">
        <f>IF(Table13[[#This Row],[Gender]]="F",Table13[[#This Row],[Whole_weight]],NA())</f>
        <v>#N/A</v>
      </c>
      <c r="AC36" s="2" t="e">
        <f>IF(Table13[[#This Row],[Gender]]="I",Table13[[#This Row],[Whole_weight]],NA())</f>
        <v>#N/A</v>
      </c>
      <c r="AD36" s="2">
        <f>IF(Table13[[#This Row],[Gender]]="M",Table13[[#This Row],[Diameter]],NA())</f>
        <v>0.31</v>
      </c>
      <c r="AE36" s="2" t="e">
        <f>IF(Table13[[#This Row],[Gender]]="F",Table13[[#This Row],[Diameter]],NA())</f>
        <v>#N/A</v>
      </c>
      <c r="AF36" s="2" t="e">
        <f>IF(Table13[[#This Row],[Gender]]="I",Table13[[#This Row],[Diameter]],NA())</f>
        <v>#N/A</v>
      </c>
    </row>
    <row r="37" spans="1:32" x14ac:dyDescent="0.2">
      <c r="A37">
        <v>2305</v>
      </c>
      <c r="B37" t="s">
        <v>15</v>
      </c>
      <c r="C37">
        <v>0.59</v>
      </c>
      <c r="D37">
        <v>0.49</v>
      </c>
      <c r="E37">
        <v>0.13500000000000001</v>
      </c>
      <c r="F37">
        <v>1.008</v>
      </c>
      <c r="G37">
        <v>0.42199999999999999</v>
      </c>
      <c r="H37">
        <v>0.22450000000000001</v>
      </c>
      <c r="I37">
        <v>0.28499999999999998</v>
      </c>
      <c r="J37">
        <v>11</v>
      </c>
      <c r="K37">
        <v>3</v>
      </c>
      <c r="L37" t="s">
        <v>43</v>
      </c>
      <c r="M37" t="s">
        <v>44</v>
      </c>
      <c r="N37" t="s">
        <v>45</v>
      </c>
      <c r="O37">
        <v>1</v>
      </c>
      <c r="P37" t="s">
        <v>4</v>
      </c>
      <c r="Q37">
        <v>22.1</v>
      </c>
      <c r="R37" t="str" cm="1">
        <f t="array" ref="R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7" t="e">
        <f>IF(Table13[[#This Row],[Category All]]="Category 1", "Yes",NA())</f>
        <v>#N/A</v>
      </c>
      <c r="T37" t="e">
        <f>IF(Table13[[#This Row],[Category All]]="Category 2", "Yes",NA())</f>
        <v>#N/A</v>
      </c>
      <c r="U37" t="str">
        <f>IF(Table13[[#This Row],[Category All]]="Category 3", "Yes",NA())</f>
        <v>Yes</v>
      </c>
      <c r="V37">
        <f>SUM(1,(1/3)*(Table13[[#This Row],[Length]]-0.5),(1/3)*(Table13[[#This Row],[Diameter]]-0.4),(1/3)*(Table13[[#This Row],[Height]]-0.4)*Table13[[#This Row],[Whole_weight]]*0.5)</f>
        <v>1.0154800000000002</v>
      </c>
      <c r="W37" cm="1">
        <f t="array" ref="W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1.0154800000000002</v>
      </c>
      <c r="X37" t="e">
        <f>IF(Table13[[#This Row],[Category All]]="Category 1",Table13[[#This Row],[Base Abalone Value]]*1.5,NA())</f>
        <v>#N/A</v>
      </c>
      <c r="Y37" t="e">
        <f>IF(Table13[[#This Row],[Category All]]="Category 2",Table13[[#This Row],[Base Abalone Value]]*0.8,NA())</f>
        <v>#N/A</v>
      </c>
      <c r="Z37">
        <f>IF(Table13[[#This Row],[Category All]]="Category 3",Table13[[#This Row],[Base Abalone Value]],NA())</f>
        <v>1.0154800000000002</v>
      </c>
      <c r="AA37" s="2">
        <f>IF(Table13[[#This Row],[Gender]]="M",Table13[[#This Row],[Whole_weight]],NA())</f>
        <v>1.008</v>
      </c>
      <c r="AB37" s="2" t="e">
        <f>IF(Table13[[#This Row],[Gender]]="F",Table13[[#This Row],[Whole_weight]],NA())</f>
        <v>#N/A</v>
      </c>
      <c r="AC37" s="2" t="e">
        <f>IF(Table13[[#This Row],[Gender]]="I",Table13[[#This Row],[Whole_weight]],NA())</f>
        <v>#N/A</v>
      </c>
      <c r="AD37" s="2">
        <f>IF(Table13[[#This Row],[Gender]]="M",Table13[[#This Row],[Diameter]],NA())</f>
        <v>0.49</v>
      </c>
      <c r="AE37" s="2" t="e">
        <f>IF(Table13[[#This Row],[Gender]]="F",Table13[[#This Row],[Diameter]],NA())</f>
        <v>#N/A</v>
      </c>
      <c r="AF37" s="2" t="e">
        <f>IF(Table13[[#This Row],[Gender]]="I",Table13[[#This Row],[Diameter]],NA())</f>
        <v>#N/A</v>
      </c>
    </row>
    <row r="38" spans="1:32" x14ac:dyDescent="0.2">
      <c r="A38">
        <v>2320</v>
      </c>
      <c r="B38" t="s">
        <v>0</v>
      </c>
      <c r="C38">
        <v>0.505</v>
      </c>
      <c r="D38">
        <v>0.39500000000000002</v>
      </c>
      <c r="E38">
        <v>0.14499999999999999</v>
      </c>
      <c r="F38">
        <v>0.65149999999999997</v>
      </c>
      <c r="G38">
        <v>0.26950000000000002</v>
      </c>
      <c r="H38">
        <v>0.153</v>
      </c>
      <c r="I38">
        <v>0.20499999999999999</v>
      </c>
      <c r="J38">
        <v>15</v>
      </c>
      <c r="K38">
        <v>10</v>
      </c>
      <c r="L38" t="s">
        <v>16</v>
      </c>
      <c r="M38" t="s">
        <v>17</v>
      </c>
      <c r="N38" t="s">
        <v>18</v>
      </c>
      <c r="O38">
        <v>3</v>
      </c>
      <c r="P38" t="s">
        <v>48</v>
      </c>
      <c r="Q38">
        <v>3.6</v>
      </c>
      <c r="R38" t="str" cm="1">
        <f t="array" ref="R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" t="e">
        <f>IF(Table13[[#This Row],[Category All]]="Category 1", "Yes",NA())</f>
        <v>#N/A</v>
      </c>
      <c r="T38" t="str">
        <f>IF(Table13[[#This Row],[Category All]]="Category 2", "Yes",NA())</f>
        <v>Yes</v>
      </c>
      <c r="U38" t="e">
        <f>IF(Table13[[#This Row],[Category All]]="Category 3", "Yes",NA())</f>
        <v>#N/A</v>
      </c>
      <c r="V38">
        <f>SUM(1,(1/3)*(Table13[[#This Row],[Length]]-0.5),(1/3)*(Table13[[#This Row],[Diameter]]-0.4),(1/3)*(Table13[[#This Row],[Height]]-0.4)*Table13[[#This Row],[Whole_weight]]*0.5)</f>
        <v>0.97231124999999996</v>
      </c>
      <c r="W38" cm="1">
        <f t="array" ref="W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0.77784900000000001</v>
      </c>
      <c r="X38" t="e">
        <f>IF(Table13[[#This Row],[Category All]]="Category 1",Table13[[#This Row],[Base Abalone Value]]*1.5,NA())</f>
        <v>#N/A</v>
      </c>
      <c r="Y38">
        <f>IF(Table13[[#This Row],[Category All]]="Category 2",Table13[[#This Row],[Base Abalone Value]]*0.8,NA())</f>
        <v>0.77784900000000001</v>
      </c>
      <c r="Z38" t="e">
        <f>IF(Table13[[#This Row],[Category All]]="Category 3",Table13[[#This Row],[Base Abalone Value]],NA())</f>
        <v>#N/A</v>
      </c>
      <c r="AA38" s="2" t="e">
        <f>IF(Table13[[#This Row],[Gender]]="M",Table13[[#This Row],[Whole_weight]],NA())</f>
        <v>#N/A</v>
      </c>
      <c r="AB38" s="2">
        <f>IF(Table13[[#This Row],[Gender]]="F",Table13[[#This Row],[Whole_weight]],NA())</f>
        <v>0.65149999999999997</v>
      </c>
      <c r="AC38" s="2" t="e">
        <f>IF(Table13[[#This Row],[Gender]]="I",Table13[[#This Row],[Whole_weight]],NA())</f>
        <v>#N/A</v>
      </c>
      <c r="AD38" s="2" t="e">
        <f>IF(Table13[[#This Row],[Gender]]="M",Table13[[#This Row],[Diameter]],NA())</f>
        <v>#N/A</v>
      </c>
      <c r="AE38" s="2">
        <f>IF(Table13[[#This Row],[Gender]]="F",Table13[[#This Row],[Diameter]],NA())</f>
        <v>0.39500000000000002</v>
      </c>
      <c r="AF38" s="2" t="e">
        <f>IF(Table13[[#This Row],[Gender]]="I",Table13[[#This Row],[Diameter]],NA())</f>
        <v>#N/A</v>
      </c>
    </row>
    <row r="39" spans="1:32" x14ac:dyDescent="0.2">
      <c r="A39">
        <v>2189</v>
      </c>
      <c r="B39" t="s">
        <v>15</v>
      </c>
      <c r="C39">
        <v>0.47</v>
      </c>
      <c r="D39">
        <v>0.37</v>
      </c>
      <c r="E39">
        <v>0.13500000000000001</v>
      </c>
      <c r="F39">
        <v>0.54700000000000004</v>
      </c>
      <c r="G39">
        <v>0.222</v>
      </c>
      <c r="H39">
        <v>0.13250000000000001</v>
      </c>
      <c r="I39">
        <v>0.17</v>
      </c>
      <c r="J39">
        <v>12</v>
      </c>
      <c r="K39">
        <v>13</v>
      </c>
      <c r="L39" t="s">
        <v>12</v>
      </c>
      <c r="M39" t="s">
        <v>13</v>
      </c>
      <c r="N39" t="s">
        <v>3</v>
      </c>
      <c r="O39">
        <v>4</v>
      </c>
      <c r="P39" t="s">
        <v>10</v>
      </c>
      <c r="Q39">
        <v>6.1</v>
      </c>
      <c r="R39" t="str" cm="1">
        <f t="array" ref="R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9" t="e">
        <f>IF(Table13[[#This Row],[Category All]]="Category 1", "Yes",NA())</f>
        <v>#N/A</v>
      </c>
      <c r="T39" t="str">
        <f>IF(Table13[[#This Row],[Category All]]="Category 2", "Yes",NA())</f>
        <v>Yes</v>
      </c>
      <c r="U39" t="e">
        <f>IF(Table13[[#This Row],[Category All]]="Category 3", "Yes",NA())</f>
        <v>#N/A</v>
      </c>
      <c r="V39">
        <f>SUM(1,(1/3)*(Table13[[#This Row],[Length]]-0.5),(1/3)*(Table13[[#This Row],[Diameter]]-0.4),(1/3)*(Table13[[#This Row],[Height]]-0.4)*Table13[[#This Row],[Whole_weight]]*0.5)</f>
        <v>0.95584083333333336</v>
      </c>
      <c r="W39" cm="1">
        <f t="array" ref="W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0.76467266666666678</v>
      </c>
      <c r="X39" t="e">
        <f>IF(Table13[[#This Row],[Category All]]="Category 1",Table13[[#This Row],[Base Abalone Value]]*1.5,NA())</f>
        <v>#N/A</v>
      </c>
      <c r="Y39">
        <f>IF(Table13[[#This Row],[Category All]]="Category 2",Table13[[#This Row],[Base Abalone Value]]*0.8,NA())</f>
        <v>0.76467266666666678</v>
      </c>
      <c r="Z39" t="e">
        <f>IF(Table13[[#This Row],[Category All]]="Category 3",Table13[[#This Row],[Base Abalone Value]],NA())</f>
        <v>#N/A</v>
      </c>
      <c r="AA39" s="2">
        <f>IF(Table13[[#This Row],[Gender]]="M",Table13[[#This Row],[Whole_weight]],NA())</f>
        <v>0.54700000000000004</v>
      </c>
      <c r="AB39" s="2" t="e">
        <f>IF(Table13[[#This Row],[Gender]]="F",Table13[[#This Row],[Whole_weight]],NA())</f>
        <v>#N/A</v>
      </c>
      <c r="AC39" s="2" t="e">
        <f>IF(Table13[[#This Row],[Gender]]="I",Table13[[#This Row],[Whole_weight]],NA())</f>
        <v>#N/A</v>
      </c>
      <c r="AD39" s="2">
        <f>IF(Table13[[#This Row],[Gender]]="M",Table13[[#This Row],[Diameter]],NA())</f>
        <v>0.37</v>
      </c>
      <c r="AE39" s="2" t="e">
        <f>IF(Table13[[#This Row],[Gender]]="F",Table13[[#This Row],[Diameter]],NA())</f>
        <v>#N/A</v>
      </c>
      <c r="AF39" s="2" t="e">
        <f>IF(Table13[[#This Row],[Gender]]="I",Table13[[#This Row],[Diameter]],NA())</f>
        <v>#N/A</v>
      </c>
    </row>
    <row r="40" spans="1:32" x14ac:dyDescent="0.2">
      <c r="A40">
        <v>3462</v>
      </c>
      <c r="B40" t="s">
        <v>0</v>
      </c>
      <c r="C40">
        <v>0.625</v>
      </c>
      <c r="D40">
        <v>0.495</v>
      </c>
      <c r="E40">
        <v>0.16</v>
      </c>
      <c r="F40">
        <v>1.1114999999999999</v>
      </c>
      <c r="G40">
        <v>0.44950000000000001</v>
      </c>
      <c r="H40">
        <v>0.28249999999999997</v>
      </c>
      <c r="I40">
        <v>0.34499999999999997</v>
      </c>
      <c r="J40">
        <v>11</v>
      </c>
      <c r="K40">
        <v>10</v>
      </c>
      <c r="L40" t="s">
        <v>16</v>
      </c>
      <c r="M40" t="s">
        <v>17</v>
      </c>
      <c r="N40" t="s">
        <v>18</v>
      </c>
      <c r="O40">
        <v>1</v>
      </c>
      <c r="P40" t="s">
        <v>4</v>
      </c>
      <c r="Q40">
        <v>22.1</v>
      </c>
      <c r="R40" t="str" cm="1">
        <f t="array" ref="R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0" t="e">
        <f>IF(Table13[[#This Row],[Category All]]="Category 1", "Yes",NA())</f>
        <v>#N/A</v>
      </c>
      <c r="T40" t="e">
        <f>IF(Table13[[#This Row],[Category All]]="Category 2", "Yes",NA())</f>
        <v>#N/A</v>
      </c>
      <c r="U40" t="str">
        <f>IF(Table13[[#This Row],[Category All]]="Category 3", "Yes",NA())</f>
        <v>Yes</v>
      </c>
      <c r="V40">
        <f>SUM(1,(1/3)*(Table13[[#This Row],[Length]]-0.5),(1/3)*(Table13[[#This Row],[Diameter]]-0.4),(1/3)*(Table13[[#This Row],[Height]]-0.4)*Table13[[#This Row],[Whole_weight]]*0.5)</f>
        <v>1.0288733333333335</v>
      </c>
      <c r="W40" cm="1">
        <f t="array" ref="W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1.0288733333333335</v>
      </c>
      <c r="X40" t="e">
        <f>IF(Table13[[#This Row],[Category All]]="Category 1",Table13[[#This Row],[Base Abalone Value]]*1.5,NA())</f>
        <v>#N/A</v>
      </c>
      <c r="Y40" t="e">
        <f>IF(Table13[[#This Row],[Category All]]="Category 2",Table13[[#This Row],[Base Abalone Value]]*0.8,NA())</f>
        <v>#N/A</v>
      </c>
      <c r="Z40">
        <f>IF(Table13[[#This Row],[Category All]]="Category 3",Table13[[#This Row],[Base Abalone Value]],NA())</f>
        <v>1.0288733333333335</v>
      </c>
      <c r="AA40" s="2" t="e">
        <f>IF(Table13[[#This Row],[Gender]]="M",Table13[[#This Row],[Whole_weight]],NA())</f>
        <v>#N/A</v>
      </c>
      <c r="AB40" s="2">
        <f>IF(Table13[[#This Row],[Gender]]="F",Table13[[#This Row],[Whole_weight]],NA())</f>
        <v>1.1114999999999999</v>
      </c>
      <c r="AC40" s="2" t="e">
        <f>IF(Table13[[#This Row],[Gender]]="I",Table13[[#This Row],[Whole_weight]],NA())</f>
        <v>#N/A</v>
      </c>
      <c r="AD40" s="2" t="e">
        <f>IF(Table13[[#This Row],[Gender]]="M",Table13[[#This Row],[Diameter]],NA())</f>
        <v>#N/A</v>
      </c>
      <c r="AE40" s="2">
        <f>IF(Table13[[#This Row],[Gender]]="F",Table13[[#This Row],[Diameter]],NA())</f>
        <v>0.495</v>
      </c>
      <c r="AF40" s="2" t="e">
        <f>IF(Table13[[#This Row],[Gender]]="I",Table13[[#This Row],[Diameter]],NA())</f>
        <v>#N/A</v>
      </c>
    </row>
    <row r="41" spans="1:32" x14ac:dyDescent="0.2">
      <c r="A41">
        <v>3891</v>
      </c>
      <c r="B41" t="s">
        <v>15</v>
      </c>
      <c r="C41">
        <v>0.51500000000000001</v>
      </c>
      <c r="D41">
        <v>0.4</v>
      </c>
      <c r="E41">
        <v>0.14000000000000001</v>
      </c>
      <c r="F41">
        <v>0.73650000000000004</v>
      </c>
      <c r="G41">
        <v>0.29549999999999998</v>
      </c>
      <c r="H41">
        <v>0.184</v>
      </c>
      <c r="I41">
        <v>0.185</v>
      </c>
      <c r="J41">
        <v>16</v>
      </c>
      <c r="K41">
        <v>3</v>
      </c>
      <c r="L41" t="s">
        <v>43</v>
      </c>
      <c r="M41" t="s">
        <v>44</v>
      </c>
      <c r="N41" t="s">
        <v>45</v>
      </c>
      <c r="O41">
        <v>4</v>
      </c>
      <c r="P41" t="s">
        <v>10</v>
      </c>
      <c r="Q41">
        <v>6.1</v>
      </c>
      <c r="R41" t="str" cm="1">
        <f t="array" ref="R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1" t="e">
        <f>IF(Table13[[#This Row],[Category All]]="Category 1", "Yes",NA())</f>
        <v>#N/A</v>
      </c>
      <c r="T41" t="str">
        <f>IF(Table13[[#This Row],[Category All]]="Category 2", "Yes",NA())</f>
        <v>Yes</v>
      </c>
      <c r="U41" t="e">
        <f>IF(Table13[[#This Row],[Category All]]="Category 3", "Yes",NA())</f>
        <v>#N/A</v>
      </c>
      <c r="V41">
        <f>SUM(1,(1/3)*(Table13[[#This Row],[Length]]-0.5),(1/3)*(Table13[[#This Row],[Diameter]]-0.4),(1/3)*(Table13[[#This Row],[Height]]-0.4)*Table13[[#This Row],[Whole_weight]]*0.5)</f>
        <v>0.97308499999999987</v>
      </c>
      <c r="W41" cm="1">
        <f t="array" ref="W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0.77846799999999994</v>
      </c>
      <c r="X41" t="e">
        <f>IF(Table13[[#This Row],[Category All]]="Category 1",Table13[[#This Row],[Base Abalone Value]]*1.5,NA())</f>
        <v>#N/A</v>
      </c>
      <c r="Y41">
        <f>IF(Table13[[#This Row],[Category All]]="Category 2",Table13[[#This Row],[Base Abalone Value]]*0.8,NA())</f>
        <v>0.77846799999999994</v>
      </c>
      <c r="Z41" t="e">
        <f>IF(Table13[[#This Row],[Category All]]="Category 3",Table13[[#This Row],[Base Abalone Value]],NA())</f>
        <v>#N/A</v>
      </c>
      <c r="AA41" s="2">
        <f>IF(Table13[[#This Row],[Gender]]="M",Table13[[#This Row],[Whole_weight]],NA())</f>
        <v>0.73650000000000004</v>
      </c>
      <c r="AB41" s="2" t="e">
        <f>IF(Table13[[#This Row],[Gender]]="F",Table13[[#This Row],[Whole_weight]],NA())</f>
        <v>#N/A</v>
      </c>
      <c r="AC41" s="2" t="e">
        <f>IF(Table13[[#This Row],[Gender]]="I",Table13[[#This Row],[Whole_weight]],NA())</f>
        <v>#N/A</v>
      </c>
      <c r="AD41" s="2">
        <f>IF(Table13[[#This Row],[Gender]]="M",Table13[[#This Row],[Diameter]],NA())</f>
        <v>0.4</v>
      </c>
      <c r="AE41" s="2" t="e">
        <f>IF(Table13[[#This Row],[Gender]]="F",Table13[[#This Row],[Diameter]],NA())</f>
        <v>#N/A</v>
      </c>
      <c r="AF41" s="2" t="e">
        <f>IF(Table13[[#This Row],[Gender]]="I",Table13[[#This Row],[Diameter]],NA())</f>
        <v>#N/A</v>
      </c>
    </row>
    <row r="42" spans="1:32" x14ac:dyDescent="0.2">
      <c r="A42">
        <v>2126</v>
      </c>
      <c r="B42" t="s">
        <v>15</v>
      </c>
      <c r="C42">
        <v>0.47</v>
      </c>
      <c r="D42">
        <v>0.375</v>
      </c>
      <c r="E42">
        <v>0.115</v>
      </c>
      <c r="F42">
        <v>0.42649999999999999</v>
      </c>
      <c r="G42">
        <v>0.16850000000000001</v>
      </c>
      <c r="H42">
        <v>7.5499999999999998E-2</v>
      </c>
      <c r="I42">
        <v>0.15</v>
      </c>
      <c r="J42">
        <v>8</v>
      </c>
      <c r="K42">
        <v>11</v>
      </c>
      <c r="L42" t="s">
        <v>5</v>
      </c>
      <c r="M42" t="s">
        <v>6</v>
      </c>
      <c r="N42" t="s">
        <v>3</v>
      </c>
      <c r="O42">
        <v>2</v>
      </c>
      <c r="P42" t="s">
        <v>7</v>
      </c>
      <c r="Q42">
        <v>18</v>
      </c>
      <c r="R42" t="str" cm="1">
        <f t="array" ref="R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2" t="e">
        <f>IF(Table13[[#This Row],[Category All]]="Category 1", "Yes",NA())</f>
        <v>#N/A</v>
      </c>
      <c r="T42" t="str">
        <f>IF(Table13[[#This Row],[Category All]]="Category 2", "Yes",NA())</f>
        <v>Yes</v>
      </c>
      <c r="U42" t="e">
        <f>IF(Table13[[#This Row],[Category All]]="Category 3", "Yes",NA())</f>
        <v>#N/A</v>
      </c>
      <c r="V42">
        <f>SUM(1,(1/3)*(Table13[[#This Row],[Length]]-0.5),(1/3)*(Table13[[#This Row],[Diameter]]-0.4),(1/3)*(Table13[[#This Row],[Height]]-0.4)*Table13[[#This Row],[Whole_weight]]*0.5)</f>
        <v>0.9614079166666667</v>
      </c>
      <c r="W42" cm="1">
        <f t="array" ref="W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0.76912633333333336</v>
      </c>
      <c r="X42" t="e">
        <f>IF(Table13[[#This Row],[Category All]]="Category 1",Table13[[#This Row],[Base Abalone Value]]*1.5,NA())</f>
        <v>#N/A</v>
      </c>
      <c r="Y42">
        <f>IF(Table13[[#This Row],[Category All]]="Category 2",Table13[[#This Row],[Base Abalone Value]]*0.8,NA())</f>
        <v>0.76912633333333336</v>
      </c>
      <c r="Z42" t="e">
        <f>IF(Table13[[#This Row],[Category All]]="Category 3",Table13[[#This Row],[Base Abalone Value]],NA())</f>
        <v>#N/A</v>
      </c>
      <c r="AA42" s="2">
        <f>IF(Table13[[#This Row],[Gender]]="M",Table13[[#This Row],[Whole_weight]],NA())</f>
        <v>0.42649999999999999</v>
      </c>
      <c r="AB42" s="2" t="e">
        <f>IF(Table13[[#This Row],[Gender]]="F",Table13[[#This Row],[Whole_weight]],NA())</f>
        <v>#N/A</v>
      </c>
      <c r="AC42" s="2" t="e">
        <f>IF(Table13[[#This Row],[Gender]]="I",Table13[[#This Row],[Whole_weight]],NA())</f>
        <v>#N/A</v>
      </c>
      <c r="AD42" s="2">
        <f>IF(Table13[[#This Row],[Gender]]="M",Table13[[#This Row],[Diameter]],NA())</f>
        <v>0.375</v>
      </c>
      <c r="AE42" s="2" t="e">
        <f>IF(Table13[[#This Row],[Gender]]="F",Table13[[#This Row],[Diameter]],NA())</f>
        <v>#N/A</v>
      </c>
      <c r="AF42" s="2" t="e">
        <f>IF(Table13[[#This Row],[Gender]]="I",Table13[[#This Row],[Diameter]],NA())</f>
        <v>#N/A</v>
      </c>
    </row>
    <row r="43" spans="1:32" x14ac:dyDescent="0.2">
      <c r="A43">
        <v>1792</v>
      </c>
      <c r="B43" t="s">
        <v>15</v>
      </c>
      <c r="C43">
        <v>0.55000000000000004</v>
      </c>
      <c r="D43">
        <v>0.42</v>
      </c>
      <c r="E43">
        <v>0.16</v>
      </c>
      <c r="F43">
        <v>1.3405</v>
      </c>
      <c r="G43">
        <v>0.63249999999999995</v>
      </c>
      <c r="H43">
        <v>0.311</v>
      </c>
      <c r="I43">
        <v>0.34399999999999997</v>
      </c>
      <c r="J43">
        <v>10</v>
      </c>
      <c r="K43">
        <v>6</v>
      </c>
      <c r="L43" t="s">
        <v>39</v>
      </c>
      <c r="M43" t="s">
        <v>40</v>
      </c>
      <c r="N43" t="s">
        <v>41</v>
      </c>
      <c r="O43">
        <v>5</v>
      </c>
      <c r="P43" t="s">
        <v>14</v>
      </c>
      <c r="Q43">
        <v>12.8</v>
      </c>
      <c r="R43" t="str" cm="1">
        <f t="array" ref="R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3" t="e">
        <f>IF(Table13[[#This Row],[Category All]]="Category 1", "Yes",NA())</f>
        <v>#N/A</v>
      </c>
      <c r="T43" t="e">
        <f>IF(Table13[[#This Row],[Category All]]="Category 2", "Yes",NA())</f>
        <v>#N/A</v>
      </c>
      <c r="U43" t="str">
        <f>IF(Table13[[#This Row],[Category All]]="Category 3", "Yes",NA())</f>
        <v>Yes</v>
      </c>
      <c r="V43">
        <f>SUM(1,(1/3)*(Table13[[#This Row],[Length]]-0.5),(1/3)*(Table13[[#This Row],[Diameter]]-0.4),(1/3)*(Table13[[#This Row],[Height]]-0.4)*Table13[[#This Row],[Whole_weight]]*0.5)</f>
        <v>0.96971333333333321</v>
      </c>
      <c r="W43" cm="1">
        <f t="array" ref="W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0.96971333333333321</v>
      </c>
      <c r="X43" t="e">
        <f>IF(Table13[[#This Row],[Category All]]="Category 1",Table13[[#This Row],[Base Abalone Value]]*1.5,NA())</f>
        <v>#N/A</v>
      </c>
      <c r="Y43" t="e">
        <f>IF(Table13[[#This Row],[Category All]]="Category 2",Table13[[#This Row],[Base Abalone Value]]*0.8,NA())</f>
        <v>#N/A</v>
      </c>
      <c r="Z43">
        <f>IF(Table13[[#This Row],[Category All]]="Category 3",Table13[[#This Row],[Base Abalone Value]],NA())</f>
        <v>0.96971333333333321</v>
      </c>
      <c r="AA43" s="2">
        <f>IF(Table13[[#This Row],[Gender]]="M",Table13[[#This Row],[Whole_weight]],NA())</f>
        <v>1.3405</v>
      </c>
      <c r="AB43" s="2" t="e">
        <f>IF(Table13[[#This Row],[Gender]]="F",Table13[[#This Row],[Whole_weight]],NA())</f>
        <v>#N/A</v>
      </c>
      <c r="AC43" s="2" t="e">
        <f>IF(Table13[[#This Row],[Gender]]="I",Table13[[#This Row],[Whole_weight]],NA())</f>
        <v>#N/A</v>
      </c>
      <c r="AD43" s="2">
        <f>IF(Table13[[#This Row],[Gender]]="M",Table13[[#This Row],[Diameter]],NA())</f>
        <v>0.42</v>
      </c>
      <c r="AE43" s="2" t="e">
        <f>IF(Table13[[#This Row],[Gender]]="F",Table13[[#This Row],[Diameter]],NA())</f>
        <v>#N/A</v>
      </c>
      <c r="AF43" s="2" t="e">
        <f>IF(Table13[[#This Row],[Gender]]="I",Table13[[#This Row],[Diameter]],NA())</f>
        <v>#N/A</v>
      </c>
    </row>
    <row r="44" spans="1:32" x14ac:dyDescent="0.2">
      <c r="A44">
        <v>2197</v>
      </c>
      <c r="B44" t="s">
        <v>11</v>
      </c>
      <c r="C44">
        <v>0.37</v>
      </c>
      <c r="D44">
        <v>0.28000000000000003</v>
      </c>
      <c r="E44">
        <v>0.09</v>
      </c>
      <c r="F44">
        <v>0.23300000000000001</v>
      </c>
      <c r="G44">
        <v>9.0499999999999997E-2</v>
      </c>
      <c r="H44">
        <v>5.45E-2</v>
      </c>
      <c r="I44">
        <v>7.0000000000000007E-2</v>
      </c>
      <c r="J44">
        <v>11</v>
      </c>
      <c r="K44">
        <v>3</v>
      </c>
      <c r="L44" t="s">
        <v>43</v>
      </c>
      <c r="M44" t="s">
        <v>44</v>
      </c>
      <c r="N44" t="s">
        <v>45</v>
      </c>
      <c r="O44">
        <v>3</v>
      </c>
      <c r="P44" t="s">
        <v>48</v>
      </c>
      <c r="Q44">
        <v>3.6</v>
      </c>
      <c r="R44" t="str" cm="1">
        <f t="array" ref="R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4" t="e">
        <f>IF(Table13[[#This Row],[Category All]]="Category 1", "Yes",NA())</f>
        <v>#N/A</v>
      </c>
      <c r="T44" t="str">
        <f>IF(Table13[[#This Row],[Category All]]="Category 2", "Yes",NA())</f>
        <v>Yes</v>
      </c>
      <c r="U44" t="e">
        <f>IF(Table13[[#This Row],[Category All]]="Category 3", "Yes",NA())</f>
        <v>#N/A</v>
      </c>
      <c r="V44">
        <f>SUM(1,(1/3)*(Table13[[#This Row],[Length]]-0.5),(1/3)*(Table13[[#This Row],[Diameter]]-0.4),(1/3)*(Table13[[#This Row],[Height]]-0.4)*Table13[[#This Row],[Whole_weight]]*0.5)</f>
        <v>0.90462833333333326</v>
      </c>
      <c r="W44" cm="1">
        <f t="array" ref="W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0.72370266666666661</v>
      </c>
      <c r="X44" t="e">
        <f>IF(Table13[[#This Row],[Category All]]="Category 1",Table13[[#This Row],[Base Abalone Value]]*1.5,NA())</f>
        <v>#N/A</v>
      </c>
      <c r="Y44">
        <f>IF(Table13[[#This Row],[Category All]]="Category 2",Table13[[#This Row],[Base Abalone Value]]*0.8,NA())</f>
        <v>0.72370266666666661</v>
      </c>
      <c r="Z44" t="e">
        <f>IF(Table13[[#This Row],[Category All]]="Category 3",Table13[[#This Row],[Base Abalone Value]],NA())</f>
        <v>#N/A</v>
      </c>
      <c r="AA44" s="2" t="e">
        <f>IF(Table13[[#This Row],[Gender]]="M",Table13[[#This Row],[Whole_weight]],NA())</f>
        <v>#N/A</v>
      </c>
      <c r="AB44" s="2" t="e">
        <f>IF(Table13[[#This Row],[Gender]]="F",Table13[[#This Row],[Whole_weight]],NA())</f>
        <v>#N/A</v>
      </c>
      <c r="AC44" s="2">
        <f>IF(Table13[[#This Row],[Gender]]="I",Table13[[#This Row],[Whole_weight]],NA())</f>
        <v>0.23300000000000001</v>
      </c>
      <c r="AD44" s="2" t="e">
        <f>IF(Table13[[#This Row],[Gender]]="M",Table13[[#This Row],[Diameter]],NA())</f>
        <v>#N/A</v>
      </c>
      <c r="AE44" s="2" t="e">
        <f>IF(Table13[[#This Row],[Gender]]="F",Table13[[#This Row],[Diameter]],NA())</f>
        <v>#N/A</v>
      </c>
      <c r="AF44" s="2">
        <f>IF(Table13[[#This Row],[Gender]]="I",Table13[[#This Row],[Diameter]],NA())</f>
        <v>0.28000000000000003</v>
      </c>
    </row>
    <row r="45" spans="1:32" x14ac:dyDescent="0.2">
      <c r="A45">
        <v>1865</v>
      </c>
      <c r="B45" t="s">
        <v>11</v>
      </c>
      <c r="C45">
        <v>0.52</v>
      </c>
      <c r="D45">
        <v>0.39500000000000002</v>
      </c>
      <c r="E45">
        <v>0.125</v>
      </c>
      <c r="F45">
        <v>0.58050000000000002</v>
      </c>
      <c r="G45">
        <v>0.2445</v>
      </c>
      <c r="H45">
        <v>0.14599999999999999</v>
      </c>
      <c r="I45">
        <v>0.16500000000000001</v>
      </c>
      <c r="J45">
        <v>9</v>
      </c>
      <c r="K45">
        <v>2</v>
      </c>
      <c r="L45" t="s">
        <v>32</v>
      </c>
      <c r="M45" t="s">
        <v>33</v>
      </c>
      <c r="N45" t="s">
        <v>34</v>
      </c>
      <c r="O45">
        <v>1</v>
      </c>
      <c r="P45" t="s">
        <v>4</v>
      </c>
      <c r="Q45">
        <v>22.1</v>
      </c>
      <c r="R45" t="str" cm="1">
        <f t="array" ref="R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5" t="e">
        <f>IF(Table13[[#This Row],[Category All]]="Category 1", "Yes",NA())</f>
        <v>#N/A</v>
      </c>
      <c r="T45" t="str">
        <f>IF(Table13[[#This Row],[Category All]]="Category 2", "Yes",NA())</f>
        <v>Yes</v>
      </c>
      <c r="U45" t="e">
        <f>IF(Table13[[#This Row],[Category All]]="Category 3", "Yes",NA())</f>
        <v>#N/A</v>
      </c>
      <c r="V45">
        <f>SUM(1,(1/3)*(Table13[[#This Row],[Length]]-0.5),(1/3)*(Table13[[#This Row],[Diameter]]-0.4),(1/3)*(Table13[[#This Row],[Height]]-0.4)*Table13[[#This Row],[Whole_weight]]*0.5)</f>
        <v>0.97839374999999984</v>
      </c>
      <c r="W45" cm="1">
        <f t="array" ref="W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0.78271499999999994</v>
      </c>
      <c r="X45" t="e">
        <f>IF(Table13[[#This Row],[Category All]]="Category 1",Table13[[#This Row],[Base Abalone Value]]*1.5,NA())</f>
        <v>#N/A</v>
      </c>
      <c r="Y45">
        <f>IF(Table13[[#This Row],[Category All]]="Category 2",Table13[[#This Row],[Base Abalone Value]]*0.8,NA())</f>
        <v>0.78271499999999994</v>
      </c>
      <c r="Z45" t="e">
        <f>IF(Table13[[#This Row],[Category All]]="Category 3",Table13[[#This Row],[Base Abalone Value]],NA())</f>
        <v>#N/A</v>
      </c>
      <c r="AA45" s="2" t="e">
        <f>IF(Table13[[#This Row],[Gender]]="M",Table13[[#This Row],[Whole_weight]],NA())</f>
        <v>#N/A</v>
      </c>
      <c r="AB45" s="2" t="e">
        <f>IF(Table13[[#This Row],[Gender]]="F",Table13[[#This Row],[Whole_weight]],NA())</f>
        <v>#N/A</v>
      </c>
      <c r="AC45" s="2">
        <f>IF(Table13[[#This Row],[Gender]]="I",Table13[[#This Row],[Whole_weight]],NA())</f>
        <v>0.58050000000000002</v>
      </c>
      <c r="AD45" s="2" t="e">
        <f>IF(Table13[[#This Row],[Gender]]="M",Table13[[#This Row],[Diameter]],NA())</f>
        <v>#N/A</v>
      </c>
      <c r="AE45" s="2" t="e">
        <f>IF(Table13[[#This Row],[Gender]]="F",Table13[[#This Row],[Diameter]],NA())</f>
        <v>#N/A</v>
      </c>
      <c r="AF45" s="2">
        <f>IF(Table13[[#This Row],[Gender]]="I",Table13[[#This Row],[Diameter]],NA())</f>
        <v>0.39500000000000002</v>
      </c>
    </row>
    <row r="46" spans="1:32" x14ac:dyDescent="0.2">
      <c r="A46">
        <v>2863</v>
      </c>
      <c r="B46" t="s">
        <v>15</v>
      </c>
      <c r="C46">
        <v>0.73499999999999999</v>
      </c>
      <c r="D46">
        <v>0.56999999999999995</v>
      </c>
      <c r="E46">
        <v>0.21</v>
      </c>
      <c r="F46">
        <v>2.2355</v>
      </c>
      <c r="G46">
        <v>1.1705000000000001</v>
      </c>
      <c r="H46">
        <v>0.46300000000000002</v>
      </c>
      <c r="I46">
        <v>0.53149999999999997</v>
      </c>
      <c r="J46">
        <v>10</v>
      </c>
      <c r="K46">
        <v>2</v>
      </c>
      <c r="L46" t="s">
        <v>32</v>
      </c>
      <c r="M46" t="s">
        <v>33</v>
      </c>
      <c r="N46" t="s">
        <v>34</v>
      </c>
      <c r="O46">
        <v>5</v>
      </c>
      <c r="P46" t="s">
        <v>14</v>
      </c>
      <c r="Q46">
        <v>12.8</v>
      </c>
      <c r="R46" t="str" cm="1">
        <f t="array" ref="R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6" t="e">
        <f>IF(Table13[[#This Row],[Category All]]="Category 1", "Yes",NA())</f>
        <v>#N/A</v>
      </c>
      <c r="T46" t="e">
        <f>IF(Table13[[#This Row],[Category All]]="Category 2", "Yes",NA())</f>
        <v>#N/A</v>
      </c>
      <c r="U46" t="str">
        <f>IF(Table13[[#This Row],[Category All]]="Category 3", "Yes",NA())</f>
        <v>Yes</v>
      </c>
      <c r="V46">
        <f>SUM(1,(1/3)*(Table13[[#This Row],[Length]]-0.5),(1/3)*(Table13[[#This Row],[Diameter]]-0.4),(1/3)*(Table13[[#This Row],[Height]]-0.4)*Table13[[#This Row],[Whole_weight]]*0.5)</f>
        <v>1.0642091666666667</v>
      </c>
      <c r="W46" cm="1">
        <f t="array" ref="W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1.0642091666666667</v>
      </c>
      <c r="X46" t="e">
        <f>IF(Table13[[#This Row],[Category All]]="Category 1",Table13[[#This Row],[Base Abalone Value]]*1.5,NA())</f>
        <v>#N/A</v>
      </c>
      <c r="Y46" t="e">
        <f>IF(Table13[[#This Row],[Category All]]="Category 2",Table13[[#This Row],[Base Abalone Value]]*0.8,NA())</f>
        <v>#N/A</v>
      </c>
      <c r="Z46">
        <f>IF(Table13[[#This Row],[Category All]]="Category 3",Table13[[#This Row],[Base Abalone Value]],NA())</f>
        <v>1.0642091666666667</v>
      </c>
      <c r="AA46" s="2">
        <f>IF(Table13[[#This Row],[Gender]]="M",Table13[[#This Row],[Whole_weight]],NA())</f>
        <v>2.2355</v>
      </c>
      <c r="AB46" s="2" t="e">
        <f>IF(Table13[[#This Row],[Gender]]="F",Table13[[#This Row],[Whole_weight]],NA())</f>
        <v>#N/A</v>
      </c>
      <c r="AC46" s="2" t="e">
        <f>IF(Table13[[#This Row],[Gender]]="I",Table13[[#This Row],[Whole_weight]],NA())</f>
        <v>#N/A</v>
      </c>
      <c r="AD46" s="2">
        <f>IF(Table13[[#This Row],[Gender]]="M",Table13[[#This Row],[Diameter]],NA())</f>
        <v>0.56999999999999995</v>
      </c>
      <c r="AE46" s="2" t="e">
        <f>IF(Table13[[#This Row],[Gender]]="F",Table13[[#This Row],[Diameter]],NA())</f>
        <v>#N/A</v>
      </c>
      <c r="AF46" s="2" t="e">
        <f>IF(Table13[[#This Row],[Gender]]="I",Table13[[#This Row],[Diameter]],NA())</f>
        <v>#N/A</v>
      </c>
    </row>
    <row r="47" spans="1:32" x14ac:dyDescent="0.2">
      <c r="A47">
        <v>924</v>
      </c>
      <c r="B47" t="s">
        <v>11</v>
      </c>
      <c r="C47">
        <v>0.42499999999999999</v>
      </c>
      <c r="D47">
        <v>0.34</v>
      </c>
      <c r="E47">
        <v>0.1</v>
      </c>
      <c r="F47">
        <v>0.38200000000000001</v>
      </c>
      <c r="G47">
        <v>0.16400000000000001</v>
      </c>
      <c r="H47">
        <v>9.6000000000000002E-2</v>
      </c>
      <c r="I47">
        <v>0.1</v>
      </c>
      <c r="J47">
        <v>6</v>
      </c>
      <c r="K47">
        <v>3</v>
      </c>
      <c r="L47" t="s">
        <v>43</v>
      </c>
      <c r="M47" t="s">
        <v>44</v>
      </c>
      <c r="N47" t="s">
        <v>45</v>
      </c>
      <c r="O47">
        <v>7</v>
      </c>
      <c r="P47" t="s">
        <v>42</v>
      </c>
      <c r="Q47">
        <v>2.5</v>
      </c>
      <c r="R47" t="str" cm="1">
        <f t="array" ref="R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7" t="e">
        <f>IF(Table13[[#This Row],[Category All]]="Category 1", "Yes",NA())</f>
        <v>#N/A</v>
      </c>
      <c r="T47" t="str">
        <f>IF(Table13[[#This Row],[Category All]]="Category 2", "Yes",NA())</f>
        <v>Yes</v>
      </c>
      <c r="U47" t="e">
        <f>IF(Table13[[#This Row],[Category All]]="Category 3", "Yes",NA())</f>
        <v>#N/A</v>
      </c>
      <c r="V47">
        <f>SUM(1,(1/3)*(Table13[[#This Row],[Length]]-0.5),(1/3)*(Table13[[#This Row],[Diameter]]-0.4),(1/3)*(Table13[[#This Row],[Height]]-0.4)*Table13[[#This Row],[Whole_weight]]*0.5)</f>
        <v>0.93589999999999995</v>
      </c>
      <c r="W47" cm="1">
        <f t="array" ref="W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0.74872000000000005</v>
      </c>
      <c r="X47" t="e">
        <f>IF(Table13[[#This Row],[Category All]]="Category 1",Table13[[#This Row],[Base Abalone Value]]*1.5,NA())</f>
        <v>#N/A</v>
      </c>
      <c r="Y47">
        <f>IF(Table13[[#This Row],[Category All]]="Category 2",Table13[[#This Row],[Base Abalone Value]]*0.8,NA())</f>
        <v>0.74872000000000005</v>
      </c>
      <c r="Z47" t="e">
        <f>IF(Table13[[#This Row],[Category All]]="Category 3",Table13[[#This Row],[Base Abalone Value]],NA())</f>
        <v>#N/A</v>
      </c>
      <c r="AA47" s="2" t="e">
        <f>IF(Table13[[#This Row],[Gender]]="M",Table13[[#This Row],[Whole_weight]],NA())</f>
        <v>#N/A</v>
      </c>
      <c r="AB47" s="2" t="e">
        <f>IF(Table13[[#This Row],[Gender]]="F",Table13[[#This Row],[Whole_weight]],NA())</f>
        <v>#N/A</v>
      </c>
      <c r="AC47" s="2">
        <f>IF(Table13[[#This Row],[Gender]]="I",Table13[[#This Row],[Whole_weight]],NA())</f>
        <v>0.38200000000000001</v>
      </c>
      <c r="AD47" s="2" t="e">
        <f>IF(Table13[[#This Row],[Gender]]="M",Table13[[#This Row],[Diameter]],NA())</f>
        <v>#N/A</v>
      </c>
      <c r="AE47" s="2" t="e">
        <f>IF(Table13[[#This Row],[Gender]]="F",Table13[[#This Row],[Diameter]],NA())</f>
        <v>#N/A</v>
      </c>
      <c r="AF47" s="2">
        <f>IF(Table13[[#This Row],[Gender]]="I",Table13[[#This Row],[Diameter]],NA())</f>
        <v>0.34</v>
      </c>
    </row>
    <row r="48" spans="1:32" x14ac:dyDescent="0.2">
      <c r="A48">
        <v>3611</v>
      </c>
      <c r="B48" t="s">
        <v>15</v>
      </c>
      <c r="C48">
        <v>0.57999999999999996</v>
      </c>
      <c r="D48">
        <v>0.45</v>
      </c>
      <c r="E48">
        <v>0.16</v>
      </c>
      <c r="F48">
        <v>0.86750000000000005</v>
      </c>
      <c r="G48">
        <v>0.39350000000000002</v>
      </c>
      <c r="H48">
        <v>0.221</v>
      </c>
      <c r="I48">
        <v>0.215</v>
      </c>
      <c r="J48">
        <v>9</v>
      </c>
      <c r="K48">
        <v>11</v>
      </c>
      <c r="L48" t="s">
        <v>5</v>
      </c>
      <c r="M48" t="s">
        <v>6</v>
      </c>
      <c r="N48" t="s">
        <v>3</v>
      </c>
      <c r="O48">
        <v>1</v>
      </c>
      <c r="P48" t="s">
        <v>4</v>
      </c>
      <c r="Q48">
        <v>22.1</v>
      </c>
      <c r="R48" t="str" cm="1">
        <f t="array" ref="R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8" t="e">
        <f>IF(Table13[[#This Row],[Category All]]="Category 1", "Yes",NA())</f>
        <v>#N/A</v>
      </c>
      <c r="T48" t="str">
        <f>IF(Table13[[#This Row],[Category All]]="Category 2", "Yes",NA())</f>
        <v>Yes</v>
      </c>
      <c r="U48" t="e">
        <f>IF(Table13[[#This Row],[Category All]]="Category 3", "Yes",NA())</f>
        <v>#N/A</v>
      </c>
      <c r="V48">
        <f>SUM(1,(1/3)*(Table13[[#This Row],[Length]]-0.5),(1/3)*(Table13[[#This Row],[Diameter]]-0.4),(1/3)*(Table13[[#This Row],[Height]]-0.4)*Table13[[#This Row],[Whole_weight]]*0.5)</f>
        <v>1.0086333333333333</v>
      </c>
      <c r="W48" cm="1">
        <f t="array" ref="W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0.80690666666666666</v>
      </c>
      <c r="X48" t="e">
        <f>IF(Table13[[#This Row],[Category All]]="Category 1",Table13[[#This Row],[Base Abalone Value]]*1.5,NA())</f>
        <v>#N/A</v>
      </c>
      <c r="Y48">
        <f>IF(Table13[[#This Row],[Category All]]="Category 2",Table13[[#This Row],[Base Abalone Value]]*0.8,NA())</f>
        <v>0.80690666666666666</v>
      </c>
      <c r="Z48" t="e">
        <f>IF(Table13[[#This Row],[Category All]]="Category 3",Table13[[#This Row],[Base Abalone Value]],NA())</f>
        <v>#N/A</v>
      </c>
      <c r="AA48" s="2">
        <f>IF(Table13[[#This Row],[Gender]]="M",Table13[[#This Row],[Whole_weight]],NA())</f>
        <v>0.86750000000000005</v>
      </c>
      <c r="AB48" s="2" t="e">
        <f>IF(Table13[[#This Row],[Gender]]="F",Table13[[#This Row],[Whole_weight]],NA())</f>
        <v>#N/A</v>
      </c>
      <c r="AC48" s="2" t="e">
        <f>IF(Table13[[#This Row],[Gender]]="I",Table13[[#This Row],[Whole_weight]],NA())</f>
        <v>#N/A</v>
      </c>
      <c r="AD48" s="2">
        <f>IF(Table13[[#This Row],[Gender]]="M",Table13[[#This Row],[Diameter]],NA())</f>
        <v>0.45</v>
      </c>
      <c r="AE48" s="2" t="e">
        <f>IF(Table13[[#This Row],[Gender]]="F",Table13[[#This Row],[Diameter]],NA())</f>
        <v>#N/A</v>
      </c>
      <c r="AF48" s="2" t="e">
        <f>IF(Table13[[#This Row],[Gender]]="I",Table13[[#This Row],[Diameter]],NA())</f>
        <v>#N/A</v>
      </c>
    </row>
    <row r="49" spans="1:32" x14ac:dyDescent="0.2">
      <c r="A49">
        <v>1399</v>
      </c>
      <c r="B49" t="s">
        <v>15</v>
      </c>
      <c r="C49">
        <v>0.64500000000000002</v>
      </c>
      <c r="D49">
        <v>0.52500000000000002</v>
      </c>
      <c r="E49">
        <v>0.16</v>
      </c>
      <c r="F49">
        <v>1.5075000000000001</v>
      </c>
      <c r="G49">
        <v>0.74550000000000005</v>
      </c>
      <c r="H49">
        <v>0.245</v>
      </c>
      <c r="I49">
        <v>0.4325</v>
      </c>
      <c r="J49">
        <v>11</v>
      </c>
      <c r="K49">
        <v>13</v>
      </c>
      <c r="L49" t="s">
        <v>12</v>
      </c>
      <c r="M49" t="s">
        <v>13</v>
      </c>
      <c r="N49" t="s">
        <v>3</v>
      </c>
      <c r="O49">
        <v>9</v>
      </c>
      <c r="P49" t="s">
        <v>46</v>
      </c>
      <c r="Q49">
        <v>1.9</v>
      </c>
      <c r="R49" t="str" cm="1">
        <f t="array" ref="R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9" t="e">
        <f>IF(Table13[[#This Row],[Category All]]="Category 1", "Yes",NA())</f>
        <v>#N/A</v>
      </c>
      <c r="T49" t="e">
        <f>IF(Table13[[#This Row],[Category All]]="Category 2", "Yes",NA())</f>
        <v>#N/A</v>
      </c>
      <c r="U49" t="str">
        <f>IF(Table13[[#This Row],[Category All]]="Category 3", "Yes",NA())</f>
        <v>Yes</v>
      </c>
      <c r="V49">
        <f>SUM(1,(1/3)*(Table13[[#This Row],[Length]]-0.5),(1/3)*(Table13[[#This Row],[Diameter]]-0.4),(1/3)*(Table13[[#This Row],[Height]]-0.4)*Table13[[#This Row],[Whole_weight]]*0.5)</f>
        <v>1.0297000000000001</v>
      </c>
      <c r="W49" cm="1">
        <f t="array" ref="W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1.0297000000000001</v>
      </c>
      <c r="X49" t="e">
        <f>IF(Table13[[#This Row],[Category All]]="Category 1",Table13[[#This Row],[Base Abalone Value]]*1.5,NA())</f>
        <v>#N/A</v>
      </c>
      <c r="Y49" t="e">
        <f>IF(Table13[[#This Row],[Category All]]="Category 2",Table13[[#This Row],[Base Abalone Value]]*0.8,NA())</f>
        <v>#N/A</v>
      </c>
      <c r="Z49">
        <f>IF(Table13[[#This Row],[Category All]]="Category 3",Table13[[#This Row],[Base Abalone Value]],NA())</f>
        <v>1.0297000000000001</v>
      </c>
      <c r="AA49" s="2">
        <f>IF(Table13[[#This Row],[Gender]]="M",Table13[[#This Row],[Whole_weight]],NA())</f>
        <v>1.5075000000000001</v>
      </c>
      <c r="AB49" s="2" t="e">
        <f>IF(Table13[[#This Row],[Gender]]="F",Table13[[#This Row],[Whole_weight]],NA())</f>
        <v>#N/A</v>
      </c>
      <c r="AC49" s="2" t="e">
        <f>IF(Table13[[#This Row],[Gender]]="I",Table13[[#This Row],[Whole_weight]],NA())</f>
        <v>#N/A</v>
      </c>
      <c r="AD49" s="2">
        <f>IF(Table13[[#This Row],[Gender]]="M",Table13[[#This Row],[Diameter]],NA())</f>
        <v>0.52500000000000002</v>
      </c>
      <c r="AE49" s="2" t="e">
        <f>IF(Table13[[#This Row],[Gender]]="F",Table13[[#This Row],[Diameter]],NA())</f>
        <v>#N/A</v>
      </c>
      <c r="AF49" s="2" t="e">
        <f>IF(Table13[[#This Row],[Gender]]="I",Table13[[#This Row],[Diameter]],NA())</f>
        <v>#N/A</v>
      </c>
    </row>
    <row r="50" spans="1:32" x14ac:dyDescent="0.2">
      <c r="A50">
        <v>3492</v>
      </c>
      <c r="B50" t="s">
        <v>15</v>
      </c>
      <c r="C50">
        <v>0.55000000000000004</v>
      </c>
      <c r="D50">
        <v>0.44</v>
      </c>
      <c r="E50">
        <v>0.16</v>
      </c>
      <c r="F50">
        <v>0.98499999999999999</v>
      </c>
      <c r="G50">
        <v>0.46450000000000002</v>
      </c>
      <c r="H50">
        <v>0.20100000000000001</v>
      </c>
      <c r="I50">
        <v>0.27</v>
      </c>
      <c r="J50">
        <v>8</v>
      </c>
      <c r="K50">
        <v>9</v>
      </c>
      <c r="L50" t="s">
        <v>20</v>
      </c>
      <c r="M50" t="s">
        <v>21</v>
      </c>
      <c r="N50" t="s">
        <v>22</v>
      </c>
      <c r="O50">
        <v>4</v>
      </c>
      <c r="P50" t="s">
        <v>10</v>
      </c>
      <c r="Q50">
        <v>6.1</v>
      </c>
      <c r="R50" t="str" cm="1">
        <f t="array" ref="R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0" t="e">
        <f>IF(Table13[[#This Row],[Category All]]="Category 1", "Yes",NA())</f>
        <v>#N/A</v>
      </c>
      <c r="T50" t="e">
        <f>IF(Table13[[#This Row],[Category All]]="Category 2", "Yes",NA())</f>
        <v>#N/A</v>
      </c>
      <c r="U50" t="str">
        <f>IF(Table13[[#This Row],[Category All]]="Category 3", "Yes",NA())</f>
        <v>Yes</v>
      </c>
      <c r="V50">
        <f>SUM(1,(1/3)*(Table13[[#This Row],[Length]]-0.5),(1/3)*(Table13[[#This Row],[Diameter]]-0.4),(1/3)*(Table13[[#This Row],[Height]]-0.4)*Table13[[#This Row],[Whole_weight]]*0.5)</f>
        <v>0.99060000000000004</v>
      </c>
      <c r="W50" cm="1">
        <f t="array" ref="W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0.99060000000000004</v>
      </c>
      <c r="X50" t="e">
        <f>IF(Table13[[#This Row],[Category All]]="Category 1",Table13[[#This Row],[Base Abalone Value]]*1.5,NA())</f>
        <v>#N/A</v>
      </c>
      <c r="Y50" t="e">
        <f>IF(Table13[[#This Row],[Category All]]="Category 2",Table13[[#This Row],[Base Abalone Value]]*0.8,NA())</f>
        <v>#N/A</v>
      </c>
      <c r="Z50">
        <f>IF(Table13[[#This Row],[Category All]]="Category 3",Table13[[#This Row],[Base Abalone Value]],NA())</f>
        <v>0.99060000000000004</v>
      </c>
      <c r="AA50" s="2">
        <f>IF(Table13[[#This Row],[Gender]]="M",Table13[[#This Row],[Whole_weight]],NA())</f>
        <v>0.98499999999999999</v>
      </c>
      <c r="AB50" s="2" t="e">
        <f>IF(Table13[[#This Row],[Gender]]="F",Table13[[#This Row],[Whole_weight]],NA())</f>
        <v>#N/A</v>
      </c>
      <c r="AC50" s="2" t="e">
        <f>IF(Table13[[#This Row],[Gender]]="I",Table13[[#This Row],[Whole_weight]],NA())</f>
        <v>#N/A</v>
      </c>
      <c r="AD50" s="2">
        <f>IF(Table13[[#This Row],[Gender]]="M",Table13[[#This Row],[Diameter]],NA())</f>
        <v>0.44</v>
      </c>
      <c r="AE50" s="2" t="e">
        <f>IF(Table13[[#This Row],[Gender]]="F",Table13[[#This Row],[Diameter]],NA())</f>
        <v>#N/A</v>
      </c>
      <c r="AF50" s="2" t="e">
        <f>IF(Table13[[#This Row],[Gender]]="I",Table13[[#This Row],[Diameter]],NA())</f>
        <v>#N/A</v>
      </c>
    </row>
    <row r="51" spans="1:32" x14ac:dyDescent="0.2">
      <c r="A51">
        <v>2176</v>
      </c>
      <c r="B51" t="s">
        <v>15</v>
      </c>
      <c r="C51">
        <v>0.57499999999999996</v>
      </c>
      <c r="D51">
        <v>0.45</v>
      </c>
      <c r="E51">
        <v>0.185</v>
      </c>
      <c r="F51">
        <v>0.92500000000000004</v>
      </c>
      <c r="G51">
        <v>0.34200000000000003</v>
      </c>
      <c r="H51">
        <v>0.19700000000000001</v>
      </c>
      <c r="I51">
        <v>0.35</v>
      </c>
      <c r="J51">
        <v>12</v>
      </c>
      <c r="K51">
        <v>12</v>
      </c>
      <c r="L51" t="s">
        <v>1</v>
      </c>
      <c r="M51" t="s">
        <v>2</v>
      </c>
      <c r="N51" t="s">
        <v>3</v>
      </c>
      <c r="O51">
        <v>1</v>
      </c>
      <c r="P51" t="s">
        <v>4</v>
      </c>
      <c r="Q51">
        <v>22.1</v>
      </c>
      <c r="R51" t="str" cm="1">
        <f t="array" ref="R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" t="e">
        <f>IF(Table13[[#This Row],[Category All]]="Category 1", "Yes",NA())</f>
        <v>#N/A</v>
      </c>
      <c r="T51" t="str">
        <f>IF(Table13[[#This Row],[Category All]]="Category 2", "Yes",NA())</f>
        <v>Yes</v>
      </c>
      <c r="U51" t="e">
        <f>IF(Table13[[#This Row],[Category All]]="Category 3", "Yes",NA())</f>
        <v>#N/A</v>
      </c>
      <c r="V51">
        <f>SUM(1,(1/3)*(Table13[[#This Row],[Length]]-0.5),(1/3)*(Table13[[#This Row],[Diameter]]-0.4),(1/3)*(Table13[[#This Row],[Height]]-0.4)*Table13[[#This Row],[Whole_weight]]*0.5)</f>
        <v>1.0085208333333331</v>
      </c>
      <c r="W51" cm="1">
        <f t="array" ref="W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0.80681666666666652</v>
      </c>
      <c r="X51" t="e">
        <f>IF(Table13[[#This Row],[Category All]]="Category 1",Table13[[#This Row],[Base Abalone Value]]*1.5,NA())</f>
        <v>#N/A</v>
      </c>
      <c r="Y51">
        <f>IF(Table13[[#This Row],[Category All]]="Category 2",Table13[[#This Row],[Base Abalone Value]]*0.8,NA())</f>
        <v>0.80681666666666652</v>
      </c>
      <c r="Z51" t="e">
        <f>IF(Table13[[#This Row],[Category All]]="Category 3",Table13[[#This Row],[Base Abalone Value]],NA())</f>
        <v>#N/A</v>
      </c>
      <c r="AA51" s="2">
        <f>IF(Table13[[#This Row],[Gender]]="M",Table13[[#This Row],[Whole_weight]],NA())</f>
        <v>0.92500000000000004</v>
      </c>
      <c r="AB51" s="2" t="e">
        <f>IF(Table13[[#This Row],[Gender]]="F",Table13[[#This Row],[Whole_weight]],NA())</f>
        <v>#N/A</v>
      </c>
      <c r="AC51" s="2" t="e">
        <f>IF(Table13[[#This Row],[Gender]]="I",Table13[[#This Row],[Whole_weight]],NA())</f>
        <v>#N/A</v>
      </c>
      <c r="AD51" s="2">
        <f>IF(Table13[[#This Row],[Gender]]="M",Table13[[#This Row],[Diameter]],NA())</f>
        <v>0.45</v>
      </c>
      <c r="AE51" s="2" t="e">
        <f>IF(Table13[[#This Row],[Gender]]="F",Table13[[#This Row],[Diameter]],NA())</f>
        <v>#N/A</v>
      </c>
      <c r="AF51" s="2" t="e">
        <f>IF(Table13[[#This Row],[Gender]]="I",Table13[[#This Row],[Diameter]],NA())</f>
        <v>#N/A</v>
      </c>
    </row>
    <row r="52" spans="1:32" x14ac:dyDescent="0.2">
      <c r="A52">
        <v>2708</v>
      </c>
      <c r="B52" t="s">
        <v>15</v>
      </c>
      <c r="C52">
        <v>0.72499999999999998</v>
      </c>
      <c r="D52">
        <v>0.55000000000000004</v>
      </c>
      <c r="E52">
        <v>0.2</v>
      </c>
      <c r="F52">
        <v>1.51</v>
      </c>
      <c r="G52">
        <v>0.87350000000000005</v>
      </c>
      <c r="H52">
        <v>0.42649999999999999</v>
      </c>
      <c r="I52">
        <v>0.50849999999999995</v>
      </c>
      <c r="J52">
        <v>9</v>
      </c>
      <c r="K52">
        <v>2</v>
      </c>
      <c r="L52" t="s">
        <v>32</v>
      </c>
      <c r="M52" t="s">
        <v>33</v>
      </c>
      <c r="N52" t="s">
        <v>34</v>
      </c>
      <c r="O52">
        <v>4</v>
      </c>
      <c r="P52" t="s">
        <v>10</v>
      </c>
      <c r="Q52">
        <v>6.1</v>
      </c>
      <c r="R52" t="str" cm="1">
        <f t="array" ref="R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2" t="e">
        <f>IF(Table13[[#This Row],[Category All]]="Category 1", "Yes",NA())</f>
        <v>#N/A</v>
      </c>
      <c r="T52" t="e">
        <f>IF(Table13[[#This Row],[Category All]]="Category 2", "Yes",NA())</f>
        <v>#N/A</v>
      </c>
      <c r="U52" t="str">
        <f>IF(Table13[[#This Row],[Category All]]="Category 3", "Yes",NA())</f>
        <v>Yes</v>
      </c>
      <c r="V52">
        <f>SUM(1,(1/3)*(Table13[[#This Row],[Length]]-0.5),(1/3)*(Table13[[#This Row],[Diameter]]-0.4),(1/3)*(Table13[[#This Row],[Height]]-0.4)*Table13[[#This Row],[Whole_weight]]*0.5)</f>
        <v>1.0746666666666667</v>
      </c>
      <c r="W52" cm="1">
        <f t="array" ref="W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1.0746666666666667</v>
      </c>
      <c r="X52" t="e">
        <f>IF(Table13[[#This Row],[Category All]]="Category 1",Table13[[#This Row],[Base Abalone Value]]*1.5,NA())</f>
        <v>#N/A</v>
      </c>
      <c r="Y52" t="e">
        <f>IF(Table13[[#This Row],[Category All]]="Category 2",Table13[[#This Row],[Base Abalone Value]]*0.8,NA())</f>
        <v>#N/A</v>
      </c>
      <c r="Z52">
        <f>IF(Table13[[#This Row],[Category All]]="Category 3",Table13[[#This Row],[Base Abalone Value]],NA())</f>
        <v>1.0746666666666667</v>
      </c>
      <c r="AA52" s="2">
        <f>IF(Table13[[#This Row],[Gender]]="M",Table13[[#This Row],[Whole_weight]],NA())</f>
        <v>1.51</v>
      </c>
      <c r="AB52" s="2" t="e">
        <f>IF(Table13[[#This Row],[Gender]]="F",Table13[[#This Row],[Whole_weight]],NA())</f>
        <v>#N/A</v>
      </c>
      <c r="AC52" s="2" t="e">
        <f>IF(Table13[[#This Row],[Gender]]="I",Table13[[#This Row],[Whole_weight]],NA())</f>
        <v>#N/A</v>
      </c>
      <c r="AD52" s="2">
        <f>IF(Table13[[#This Row],[Gender]]="M",Table13[[#This Row],[Diameter]],NA())</f>
        <v>0.55000000000000004</v>
      </c>
      <c r="AE52" s="2" t="e">
        <f>IF(Table13[[#This Row],[Gender]]="F",Table13[[#This Row],[Diameter]],NA())</f>
        <v>#N/A</v>
      </c>
      <c r="AF52" s="2" t="e">
        <f>IF(Table13[[#This Row],[Gender]]="I",Table13[[#This Row],[Diameter]],NA())</f>
        <v>#N/A</v>
      </c>
    </row>
    <row r="53" spans="1:32" x14ac:dyDescent="0.2">
      <c r="A53">
        <v>4140</v>
      </c>
      <c r="B53" t="s">
        <v>0</v>
      </c>
      <c r="C53">
        <v>0.63500000000000001</v>
      </c>
      <c r="D53">
        <v>0.495</v>
      </c>
      <c r="E53">
        <v>0.17499999999999999</v>
      </c>
      <c r="F53">
        <v>1.2355</v>
      </c>
      <c r="G53">
        <v>0.52049999999999996</v>
      </c>
      <c r="H53">
        <v>0.3085</v>
      </c>
      <c r="I53">
        <v>0.34699999999999998</v>
      </c>
      <c r="J53">
        <v>10</v>
      </c>
      <c r="K53">
        <v>5</v>
      </c>
      <c r="L53" t="s">
        <v>26</v>
      </c>
      <c r="M53" t="s">
        <v>27</v>
      </c>
      <c r="N53" t="s">
        <v>28</v>
      </c>
      <c r="O53">
        <v>1</v>
      </c>
      <c r="P53" t="s">
        <v>4</v>
      </c>
      <c r="Q53">
        <v>22.1</v>
      </c>
      <c r="R53" t="str" cm="1">
        <f t="array" ref="R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3" t="e">
        <f>IF(Table13[[#This Row],[Category All]]="Category 1", "Yes",NA())</f>
        <v>#N/A</v>
      </c>
      <c r="T53" t="e">
        <f>IF(Table13[[#This Row],[Category All]]="Category 2", "Yes",NA())</f>
        <v>#N/A</v>
      </c>
      <c r="U53" t="str">
        <f>IF(Table13[[#This Row],[Category All]]="Category 3", "Yes",NA())</f>
        <v>Yes</v>
      </c>
      <c r="V53">
        <f>SUM(1,(1/3)*(Table13[[#This Row],[Length]]-0.5),(1/3)*(Table13[[#This Row],[Diameter]]-0.4),(1/3)*(Table13[[#This Row],[Height]]-0.4)*Table13[[#This Row],[Whole_weight]]*0.5)</f>
        <v>1.0303354166666667</v>
      </c>
      <c r="W53" cm="1">
        <f t="array" ref="W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1.0303354166666667</v>
      </c>
      <c r="X53" t="e">
        <f>IF(Table13[[#This Row],[Category All]]="Category 1",Table13[[#This Row],[Base Abalone Value]]*1.5,NA())</f>
        <v>#N/A</v>
      </c>
      <c r="Y53" t="e">
        <f>IF(Table13[[#This Row],[Category All]]="Category 2",Table13[[#This Row],[Base Abalone Value]]*0.8,NA())</f>
        <v>#N/A</v>
      </c>
      <c r="Z53">
        <f>IF(Table13[[#This Row],[Category All]]="Category 3",Table13[[#This Row],[Base Abalone Value]],NA())</f>
        <v>1.0303354166666667</v>
      </c>
      <c r="AA53" s="2" t="e">
        <f>IF(Table13[[#This Row],[Gender]]="M",Table13[[#This Row],[Whole_weight]],NA())</f>
        <v>#N/A</v>
      </c>
      <c r="AB53" s="2">
        <f>IF(Table13[[#This Row],[Gender]]="F",Table13[[#This Row],[Whole_weight]],NA())</f>
        <v>1.2355</v>
      </c>
      <c r="AC53" s="2" t="e">
        <f>IF(Table13[[#This Row],[Gender]]="I",Table13[[#This Row],[Whole_weight]],NA())</f>
        <v>#N/A</v>
      </c>
      <c r="AD53" s="2" t="e">
        <f>IF(Table13[[#This Row],[Gender]]="M",Table13[[#This Row],[Diameter]],NA())</f>
        <v>#N/A</v>
      </c>
      <c r="AE53" s="2">
        <f>IF(Table13[[#This Row],[Gender]]="F",Table13[[#This Row],[Diameter]],NA())</f>
        <v>0.495</v>
      </c>
      <c r="AF53" s="2" t="e">
        <f>IF(Table13[[#This Row],[Gender]]="I",Table13[[#This Row],[Diameter]],NA())</f>
        <v>#N/A</v>
      </c>
    </row>
    <row r="54" spans="1:32" x14ac:dyDescent="0.2">
      <c r="A54">
        <v>3559</v>
      </c>
      <c r="B54" t="s">
        <v>11</v>
      </c>
      <c r="C54">
        <v>0.55000000000000004</v>
      </c>
      <c r="D54">
        <v>0.42499999999999999</v>
      </c>
      <c r="E54">
        <v>0.155</v>
      </c>
      <c r="F54">
        <v>0.87250000000000005</v>
      </c>
      <c r="G54">
        <v>0.41199999999999998</v>
      </c>
      <c r="H54">
        <v>0.187</v>
      </c>
      <c r="I54">
        <v>0.24249999999999999</v>
      </c>
      <c r="J54">
        <v>10</v>
      </c>
      <c r="K54">
        <v>14</v>
      </c>
      <c r="L54" t="s">
        <v>23</v>
      </c>
      <c r="M54" t="s">
        <v>24</v>
      </c>
      <c r="N54" t="s">
        <v>25</v>
      </c>
      <c r="O54">
        <v>4</v>
      </c>
      <c r="P54" t="s">
        <v>10</v>
      </c>
      <c r="Q54">
        <v>6.1</v>
      </c>
      <c r="R54" t="str" cm="1">
        <f t="array" ref="R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4" t="e">
        <f>IF(Table13[[#This Row],[Category All]]="Category 1", "Yes",NA())</f>
        <v>#N/A</v>
      </c>
      <c r="T54" t="e">
        <f>IF(Table13[[#This Row],[Category All]]="Category 2", "Yes",NA())</f>
        <v>#N/A</v>
      </c>
      <c r="U54" t="str">
        <f>IF(Table13[[#This Row],[Category All]]="Category 3", "Yes",NA())</f>
        <v>Yes</v>
      </c>
      <c r="V54">
        <f>SUM(1,(1/3)*(Table13[[#This Row],[Length]]-0.5),(1/3)*(Table13[[#This Row],[Diameter]]-0.4),(1/3)*(Table13[[#This Row],[Height]]-0.4)*Table13[[#This Row],[Whole_weight]]*0.5)</f>
        <v>0.9893729166666666</v>
      </c>
      <c r="W54" cm="1">
        <f t="array" ref="W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0.9893729166666666</v>
      </c>
      <c r="X54" t="e">
        <f>IF(Table13[[#This Row],[Category All]]="Category 1",Table13[[#This Row],[Base Abalone Value]]*1.5,NA())</f>
        <v>#N/A</v>
      </c>
      <c r="Y54" t="e">
        <f>IF(Table13[[#This Row],[Category All]]="Category 2",Table13[[#This Row],[Base Abalone Value]]*0.8,NA())</f>
        <v>#N/A</v>
      </c>
      <c r="Z54">
        <f>IF(Table13[[#This Row],[Category All]]="Category 3",Table13[[#This Row],[Base Abalone Value]],NA())</f>
        <v>0.9893729166666666</v>
      </c>
      <c r="AA54" s="2" t="e">
        <f>IF(Table13[[#This Row],[Gender]]="M",Table13[[#This Row],[Whole_weight]],NA())</f>
        <v>#N/A</v>
      </c>
      <c r="AB54" s="2" t="e">
        <f>IF(Table13[[#This Row],[Gender]]="F",Table13[[#This Row],[Whole_weight]],NA())</f>
        <v>#N/A</v>
      </c>
      <c r="AC54" s="2">
        <f>IF(Table13[[#This Row],[Gender]]="I",Table13[[#This Row],[Whole_weight]],NA())</f>
        <v>0.87250000000000005</v>
      </c>
      <c r="AD54" s="2" t="e">
        <f>IF(Table13[[#This Row],[Gender]]="M",Table13[[#This Row],[Diameter]],NA())</f>
        <v>#N/A</v>
      </c>
      <c r="AE54" s="2" t="e">
        <f>IF(Table13[[#This Row],[Gender]]="F",Table13[[#This Row],[Diameter]],NA())</f>
        <v>#N/A</v>
      </c>
      <c r="AF54" s="2">
        <f>IF(Table13[[#This Row],[Gender]]="I",Table13[[#This Row],[Diameter]],NA())</f>
        <v>0.42499999999999999</v>
      </c>
    </row>
    <row r="55" spans="1:32" x14ac:dyDescent="0.2">
      <c r="A55" t="s">
        <v>51</v>
      </c>
      <c r="B55" t="s">
        <v>15</v>
      </c>
      <c r="C55">
        <v>0.71</v>
      </c>
      <c r="D55">
        <v>0.55500000000000005</v>
      </c>
      <c r="E55">
        <v>0.19500000000000001</v>
      </c>
      <c r="F55">
        <v>1.9484999999999999</v>
      </c>
      <c r="G55">
        <v>0.94550000000000001</v>
      </c>
      <c r="H55">
        <v>0.3765</v>
      </c>
      <c r="I55">
        <v>0.495</v>
      </c>
      <c r="J55">
        <v>12</v>
      </c>
      <c r="K55" t="s">
        <v>51</v>
      </c>
      <c r="L55" t="s">
        <v>8</v>
      </c>
      <c r="M55" t="s">
        <v>9</v>
      </c>
      <c r="N55" t="s">
        <v>3</v>
      </c>
      <c r="O55" t="s">
        <v>51</v>
      </c>
      <c r="P55" t="s">
        <v>4</v>
      </c>
      <c r="Q55">
        <v>22.1</v>
      </c>
      <c r="R55" t="str" cm="1">
        <f t="array" ref="R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5" t="e">
        <f>IF(Table13[[#This Row],[Category All]]="Category 1", "Yes",NA())</f>
        <v>#N/A</v>
      </c>
      <c r="T55" t="e">
        <f>IF(Table13[[#This Row],[Category All]]="Category 2", "Yes",NA())</f>
        <v>#N/A</v>
      </c>
      <c r="U55" t="str">
        <f>IF(Table13[[#This Row],[Category All]]="Category 3", "Yes",NA())</f>
        <v>Yes</v>
      </c>
      <c r="V55">
        <f>SUM(1,(1/3)*(Table13[[#This Row],[Length]]-0.5),(1/3)*(Table13[[#This Row],[Diameter]]-0.4),(1/3)*(Table13[[#This Row],[Height]]-0.4)*Table13[[#This Row],[Whole_weight]]*0.5)</f>
        <v>1.0550929166666667</v>
      </c>
      <c r="W55" cm="1">
        <f t="array" ref="W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1.0550929166666667</v>
      </c>
      <c r="X55" t="e">
        <f>IF(Table13[[#This Row],[Category All]]="Category 1",Table13[[#This Row],[Base Abalone Value]]*1.5,NA())</f>
        <v>#N/A</v>
      </c>
      <c r="Y55" t="e">
        <f>IF(Table13[[#This Row],[Category All]]="Category 2",Table13[[#This Row],[Base Abalone Value]]*0.8,NA())</f>
        <v>#N/A</v>
      </c>
      <c r="Z55">
        <f>IF(Table13[[#This Row],[Category All]]="Category 3",Table13[[#This Row],[Base Abalone Value]],NA())</f>
        <v>1.0550929166666667</v>
      </c>
      <c r="AA55" s="2">
        <f>IF(Table13[[#This Row],[Gender]]="M",Table13[[#This Row],[Whole_weight]],NA())</f>
        <v>1.9484999999999999</v>
      </c>
      <c r="AB55" s="2" t="e">
        <f>IF(Table13[[#This Row],[Gender]]="F",Table13[[#This Row],[Whole_weight]],NA())</f>
        <v>#N/A</v>
      </c>
      <c r="AC55" s="2" t="e">
        <f>IF(Table13[[#This Row],[Gender]]="I",Table13[[#This Row],[Whole_weight]],NA())</f>
        <v>#N/A</v>
      </c>
      <c r="AD55" s="2">
        <f>IF(Table13[[#This Row],[Gender]]="M",Table13[[#This Row],[Diameter]],NA())</f>
        <v>0.55500000000000005</v>
      </c>
      <c r="AE55" s="2" t="e">
        <f>IF(Table13[[#This Row],[Gender]]="F",Table13[[#This Row],[Diameter]],NA())</f>
        <v>#N/A</v>
      </c>
      <c r="AF55" s="2" t="e">
        <f>IF(Table13[[#This Row],[Gender]]="I",Table13[[#This Row],[Diameter]],NA())</f>
        <v>#N/A</v>
      </c>
    </row>
    <row r="56" spans="1:32" x14ac:dyDescent="0.2">
      <c r="A56">
        <v>1787</v>
      </c>
      <c r="B56" t="s">
        <v>11</v>
      </c>
      <c r="C56">
        <v>0.53500000000000003</v>
      </c>
      <c r="D56">
        <v>0.38500000000000001</v>
      </c>
      <c r="E56">
        <v>0.18</v>
      </c>
      <c r="F56">
        <v>1.0834999999999999</v>
      </c>
      <c r="G56">
        <v>0.4955</v>
      </c>
      <c r="H56">
        <v>0.22950000000000001</v>
      </c>
      <c r="I56">
        <v>0.30399999999999999</v>
      </c>
      <c r="J56">
        <v>8</v>
      </c>
      <c r="K56">
        <v>7</v>
      </c>
      <c r="L56" t="s">
        <v>35</v>
      </c>
      <c r="M56" t="s">
        <v>36</v>
      </c>
      <c r="N56" t="s">
        <v>37</v>
      </c>
      <c r="O56">
        <v>5</v>
      </c>
      <c r="P56" t="s">
        <v>14</v>
      </c>
      <c r="Q56">
        <v>12.8</v>
      </c>
      <c r="R56" t="str" cm="1">
        <f t="array" ref="R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6" t="e">
        <f>IF(Table13[[#This Row],[Category All]]="Category 1", "Yes",NA())</f>
        <v>#N/A</v>
      </c>
      <c r="T56" t="e">
        <f>IF(Table13[[#This Row],[Category All]]="Category 2", "Yes",NA())</f>
        <v>#N/A</v>
      </c>
      <c r="U56" t="str">
        <f>IF(Table13[[#This Row],[Category All]]="Category 3", "Yes",NA())</f>
        <v>Yes</v>
      </c>
      <c r="V56">
        <f>SUM(1,(1/3)*(Table13[[#This Row],[Length]]-0.5),(1/3)*(Table13[[#This Row],[Diameter]]-0.4),(1/3)*(Table13[[#This Row],[Height]]-0.4)*Table13[[#This Row],[Whole_weight]]*0.5)</f>
        <v>0.96693833333333346</v>
      </c>
      <c r="W56" cm="1">
        <f t="array" ref="W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0.96693833333333346</v>
      </c>
      <c r="X56" t="e">
        <f>IF(Table13[[#This Row],[Category All]]="Category 1",Table13[[#This Row],[Base Abalone Value]]*1.5,NA())</f>
        <v>#N/A</v>
      </c>
      <c r="Y56" t="e">
        <f>IF(Table13[[#This Row],[Category All]]="Category 2",Table13[[#This Row],[Base Abalone Value]]*0.8,NA())</f>
        <v>#N/A</v>
      </c>
      <c r="Z56">
        <f>IF(Table13[[#This Row],[Category All]]="Category 3",Table13[[#This Row],[Base Abalone Value]],NA())</f>
        <v>0.96693833333333346</v>
      </c>
      <c r="AA56" s="2" t="e">
        <f>IF(Table13[[#This Row],[Gender]]="M",Table13[[#This Row],[Whole_weight]],NA())</f>
        <v>#N/A</v>
      </c>
      <c r="AB56" s="2" t="e">
        <f>IF(Table13[[#This Row],[Gender]]="F",Table13[[#This Row],[Whole_weight]],NA())</f>
        <v>#N/A</v>
      </c>
      <c r="AC56" s="2">
        <f>IF(Table13[[#This Row],[Gender]]="I",Table13[[#This Row],[Whole_weight]],NA())</f>
        <v>1.0834999999999999</v>
      </c>
      <c r="AD56" s="2" t="e">
        <f>IF(Table13[[#This Row],[Gender]]="M",Table13[[#This Row],[Diameter]],NA())</f>
        <v>#N/A</v>
      </c>
      <c r="AE56" s="2" t="e">
        <f>IF(Table13[[#This Row],[Gender]]="F",Table13[[#This Row],[Diameter]],NA())</f>
        <v>#N/A</v>
      </c>
      <c r="AF56" s="2">
        <f>IF(Table13[[#This Row],[Gender]]="I",Table13[[#This Row],[Diameter]],NA())</f>
        <v>0.38500000000000001</v>
      </c>
    </row>
    <row r="57" spans="1:32" x14ac:dyDescent="0.2">
      <c r="A57">
        <v>1999</v>
      </c>
      <c r="B57" t="s">
        <v>11</v>
      </c>
      <c r="C57">
        <v>0.35</v>
      </c>
      <c r="D57">
        <v>0.23499999999999999</v>
      </c>
      <c r="E57">
        <v>0.08</v>
      </c>
      <c r="F57">
        <v>0.17</v>
      </c>
      <c r="G57">
        <v>7.2499999999999995E-2</v>
      </c>
      <c r="H57">
        <v>4.65E-2</v>
      </c>
      <c r="I57">
        <v>4.9500000000000002E-2</v>
      </c>
      <c r="J57">
        <v>7</v>
      </c>
      <c r="K57">
        <v>3</v>
      </c>
      <c r="L57" t="s">
        <v>43</v>
      </c>
      <c r="M57" t="s">
        <v>44</v>
      </c>
      <c r="N57" t="s">
        <v>45</v>
      </c>
      <c r="O57">
        <v>4</v>
      </c>
      <c r="P57" t="s">
        <v>10</v>
      </c>
      <c r="Q57">
        <v>6.1</v>
      </c>
      <c r="R57" t="str" cm="1">
        <f t="array" ref="R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" t="e">
        <f>IF(Table13[[#This Row],[Category All]]="Category 1", "Yes",NA())</f>
        <v>#N/A</v>
      </c>
      <c r="T57" t="str">
        <f>IF(Table13[[#This Row],[Category All]]="Category 2", "Yes",NA())</f>
        <v>Yes</v>
      </c>
      <c r="U57" t="e">
        <f>IF(Table13[[#This Row],[Category All]]="Category 3", "Yes",NA())</f>
        <v>#N/A</v>
      </c>
      <c r="V57">
        <f>SUM(1,(1/3)*(Table13[[#This Row],[Length]]-0.5),(1/3)*(Table13[[#This Row],[Diameter]]-0.4),(1/3)*(Table13[[#This Row],[Height]]-0.4)*Table13[[#This Row],[Whole_weight]]*0.5)</f>
        <v>0.88593333333333324</v>
      </c>
      <c r="W57" cm="1">
        <f t="array" ref="W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0.70874666666666664</v>
      </c>
      <c r="X57" t="e">
        <f>IF(Table13[[#This Row],[Category All]]="Category 1",Table13[[#This Row],[Base Abalone Value]]*1.5,NA())</f>
        <v>#N/A</v>
      </c>
      <c r="Y57">
        <f>IF(Table13[[#This Row],[Category All]]="Category 2",Table13[[#This Row],[Base Abalone Value]]*0.8,NA())</f>
        <v>0.70874666666666664</v>
      </c>
      <c r="Z57" t="e">
        <f>IF(Table13[[#This Row],[Category All]]="Category 3",Table13[[#This Row],[Base Abalone Value]],NA())</f>
        <v>#N/A</v>
      </c>
      <c r="AA57" s="2" t="e">
        <f>IF(Table13[[#This Row],[Gender]]="M",Table13[[#This Row],[Whole_weight]],NA())</f>
        <v>#N/A</v>
      </c>
      <c r="AB57" s="2" t="e">
        <f>IF(Table13[[#This Row],[Gender]]="F",Table13[[#This Row],[Whole_weight]],NA())</f>
        <v>#N/A</v>
      </c>
      <c r="AC57" s="2">
        <f>IF(Table13[[#This Row],[Gender]]="I",Table13[[#This Row],[Whole_weight]],NA())</f>
        <v>0.17</v>
      </c>
      <c r="AD57" s="2" t="e">
        <f>IF(Table13[[#This Row],[Gender]]="M",Table13[[#This Row],[Diameter]],NA())</f>
        <v>#N/A</v>
      </c>
      <c r="AE57" s="2" t="e">
        <f>IF(Table13[[#This Row],[Gender]]="F",Table13[[#This Row],[Diameter]],NA())</f>
        <v>#N/A</v>
      </c>
      <c r="AF57" s="2">
        <f>IF(Table13[[#This Row],[Gender]]="I",Table13[[#This Row],[Diameter]],NA())</f>
        <v>0.23499999999999999</v>
      </c>
    </row>
    <row r="58" spans="1:32" x14ac:dyDescent="0.2">
      <c r="A58">
        <v>4134</v>
      </c>
      <c r="B58" t="s">
        <v>15</v>
      </c>
      <c r="C58">
        <v>0.58499999999999996</v>
      </c>
      <c r="D58">
        <v>0.45</v>
      </c>
      <c r="E58">
        <v>0.15</v>
      </c>
      <c r="F58">
        <v>0.997</v>
      </c>
      <c r="G58">
        <v>0.40550000000000003</v>
      </c>
      <c r="H58">
        <v>0.28299999999999997</v>
      </c>
      <c r="I58">
        <v>0.251</v>
      </c>
      <c r="J58">
        <v>11</v>
      </c>
      <c r="K58">
        <v>5</v>
      </c>
      <c r="L58" t="s">
        <v>26</v>
      </c>
      <c r="M58" t="s">
        <v>27</v>
      </c>
      <c r="N58" t="s">
        <v>28</v>
      </c>
      <c r="O58">
        <v>1</v>
      </c>
      <c r="P58" t="s">
        <v>4</v>
      </c>
      <c r="Q58">
        <v>22.1</v>
      </c>
      <c r="R58" t="str" cm="1">
        <f t="array" ref="R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8" t="e">
        <f>IF(Table13[[#This Row],[Category All]]="Category 1", "Yes",NA())</f>
        <v>#N/A</v>
      </c>
      <c r="T58" t="e">
        <f>IF(Table13[[#This Row],[Category All]]="Category 2", "Yes",NA())</f>
        <v>#N/A</v>
      </c>
      <c r="U58" t="str">
        <f>IF(Table13[[#This Row],[Category All]]="Category 3", "Yes",NA())</f>
        <v>Yes</v>
      </c>
      <c r="V58">
        <f>SUM(1,(1/3)*(Table13[[#This Row],[Length]]-0.5),(1/3)*(Table13[[#This Row],[Diameter]]-0.4),(1/3)*(Table13[[#This Row],[Height]]-0.4)*Table13[[#This Row],[Whole_weight]]*0.5)</f>
        <v>1.0034583333333333</v>
      </c>
      <c r="W58" cm="1">
        <f t="array" ref="W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1.0034583333333333</v>
      </c>
      <c r="X58" t="e">
        <f>IF(Table13[[#This Row],[Category All]]="Category 1",Table13[[#This Row],[Base Abalone Value]]*1.5,NA())</f>
        <v>#N/A</v>
      </c>
      <c r="Y58" t="e">
        <f>IF(Table13[[#This Row],[Category All]]="Category 2",Table13[[#This Row],[Base Abalone Value]]*0.8,NA())</f>
        <v>#N/A</v>
      </c>
      <c r="Z58">
        <f>IF(Table13[[#This Row],[Category All]]="Category 3",Table13[[#This Row],[Base Abalone Value]],NA())</f>
        <v>1.0034583333333333</v>
      </c>
      <c r="AA58" s="2">
        <f>IF(Table13[[#This Row],[Gender]]="M",Table13[[#This Row],[Whole_weight]],NA())</f>
        <v>0.997</v>
      </c>
      <c r="AB58" s="2" t="e">
        <f>IF(Table13[[#This Row],[Gender]]="F",Table13[[#This Row],[Whole_weight]],NA())</f>
        <v>#N/A</v>
      </c>
      <c r="AC58" s="2" t="e">
        <f>IF(Table13[[#This Row],[Gender]]="I",Table13[[#This Row],[Whole_weight]],NA())</f>
        <v>#N/A</v>
      </c>
      <c r="AD58" s="2">
        <f>IF(Table13[[#This Row],[Gender]]="M",Table13[[#This Row],[Diameter]],NA())</f>
        <v>0.45</v>
      </c>
      <c r="AE58" s="2" t="e">
        <f>IF(Table13[[#This Row],[Gender]]="F",Table13[[#This Row],[Diameter]],NA())</f>
        <v>#N/A</v>
      </c>
      <c r="AF58" s="2" t="e">
        <f>IF(Table13[[#This Row],[Gender]]="I",Table13[[#This Row],[Diameter]],NA())</f>
        <v>#N/A</v>
      </c>
    </row>
    <row r="59" spans="1:32" x14ac:dyDescent="0.2">
      <c r="A59">
        <v>3987</v>
      </c>
      <c r="B59" t="s">
        <v>0</v>
      </c>
      <c r="C59">
        <v>0.64500000000000002</v>
      </c>
      <c r="D59">
        <v>0.52500000000000002</v>
      </c>
      <c r="E59">
        <v>0.17</v>
      </c>
      <c r="F59">
        <v>1.37</v>
      </c>
      <c r="G59">
        <v>0.61350000000000005</v>
      </c>
      <c r="H59">
        <v>0.28299999999999997</v>
      </c>
      <c r="I59">
        <v>0.34</v>
      </c>
      <c r="J59">
        <v>10</v>
      </c>
      <c r="K59">
        <v>7</v>
      </c>
      <c r="L59" t="s">
        <v>35</v>
      </c>
      <c r="M59" t="s">
        <v>36</v>
      </c>
      <c r="N59" t="s">
        <v>37</v>
      </c>
      <c r="O59">
        <v>5</v>
      </c>
      <c r="P59" t="s">
        <v>14</v>
      </c>
      <c r="Q59">
        <v>12.8</v>
      </c>
      <c r="R59" t="str" cm="1">
        <f t="array" ref="R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9" t="e">
        <f>IF(Table13[[#This Row],[Category All]]="Category 1", "Yes",NA())</f>
        <v>#N/A</v>
      </c>
      <c r="T59" t="e">
        <f>IF(Table13[[#This Row],[Category All]]="Category 2", "Yes",NA())</f>
        <v>#N/A</v>
      </c>
      <c r="U59" t="str">
        <f>IF(Table13[[#This Row],[Category All]]="Category 3", "Yes",NA())</f>
        <v>Yes</v>
      </c>
      <c r="V59">
        <f>SUM(1,(1/3)*(Table13[[#This Row],[Length]]-0.5),(1/3)*(Table13[[#This Row],[Diameter]]-0.4),(1/3)*(Table13[[#This Row],[Height]]-0.4)*Table13[[#This Row],[Whole_weight]]*0.5)</f>
        <v>1.0374833333333333</v>
      </c>
      <c r="W59" cm="1">
        <f t="array" ref="W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1.0374833333333333</v>
      </c>
      <c r="X59" t="e">
        <f>IF(Table13[[#This Row],[Category All]]="Category 1",Table13[[#This Row],[Base Abalone Value]]*1.5,NA())</f>
        <v>#N/A</v>
      </c>
      <c r="Y59" t="e">
        <f>IF(Table13[[#This Row],[Category All]]="Category 2",Table13[[#This Row],[Base Abalone Value]]*0.8,NA())</f>
        <v>#N/A</v>
      </c>
      <c r="Z59">
        <f>IF(Table13[[#This Row],[Category All]]="Category 3",Table13[[#This Row],[Base Abalone Value]],NA())</f>
        <v>1.0374833333333333</v>
      </c>
      <c r="AA59" s="2" t="e">
        <f>IF(Table13[[#This Row],[Gender]]="M",Table13[[#This Row],[Whole_weight]],NA())</f>
        <v>#N/A</v>
      </c>
      <c r="AB59" s="2">
        <f>IF(Table13[[#This Row],[Gender]]="F",Table13[[#This Row],[Whole_weight]],NA())</f>
        <v>1.37</v>
      </c>
      <c r="AC59" s="2" t="e">
        <f>IF(Table13[[#This Row],[Gender]]="I",Table13[[#This Row],[Whole_weight]],NA())</f>
        <v>#N/A</v>
      </c>
      <c r="AD59" s="2" t="e">
        <f>IF(Table13[[#This Row],[Gender]]="M",Table13[[#This Row],[Diameter]],NA())</f>
        <v>#N/A</v>
      </c>
      <c r="AE59" s="2">
        <f>IF(Table13[[#This Row],[Gender]]="F",Table13[[#This Row],[Diameter]],NA())</f>
        <v>0.52500000000000002</v>
      </c>
      <c r="AF59" s="2" t="e">
        <f>IF(Table13[[#This Row],[Gender]]="I",Table13[[#This Row],[Diameter]],NA())</f>
        <v>#N/A</v>
      </c>
    </row>
    <row r="60" spans="1:32" x14ac:dyDescent="0.2">
      <c r="A60">
        <v>3217</v>
      </c>
      <c r="B60" t="s">
        <v>15</v>
      </c>
      <c r="C60">
        <v>0.63</v>
      </c>
      <c r="D60">
        <v>0.51</v>
      </c>
      <c r="E60">
        <v>0.19</v>
      </c>
      <c r="F60">
        <v>1.4984999999999999</v>
      </c>
      <c r="G60">
        <v>0.41249999999999998</v>
      </c>
      <c r="H60">
        <v>0.3075</v>
      </c>
      <c r="I60">
        <v>0.54500000000000004</v>
      </c>
      <c r="J60">
        <v>16</v>
      </c>
      <c r="K60">
        <v>1</v>
      </c>
      <c r="L60" t="s">
        <v>8</v>
      </c>
      <c r="M60" t="s">
        <v>9</v>
      </c>
      <c r="N60" t="s">
        <v>3</v>
      </c>
      <c r="O60">
        <v>8</v>
      </c>
      <c r="P60" t="s">
        <v>19</v>
      </c>
      <c r="Q60">
        <v>12.3</v>
      </c>
      <c r="R60" t="str" cm="1">
        <f t="array" ref="R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" t="e">
        <f>IF(Table13[[#This Row],[Category All]]="Category 1", "Yes",NA())</f>
        <v>#N/A</v>
      </c>
      <c r="T60" t="str">
        <f>IF(Table13[[#This Row],[Category All]]="Category 2", "Yes",NA())</f>
        <v>Yes</v>
      </c>
      <c r="U60" t="e">
        <f>IF(Table13[[#This Row],[Category All]]="Category 3", "Yes",NA())</f>
        <v>#N/A</v>
      </c>
      <c r="V60">
        <f>SUM(1,(1/3)*(Table13[[#This Row],[Length]]-0.5),(1/3)*(Table13[[#This Row],[Diameter]]-0.4),(1/3)*(Table13[[#This Row],[Height]]-0.4)*Table13[[#This Row],[Whole_weight]]*0.5)</f>
        <v>1.0275525000000001</v>
      </c>
      <c r="W60" cm="1">
        <f t="array" ref="W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0.82204200000000016</v>
      </c>
      <c r="X60" t="e">
        <f>IF(Table13[[#This Row],[Category All]]="Category 1",Table13[[#This Row],[Base Abalone Value]]*1.5,NA())</f>
        <v>#N/A</v>
      </c>
      <c r="Y60">
        <f>IF(Table13[[#This Row],[Category All]]="Category 2",Table13[[#This Row],[Base Abalone Value]]*0.8,NA())</f>
        <v>0.82204200000000016</v>
      </c>
      <c r="Z60" t="e">
        <f>IF(Table13[[#This Row],[Category All]]="Category 3",Table13[[#This Row],[Base Abalone Value]],NA())</f>
        <v>#N/A</v>
      </c>
      <c r="AA60" s="2">
        <f>IF(Table13[[#This Row],[Gender]]="M",Table13[[#This Row],[Whole_weight]],NA())</f>
        <v>1.4984999999999999</v>
      </c>
      <c r="AB60" s="2" t="e">
        <f>IF(Table13[[#This Row],[Gender]]="F",Table13[[#This Row],[Whole_weight]],NA())</f>
        <v>#N/A</v>
      </c>
      <c r="AC60" s="2" t="e">
        <f>IF(Table13[[#This Row],[Gender]]="I",Table13[[#This Row],[Whole_weight]],NA())</f>
        <v>#N/A</v>
      </c>
      <c r="AD60" s="2">
        <f>IF(Table13[[#This Row],[Gender]]="M",Table13[[#This Row],[Diameter]],NA())</f>
        <v>0.51</v>
      </c>
      <c r="AE60" s="2" t="e">
        <f>IF(Table13[[#This Row],[Gender]]="F",Table13[[#This Row],[Diameter]],NA())</f>
        <v>#N/A</v>
      </c>
      <c r="AF60" s="2" t="e">
        <f>IF(Table13[[#This Row],[Gender]]="I",Table13[[#This Row],[Diameter]],NA())</f>
        <v>#N/A</v>
      </c>
    </row>
    <row r="61" spans="1:32" x14ac:dyDescent="0.2">
      <c r="A61">
        <v>3111</v>
      </c>
      <c r="B61" t="s">
        <v>11</v>
      </c>
      <c r="C61">
        <v>0.39500000000000002</v>
      </c>
      <c r="D61">
        <v>0.3</v>
      </c>
      <c r="E61">
        <v>0.12</v>
      </c>
      <c r="F61">
        <v>0.29949999999999999</v>
      </c>
      <c r="G61">
        <v>0.1265</v>
      </c>
      <c r="H61">
        <v>6.8000000000000005E-2</v>
      </c>
      <c r="I61">
        <v>8.9499999999999996E-2</v>
      </c>
      <c r="J61">
        <v>8</v>
      </c>
      <c r="K61">
        <v>1</v>
      </c>
      <c r="L61" t="s">
        <v>8</v>
      </c>
      <c r="M61" t="s">
        <v>9</v>
      </c>
      <c r="N61" t="s">
        <v>3</v>
      </c>
      <c r="O61">
        <v>3</v>
      </c>
      <c r="P61" t="s">
        <v>48</v>
      </c>
      <c r="Q61">
        <v>3.6</v>
      </c>
      <c r="R61" t="str" cm="1">
        <f t="array" ref="R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1" t="e">
        <f>IF(Table13[[#This Row],[Category All]]="Category 1", "Yes",NA())</f>
        <v>#N/A</v>
      </c>
      <c r="T61" t="str">
        <f>IF(Table13[[#This Row],[Category All]]="Category 2", "Yes",NA())</f>
        <v>Yes</v>
      </c>
      <c r="U61" t="e">
        <f>IF(Table13[[#This Row],[Category All]]="Category 3", "Yes",NA())</f>
        <v>#N/A</v>
      </c>
      <c r="V61">
        <f>SUM(1,(1/3)*(Table13[[#This Row],[Length]]-0.5),(1/3)*(Table13[[#This Row],[Diameter]]-0.4),(1/3)*(Table13[[#This Row],[Height]]-0.4)*Table13[[#This Row],[Whole_weight]]*0.5)</f>
        <v>0.91769000000000001</v>
      </c>
      <c r="W61" cm="1">
        <f t="array" ref="W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0.73415200000000003</v>
      </c>
      <c r="X61" t="e">
        <f>IF(Table13[[#This Row],[Category All]]="Category 1",Table13[[#This Row],[Base Abalone Value]]*1.5,NA())</f>
        <v>#N/A</v>
      </c>
      <c r="Y61">
        <f>IF(Table13[[#This Row],[Category All]]="Category 2",Table13[[#This Row],[Base Abalone Value]]*0.8,NA())</f>
        <v>0.73415200000000003</v>
      </c>
      <c r="Z61" t="e">
        <f>IF(Table13[[#This Row],[Category All]]="Category 3",Table13[[#This Row],[Base Abalone Value]],NA())</f>
        <v>#N/A</v>
      </c>
      <c r="AA61" s="2" t="e">
        <f>IF(Table13[[#This Row],[Gender]]="M",Table13[[#This Row],[Whole_weight]],NA())</f>
        <v>#N/A</v>
      </c>
      <c r="AB61" s="2" t="e">
        <f>IF(Table13[[#This Row],[Gender]]="F",Table13[[#This Row],[Whole_weight]],NA())</f>
        <v>#N/A</v>
      </c>
      <c r="AC61" s="2">
        <f>IF(Table13[[#This Row],[Gender]]="I",Table13[[#This Row],[Whole_weight]],NA())</f>
        <v>0.29949999999999999</v>
      </c>
      <c r="AD61" s="2" t="e">
        <f>IF(Table13[[#This Row],[Gender]]="M",Table13[[#This Row],[Diameter]],NA())</f>
        <v>#N/A</v>
      </c>
      <c r="AE61" s="2" t="e">
        <f>IF(Table13[[#This Row],[Gender]]="F",Table13[[#This Row],[Diameter]],NA())</f>
        <v>#N/A</v>
      </c>
      <c r="AF61" s="2">
        <f>IF(Table13[[#This Row],[Gender]]="I",Table13[[#This Row],[Diameter]],NA())</f>
        <v>0.3</v>
      </c>
    </row>
    <row r="62" spans="1:32" x14ac:dyDescent="0.2">
      <c r="A62">
        <v>3836</v>
      </c>
      <c r="B62" t="s">
        <v>0</v>
      </c>
      <c r="C62">
        <v>0.42499999999999999</v>
      </c>
      <c r="D62">
        <v>0.35</v>
      </c>
      <c r="E62">
        <v>0.1</v>
      </c>
      <c r="F62">
        <v>0.4425</v>
      </c>
      <c r="G62">
        <v>0.17499999999999999</v>
      </c>
      <c r="H62">
        <v>7.5499999999999998E-2</v>
      </c>
      <c r="I62">
        <v>0.17499999999999999</v>
      </c>
      <c r="J62">
        <v>7</v>
      </c>
      <c r="K62">
        <v>2</v>
      </c>
      <c r="L62" t="s">
        <v>32</v>
      </c>
      <c r="M62" t="s">
        <v>33</v>
      </c>
      <c r="N62" t="s">
        <v>34</v>
      </c>
      <c r="O62">
        <v>3</v>
      </c>
      <c r="P62" t="s">
        <v>48</v>
      </c>
      <c r="Q62">
        <v>3.6</v>
      </c>
      <c r="R62" t="str" cm="1">
        <f t="array" ref="R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2" t="e">
        <f>IF(Table13[[#This Row],[Category All]]="Category 1", "Yes",NA())</f>
        <v>#N/A</v>
      </c>
      <c r="T62" t="str">
        <f>IF(Table13[[#This Row],[Category All]]="Category 2", "Yes",NA())</f>
        <v>Yes</v>
      </c>
      <c r="U62" t="e">
        <f>IF(Table13[[#This Row],[Category All]]="Category 3", "Yes",NA())</f>
        <v>#N/A</v>
      </c>
      <c r="V62">
        <f>SUM(1,(1/3)*(Table13[[#This Row],[Length]]-0.5),(1/3)*(Table13[[#This Row],[Diameter]]-0.4),(1/3)*(Table13[[#This Row],[Height]]-0.4)*Table13[[#This Row],[Whole_weight]]*0.5)</f>
        <v>0.93620833333333331</v>
      </c>
      <c r="W62" cm="1">
        <f t="array" ref="W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0.74896666666666667</v>
      </c>
      <c r="X62" t="e">
        <f>IF(Table13[[#This Row],[Category All]]="Category 1",Table13[[#This Row],[Base Abalone Value]]*1.5,NA())</f>
        <v>#N/A</v>
      </c>
      <c r="Y62">
        <f>IF(Table13[[#This Row],[Category All]]="Category 2",Table13[[#This Row],[Base Abalone Value]]*0.8,NA())</f>
        <v>0.74896666666666667</v>
      </c>
      <c r="Z62" t="e">
        <f>IF(Table13[[#This Row],[Category All]]="Category 3",Table13[[#This Row],[Base Abalone Value]],NA())</f>
        <v>#N/A</v>
      </c>
      <c r="AA62" s="2" t="e">
        <f>IF(Table13[[#This Row],[Gender]]="M",Table13[[#This Row],[Whole_weight]],NA())</f>
        <v>#N/A</v>
      </c>
      <c r="AB62" s="2">
        <f>IF(Table13[[#This Row],[Gender]]="F",Table13[[#This Row],[Whole_weight]],NA())</f>
        <v>0.4425</v>
      </c>
      <c r="AC62" s="2" t="e">
        <f>IF(Table13[[#This Row],[Gender]]="I",Table13[[#This Row],[Whole_weight]],NA())</f>
        <v>#N/A</v>
      </c>
      <c r="AD62" s="2" t="e">
        <f>IF(Table13[[#This Row],[Gender]]="M",Table13[[#This Row],[Diameter]],NA())</f>
        <v>#N/A</v>
      </c>
      <c r="AE62" s="2">
        <f>IF(Table13[[#This Row],[Gender]]="F",Table13[[#This Row],[Diameter]],NA())</f>
        <v>0.35</v>
      </c>
      <c r="AF62" s="2" t="e">
        <f>IF(Table13[[#This Row],[Gender]]="I",Table13[[#This Row],[Diameter]],NA())</f>
        <v>#N/A</v>
      </c>
    </row>
    <row r="63" spans="1:32" x14ac:dyDescent="0.2">
      <c r="A63">
        <v>156</v>
      </c>
      <c r="B63" t="s">
        <v>15</v>
      </c>
      <c r="C63">
        <v>0.51500000000000001</v>
      </c>
      <c r="D63">
        <v>0.40500000000000003</v>
      </c>
      <c r="E63">
        <v>0.13</v>
      </c>
      <c r="F63">
        <v>0.72199999999999998</v>
      </c>
      <c r="G63">
        <v>0.32</v>
      </c>
      <c r="H63">
        <v>0.13100000000000001</v>
      </c>
      <c r="I63">
        <v>0.21</v>
      </c>
      <c r="J63">
        <v>10</v>
      </c>
      <c r="K63">
        <v>15</v>
      </c>
      <c r="L63" t="s">
        <v>49</v>
      </c>
      <c r="M63" t="s">
        <v>50</v>
      </c>
      <c r="N63" t="s">
        <v>3</v>
      </c>
      <c r="O63">
        <v>2</v>
      </c>
      <c r="P63" t="s">
        <v>7</v>
      </c>
      <c r="Q63">
        <v>18</v>
      </c>
      <c r="R63" t="str" cm="1">
        <f t="array" ref="R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3" t="e">
        <f>IF(Table13[[#This Row],[Category All]]="Category 1", "Yes",NA())</f>
        <v>#N/A</v>
      </c>
      <c r="T63" t="str">
        <f>IF(Table13[[#This Row],[Category All]]="Category 2", "Yes",NA())</f>
        <v>Yes</v>
      </c>
      <c r="U63" t="e">
        <f>IF(Table13[[#This Row],[Category All]]="Category 3", "Yes",NA())</f>
        <v>#N/A</v>
      </c>
      <c r="V63">
        <f>SUM(1,(1/3)*(Table13[[#This Row],[Length]]-0.5),(1/3)*(Table13[[#This Row],[Diameter]]-0.4),(1/3)*(Table13[[#This Row],[Height]]-0.4)*Table13[[#This Row],[Whole_weight]]*0.5)</f>
        <v>0.97417666666666658</v>
      </c>
      <c r="W63" cm="1">
        <f t="array" ref="W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0.77934133333333333</v>
      </c>
      <c r="X63" t="e">
        <f>IF(Table13[[#This Row],[Category All]]="Category 1",Table13[[#This Row],[Base Abalone Value]]*1.5,NA())</f>
        <v>#N/A</v>
      </c>
      <c r="Y63">
        <f>IF(Table13[[#This Row],[Category All]]="Category 2",Table13[[#This Row],[Base Abalone Value]]*0.8,NA())</f>
        <v>0.77934133333333333</v>
      </c>
      <c r="Z63" t="e">
        <f>IF(Table13[[#This Row],[Category All]]="Category 3",Table13[[#This Row],[Base Abalone Value]],NA())</f>
        <v>#N/A</v>
      </c>
      <c r="AA63" s="2">
        <f>IF(Table13[[#This Row],[Gender]]="M",Table13[[#This Row],[Whole_weight]],NA())</f>
        <v>0.72199999999999998</v>
      </c>
      <c r="AB63" s="2" t="e">
        <f>IF(Table13[[#This Row],[Gender]]="F",Table13[[#This Row],[Whole_weight]],NA())</f>
        <v>#N/A</v>
      </c>
      <c r="AC63" s="2" t="e">
        <f>IF(Table13[[#This Row],[Gender]]="I",Table13[[#This Row],[Whole_weight]],NA())</f>
        <v>#N/A</v>
      </c>
      <c r="AD63" s="2">
        <f>IF(Table13[[#This Row],[Gender]]="M",Table13[[#This Row],[Diameter]],NA())</f>
        <v>0.40500000000000003</v>
      </c>
      <c r="AE63" s="2" t="e">
        <f>IF(Table13[[#This Row],[Gender]]="F",Table13[[#This Row],[Diameter]],NA())</f>
        <v>#N/A</v>
      </c>
      <c r="AF63" s="2" t="e">
        <f>IF(Table13[[#This Row],[Gender]]="I",Table13[[#This Row],[Diameter]],NA())</f>
        <v>#N/A</v>
      </c>
    </row>
    <row r="64" spans="1:32" x14ac:dyDescent="0.2">
      <c r="A64">
        <v>1825</v>
      </c>
      <c r="B64" t="s">
        <v>11</v>
      </c>
      <c r="C64">
        <v>0.185</v>
      </c>
      <c r="D64">
        <v>0.13500000000000001</v>
      </c>
      <c r="E64">
        <v>0.04</v>
      </c>
      <c r="F64">
        <v>2.7E-2</v>
      </c>
      <c r="G64">
        <v>1.0500000000000001E-2</v>
      </c>
      <c r="H64">
        <v>5.4999999999999997E-3</v>
      </c>
      <c r="I64">
        <v>8.9999999999999993E-3</v>
      </c>
      <c r="J64">
        <v>5</v>
      </c>
      <c r="K64">
        <v>9</v>
      </c>
      <c r="L64" t="s">
        <v>20</v>
      </c>
      <c r="M64" t="s">
        <v>21</v>
      </c>
      <c r="N64" t="s">
        <v>22</v>
      </c>
      <c r="O64">
        <v>10</v>
      </c>
      <c r="P64" t="s">
        <v>38</v>
      </c>
      <c r="Q64">
        <v>24.1</v>
      </c>
      <c r="R64" t="str" cm="1">
        <f t="array" ref="R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" t="e">
        <f>IF(Table13[[#This Row],[Category All]]="Category 1", "Yes",NA())</f>
        <v>#N/A</v>
      </c>
      <c r="T64" t="str">
        <f>IF(Table13[[#This Row],[Category All]]="Category 2", "Yes",NA())</f>
        <v>Yes</v>
      </c>
      <c r="U64" t="e">
        <f>IF(Table13[[#This Row],[Category All]]="Category 3", "Yes",NA())</f>
        <v>#N/A</v>
      </c>
      <c r="V64">
        <f>SUM(1,(1/3)*(Table13[[#This Row],[Length]]-0.5),(1/3)*(Table13[[#This Row],[Diameter]]-0.4),(1/3)*(Table13[[#This Row],[Height]]-0.4)*Table13[[#This Row],[Whole_weight]]*0.5)</f>
        <v>0.80504666666666669</v>
      </c>
      <c r="W64" cm="1">
        <f t="array" ref="W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0.64403733333333335</v>
      </c>
      <c r="X64" t="e">
        <f>IF(Table13[[#This Row],[Category All]]="Category 1",Table13[[#This Row],[Base Abalone Value]]*1.5,NA())</f>
        <v>#N/A</v>
      </c>
      <c r="Y64">
        <f>IF(Table13[[#This Row],[Category All]]="Category 2",Table13[[#This Row],[Base Abalone Value]]*0.8,NA())</f>
        <v>0.64403733333333335</v>
      </c>
      <c r="Z64" t="e">
        <f>IF(Table13[[#This Row],[Category All]]="Category 3",Table13[[#This Row],[Base Abalone Value]],NA())</f>
        <v>#N/A</v>
      </c>
      <c r="AA64" s="2" t="e">
        <f>IF(Table13[[#This Row],[Gender]]="M",Table13[[#This Row],[Whole_weight]],NA())</f>
        <v>#N/A</v>
      </c>
      <c r="AB64" s="2" t="e">
        <f>IF(Table13[[#This Row],[Gender]]="F",Table13[[#This Row],[Whole_weight]],NA())</f>
        <v>#N/A</v>
      </c>
      <c r="AC64" s="2">
        <f>IF(Table13[[#This Row],[Gender]]="I",Table13[[#This Row],[Whole_weight]],NA())</f>
        <v>2.7E-2</v>
      </c>
      <c r="AD64" s="2" t="e">
        <f>IF(Table13[[#This Row],[Gender]]="M",Table13[[#This Row],[Diameter]],NA())</f>
        <v>#N/A</v>
      </c>
      <c r="AE64" s="2" t="e">
        <f>IF(Table13[[#This Row],[Gender]]="F",Table13[[#This Row],[Diameter]],NA())</f>
        <v>#N/A</v>
      </c>
      <c r="AF64" s="2">
        <f>IF(Table13[[#This Row],[Gender]]="I",Table13[[#This Row],[Diameter]],NA())</f>
        <v>0.13500000000000001</v>
      </c>
    </row>
    <row r="65" spans="1:32" x14ac:dyDescent="0.2">
      <c r="A65">
        <v>3941</v>
      </c>
      <c r="B65" t="s">
        <v>15</v>
      </c>
      <c r="C65">
        <v>0.505</v>
      </c>
      <c r="D65">
        <v>0.39</v>
      </c>
      <c r="E65">
        <v>0.105</v>
      </c>
      <c r="F65">
        <v>0.65549999999999997</v>
      </c>
      <c r="G65">
        <v>0.25950000000000001</v>
      </c>
      <c r="H65">
        <v>0.18</v>
      </c>
      <c r="I65">
        <v>0.19</v>
      </c>
      <c r="J65">
        <v>11</v>
      </c>
      <c r="K65">
        <v>4</v>
      </c>
      <c r="L65" t="s">
        <v>52</v>
      </c>
      <c r="M65" t="s">
        <v>53</v>
      </c>
      <c r="N65" t="s">
        <v>54</v>
      </c>
      <c r="O65">
        <v>6</v>
      </c>
      <c r="P65" t="s">
        <v>47</v>
      </c>
      <c r="Q65">
        <v>14.1</v>
      </c>
      <c r="R65" t="str" cm="1">
        <f t="array" ref="R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5" t="e">
        <f>IF(Table13[[#This Row],[Category All]]="Category 1", "Yes",NA())</f>
        <v>#N/A</v>
      </c>
      <c r="T65" t="str">
        <f>IF(Table13[[#This Row],[Category All]]="Category 2", "Yes",NA())</f>
        <v>Yes</v>
      </c>
      <c r="U65" t="e">
        <f>IF(Table13[[#This Row],[Category All]]="Category 3", "Yes",NA())</f>
        <v>#N/A</v>
      </c>
      <c r="V65">
        <f>SUM(1,(1/3)*(Table13[[#This Row],[Length]]-0.5),(1/3)*(Table13[[#This Row],[Diameter]]-0.4),(1/3)*(Table13[[#This Row],[Height]]-0.4)*Table13[[#This Row],[Whole_weight]]*0.5)</f>
        <v>0.96610458333333338</v>
      </c>
      <c r="W65" cm="1">
        <f t="array" ref="W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0.77288366666666675</v>
      </c>
      <c r="X65" t="e">
        <f>IF(Table13[[#This Row],[Category All]]="Category 1",Table13[[#This Row],[Base Abalone Value]]*1.5,NA())</f>
        <v>#N/A</v>
      </c>
      <c r="Y65">
        <f>IF(Table13[[#This Row],[Category All]]="Category 2",Table13[[#This Row],[Base Abalone Value]]*0.8,NA())</f>
        <v>0.77288366666666675</v>
      </c>
      <c r="Z65" t="e">
        <f>IF(Table13[[#This Row],[Category All]]="Category 3",Table13[[#This Row],[Base Abalone Value]],NA())</f>
        <v>#N/A</v>
      </c>
      <c r="AA65" s="2">
        <f>IF(Table13[[#This Row],[Gender]]="M",Table13[[#This Row],[Whole_weight]],NA())</f>
        <v>0.65549999999999997</v>
      </c>
      <c r="AB65" s="2" t="e">
        <f>IF(Table13[[#This Row],[Gender]]="F",Table13[[#This Row],[Whole_weight]],NA())</f>
        <v>#N/A</v>
      </c>
      <c r="AC65" s="2" t="e">
        <f>IF(Table13[[#This Row],[Gender]]="I",Table13[[#This Row],[Whole_weight]],NA())</f>
        <v>#N/A</v>
      </c>
      <c r="AD65" s="2">
        <f>IF(Table13[[#This Row],[Gender]]="M",Table13[[#This Row],[Diameter]],NA())</f>
        <v>0.39</v>
      </c>
      <c r="AE65" s="2" t="e">
        <f>IF(Table13[[#This Row],[Gender]]="F",Table13[[#This Row],[Diameter]],NA())</f>
        <v>#N/A</v>
      </c>
      <c r="AF65" s="2" t="e">
        <f>IF(Table13[[#This Row],[Gender]]="I",Table13[[#This Row],[Diameter]],NA())</f>
        <v>#N/A</v>
      </c>
    </row>
    <row r="66" spans="1:32" x14ac:dyDescent="0.2">
      <c r="A66">
        <v>481</v>
      </c>
      <c r="B66" t="s">
        <v>0</v>
      </c>
      <c r="C66">
        <v>0.7</v>
      </c>
      <c r="D66">
        <v>0.58499999999999996</v>
      </c>
      <c r="E66">
        <v>0.185</v>
      </c>
      <c r="F66">
        <v>1.8075000000000001</v>
      </c>
      <c r="G66">
        <v>0.70550000000000002</v>
      </c>
      <c r="H66">
        <v>0.32150000000000001</v>
      </c>
      <c r="I66">
        <v>0.47499999999999998</v>
      </c>
      <c r="J66">
        <v>29</v>
      </c>
      <c r="K66">
        <v>11</v>
      </c>
      <c r="L66" t="s">
        <v>5</v>
      </c>
      <c r="M66" t="s">
        <v>6</v>
      </c>
      <c r="N66" t="s">
        <v>3</v>
      </c>
      <c r="O66">
        <v>5</v>
      </c>
      <c r="P66" t="s">
        <v>14</v>
      </c>
      <c r="Q66">
        <v>12.8</v>
      </c>
      <c r="R66" t="str" cm="1">
        <f t="array" ref="R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" t="e">
        <f>IF(Table13[[#This Row],[Category All]]="Category 1", "Yes",NA())</f>
        <v>#N/A</v>
      </c>
      <c r="T66" t="str">
        <f>IF(Table13[[#This Row],[Category All]]="Category 2", "Yes",NA())</f>
        <v>Yes</v>
      </c>
      <c r="U66" t="e">
        <f>IF(Table13[[#This Row],[Category All]]="Category 3", "Yes",NA())</f>
        <v>#N/A</v>
      </c>
      <c r="V66">
        <f>SUM(1,(1/3)*(Table13[[#This Row],[Length]]-0.5),(1/3)*(Table13[[#This Row],[Diameter]]-0.4),(1/3)*(Table13[[#This Row],[Height]]-0.4)*Table13[[#This Row],[Whole_weight]]*0.5)</f>
        <v>1.0635645833333334</v>
      </c>
      <c r="W66" cm="1">
        <f t="array" ref="W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0.85085166666666678</v>
      </c>
      <c r="X66" t="e">
        <f>IF(Table13[[#This Row],[Category All]]="Category 1",Table13[[#This Row],[Base Abalone Value]]*1.5,NA())</f>
        <v>#N/A</v>
      </c>
      <c r="Y66">
        <f>IF(Table13[[#This Row],[Category All]]="Category 2",Table13[[#This Row],[Base Abalone Value]]*0.8,NA())</f>
        <v>0.85085166666666678</v>
      </c>
      <c r="Z66" t="e">
        <f>IF(Table13[[#This Row],[Category All]]="Category 3",Table13[[#This Row],[Base Abalone Value]],NA())</f>
        <v>#N/A</v>
      </c>
      <c r="AA66" s="2" t="e">
        <f>IF(Table13[[#This Row],[Gender]]="M",Table13[[#This Row],[Whole_weight]],NA())</f>
        <v>#N/A</v>
      </c>
      <c r="AB66" s="2">
        <f>IF(Table13[[#This Row],[Gender]]="F",Table13[[#This Row],[Whole_weight]],NA())</f>
        <v>1.8075000000000001</v>
      </c>
      <c r="AC66" s="2" t="e">
        <f>IF(Table13[[#This Row],[Gender]]="I",Table13[[#This Row],[Whole_weight]],NA())</f>
        <v>#N/A</v>
      </c>
      <c r="AD66" s="2" t="e">
        <f>IF(Table13[[#This Row],[Gender]]="M",Table13[[#This Row],[Diameter]],NA())</f>
        <v>#N/A</v>
      </c>
      <c r="AE66" s="2">
        <f>IF(Table13[[#This Row],[Gender]]="F",Table13[[#This Row],[Diameter]],NA())</f>
        <v>0.58499999999999996</v>
      </c>
      <c r="AF66" s="2" t="e">
        <f>IF(Table13[[#This Row],[Gender]]="I",Table13[[#This Row],[Diameter]],NA())</f>
        <v>#N/A</v>
      </c>
    </row>
    <row r="67" spans="1:32" x14ac:dyDescent="0.2">
      <c r="A67">
        <v>3516</v>
      </c>
      <c r="B67" t="s">
        <v>0</v>
      </c>
      <c r="C67">
        <v>0.69</v>
      </c>
      <c r="D67">
        <v>0.52500000000000002</v>
      </c>
      <c r="E67">
        <v>0.19</v>
      </c>
      <c r="F67">
        <v>1.492</v>
      </c>
      <c r="G67">
        <v>0.64249999999999996</v>
      </c>
      <c r="H67">
        <v>0.39050000000000001</v>
      </c>
      <c r="I67">
        <v>0.42</v>
      </c>
      <c r="J67">
        <v>12</v>
      </c>
      <c r="K67">
        <v>4</v>
      </c>
      <c r="L67" t="s">
        <v>52</v>
      </c>
      <c r="M67" t="s">
        <v>53</v>
      </c>
      <c r="N67" t="s">
        <v>54</v>
      </c>
      <c r="O67">
        <v>9</v>
      </c>
      <c r="P67" t="s">
        <v>46</v>
      </c>
      <c r="Q67">
        <v>1.9</v>
      </c>
      <c r="R67" t="str" cm="1">
        <f t="array" ref="R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7" t="e">
        <f>IF(Table13[[#This Row],[Category All]]="Category 1", "Yes",NA())</f>
        <v>#N/A</v>
      </c>
      <c r="T67" t="e">
        <f>IF(Table13[[#This Row],[Category All]]="Category 2", "Yes",NA())</f>
        <v>#N/A</v>
      </c>
      <c r="U67" t="str">
        <f>IF(Table13[[#This Row],[Category All]]="Category 3", "Yes",NA())</f>
        <v>Yes</v>
      </c>
      <c r="V67">
        <f>SUM(1,(1/3)*(Table13[[#This Row],[Length]]-0.5),(1/3)*(Table13[[#This Row],[Diameter]]-0.4),(1/3)*(Table13[[#This Row],[Height]]-0.4)*Table13[[#This Row],[Whole_weight]]*0.5)</f>
        <v>1.05278</v>
      </c>
      <c r="W67" cm="1">
        <f t="array" ref="W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1.05278</v>
      </c>
      <c r="X67" t="e">
        <f>IF(Table13[[#This Row],[Category All]]="Category 1",Table13[[#This Row],[Base Abalone Value]]*1.5,NA())</f>
        <v>#N/A</v>
      </c>
      <c r="Y67" t="e">
        <f>IF(Table13[[#This Row],[Category All]]="Category 2",Table13[[#This Row],[Base Abalone Value]]*0.8,NA())</f>
        <v>#N/A</v>
      </c>
      <c r="Z67">
        <f>IF(Table13[[#This Row],[Category All]]="Category 3",Table13[[#This Row],[Base Abalone Value]],NA())</f>
        <v>1.05278</v>
      </c>
      <c r="AA67" s="2" t="e">
        <f>IF(Table13[[#This Row],[Gender]]="M",Table13[[#This Row],[Whole_weight]],NA())</f>
        <v>#N/A</v>
      </c>
      <c r="AB67" s="2">
        <f>IF(Table13[[#This Row],[Gender]]="F",Table13[[#This Row],[Whole_weight]],NA())</f>
        <v>1.492</v>
      </c>
      <c r="AC67" s="2" t="e">
        <f>IF(Table13[[#This Row],[Gender]]="I",Table13[[#This Row],[Whole_weight]],NA())</f>
        <v>#N/A</v>
      </c>
      <c r="AD67" s="2" t="e">
        <f>IF(Table13[[#This Row],[Gender]]="M",Table13[[#This Row],[Diameter]],NA())</f>
        <v>#N/A</v>
      </c>
      <c r="AE67" s="2">
        <f>IF(Table13[[#This Row],[Gender]]="F",Table13[[#This Row],[Diameter]],NA())</f>
        <v>0.52500000000000002</v>
      </c>
      <c r="AF67" s="2" t="e">
        <f>IF(Table13[[#This Row],[Gender]]="I",Table13[[#This Row],[Diameter]],NA())</f>
        <v>#N/A</v>
      </c>
    </row>
    <row r="68" spans="1:32" x14ac:dyDescent="0.2">
      <c r="A68">
        <v>2672</v>
      </c>
      <c r="B68" t="s">
        <v>0</v>
      </c>
      <c r="C68">
        <v>0.59</v>
      </c>
      <c r="D68">
        <v>0.46</v>
      </c>
      <c r="E68">
        <v>0.16</v>
      </c>
      <c r="F68">
        <v>1.0115000000000001</v>
      </c>
      <c r="G68">
        <v>0.44500000000000001</v>
      </c>
      <c r="H68">
        <v>0.26150000000000001</v>
      </c>
      <c r="I68">
        <v>0.25650000000000001</v>
      </c>
      <c r="J68">
        <v>8</v>
      </c>
      <c r="K68">
        <v>4</v>
      </c>
      <c r="L68" t="s">
        <v>52</v>
      </c>
      <c r="M68" t="s">
        <v>53</v>
      </c>
      <c r="N68" t="s">
        <v>54</v>
      </c>
      <c r="O68">
        <v>9</v>
      </c>
      <c r="P68" t="s">
        <v>46</v>
      </c>
      <c r="Q68">
        <v>1.9</v>
      </c>
      <c r="R68" t="str" cm="1">
        <f t="array" ref="R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8" t="e">
        <f>IF(Table13[[#This Row],[Category All]]="Category 1", "Yes",NA())</f>
        <v>#N/A</v>
      </c>
      <c r="T68" t="e">
        <f>IF(Table13[[#This Row],[Category All]]="Category 2", "Yes",NA())</f>
        <v>#N/A</v>
      </c>
      <c r="U68" t="str">
        <f>IF(Table13[[#This Row],[Category All]]="Category 3", "Yes",NA())</f>
        <v>Yes</v>
      </c>
      <c r="V68">
        <f>SUM(1,(1/3)*(Table13[[#This Row],[Length]]-0.5),(1/3)*(Table13[[#This Row],[Diameter]]-0.4),(1/3)*(Table13[[#This Row],[Height]]-0.4)*Table13[[#This Row],[Whole_weight]]*0.5)</f>
        <v>1.0095400000000001</v>
      </c>
      <c r="W68" cm="1">
        <f t="array" ref="W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1.0095400000000001</v>
      </c>
      <c r="X68" t="e">
        <f>IF(Table13[[#This Row],[Category All]]="Category 1",Table13[[#This Row],[Base Abalone Value]]*1.5,NA())</f>
        <v>#N/A</v>
      </c>
      <c r="Y68" t="e">
        <f>IF(Table13[[#This Row],[Category All]]="Category 2",Table13[[#This Row],[Base Abalone Value]]*0.8,NA())</f>
        <v>#N/A</v>
      </c>
      <c r="Z68">
        <f>IF(Table13[[#This Row],[Category All]]="Category 3",Table13[[#This Row],[Base Abalone Value]],NA())</f>
        <v>1.0095400000000001</v>
      </c>
      <c r="AA68" s="2" t="e">
        <f>IF(Table13[[#This Row],[Gender]]="M",Table13[[#This Row],[Whole_weight]],NA())</f>
        <v>#N/A</v>
      </c>
      <c r="AB68" s="2">
        <f>IF(Table13[[#This Row],[Gender]]="F",Table13[[#This Row],[Whole_weight]],NA())</f>
        <v>1.0115000000000001</v>
      </c>
      <c r="AC68" s="2" t="e">
        <f>IF(Table13[[#This Row],[Gender]]="I",Table13[[#This Row],[Whole_weight]],NA())</f>
        <v>#N/A</v>
      </c>
      <c r="AD68" s="2" t="e">
        <f>IF(Table13[[#This Row],[Gender]]="M",Table13[[#This Row],[Diameter]],NA())</f>
        <v>#N/A</v>
      </c>
      <c r="AE68" s="2">
        <f>IF(Table13[[#This Row],[Gender]]="F",Table13[[#This Row],[Diameter]],NA())</f>
        <v>0.46</v>
      </c>
      <c r="AF68" s="2" t="e">
        <f>IF(Table13[[#This Row],[Gender]]="I",Table13[[#This Row],[Diameter]],NA())</f>
        <v>#N/A</v>
      </c>
    </row>
    <row r="69" spans="1:32" x14ac:dyDescent="0.2">
      <c r="A69">
        <v>3499</v>
      </c>
      <c r="B69" t="s">
        <v>15</v>
      </c>
      <c r="C69">
        <v>0.59</v>
      </c>
      <c r="D69">
        <v>0.46</v>
      </c>
      <c r="E69">
        <v>0.14499999999999999</v>
      </c>
      <c r="F69">
        <v>0.92900000000000005</v>
      </c>
      <c r="G69">
        <v>0.38</v>
      </c>
      <c r="H69">
        <v>0.24</v>
      </c>
      <c r="I69">
        <v>0.255</v>
      </c>
      <c r="J69">
        <v>10</v>
      </c>
      <c r="K69">
        <v>5</v>
      </c>
      <c r="L69" t="s">
        <v>26</v>
      </c>
      <c r="M69" t="s">
        <v>27</v>
      </c>
      <c r="N69" t="s">
        <v>28</v>
      </c>
      <c r="O69">
        <v>1</v>
      </c>
      <c r="P69" t="s">
        <v>4</v>
      </c>
      <c r="Q69">
        <v>22.1</v>
      </c>
      <c r="R69" t="str" cm="1">
        <f t="array" ref="R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9" t="e">
        <f>IF(Table13[[#This Row],[Category All]]="Category 1", "Yes",NA())</f>
        <v>#N/A</v>
      </c>
      <c r="T69" t="str">
        <f>IF(Table13[[#This Row],[Category All]]="Category 2", "Yes",NA())</f>
        <v>Yes</v>
      </c>
      <c r="U69" t="e">
        <f>IF(Table13[[#This Row],[Category All]]="Category 3", "Yes",NA())</f>
        <v>#N/A</v>
      </c>
      <c r="V69">
        <f>SUM(1,(1/3)*(Table13[[#This Row],[Length]]-0.5),(1/3)*(Table13[[#This Row],[Diameter]]-0.4),(1/3)*(Table13[[#This Row],[Height]]-0.4)*Table13[[#This Row],[Whole_weight]]*0.5)</f>
        <v>1.0105175</v>
      </c>
      <c r="W69" cm="1">
        <f t="array" ref="W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0.80841399999999997</v>
      </c>
      <c r="X69" t="e">
        <f>IF(Table13[[#This Row],[Category All]]="Category 1",Table13[[#This Row],[Base Abalone Value]]*1.5,NA())</f>
        <v>#N/A</v>
      </c>
      <c r="Y69">
        <f>IF(Table13[[#This Row],[Category All]]="Category 2",Table13[[#This Row],[Base Abalone Value]]*0.8,NA())</f>
        <v>0.80841399999999997</v>
      </c>
      <c r="Z69" t="e">
        <f>IF(Table13[[#This Row],[Category All]]="Category 3",Table13[[#This Row],[Base Abalone Value]],NA())</f>
        <v>#N/A</v>
      </c>
      <c r="AA69" s="2">
        <f>IF(Table13[[#This Row],[Gender]]="M",Table13[[#This Row],[Whole_weight]],NA())</f>
        <v>0.92900000000000005</v>
      </c>
      <c r="AB69" s="2" t="e">
        <f>IF(Table13[[#This Row],[Gender]]="F",Table13[[#This Row],[Whole_weight]],NA())</f>
        <v>#N/A</v>
      </c>
      <c r="AC69" s="2" t="e">
        <f>IF(Table13[[#This Row],[Gender]]="I",Table13[[#This Row],[Whole_weight]],NA())</f>
        <v>#N/A</v>
      </c>
      <c r="AD69" s="2">
        <f>IF(Table13[[#This Row],[Gender]]="M",Table13[[#This Row],[Diameter]],NA())</f>
        <v>0.46</v>
      </c>
      <c r="AE69" s="2" t="e">
        <f>IF(Table13[[#This Row],[Gender]]="F",Table13[[#This Row],[Diameter]],NA())</f>
        <v>#N/A</v>
      </c>
      <c r="AF69" s="2" t="e">
        <f>IF(Table13[[#This Row],[Gender]]="I",Table13[[#This Row],[Diameter]],NA())</f>
        <v>#N/A</v>
      </c>
    </row>
    <row r="70" spans="1:32" x14ac:dyDescent="0.2">
      <c r="A70">
        <v>2568</v>
      </c>
      <c r="B70" t="s">
        <v>0</v>
      </c>
      <c r="C70">
        <v>0.46</v>
      </c>
      <c r="D70">
        <v>0.35</v>
      </c>
      <c r="E70">
        <v>0.115</v>
      </c>
      <c r="F70">
        <v>0.46</v>
      </c>
      <c r="G70">
        <v>0.20250000000000001</v>
      </c>
      <c r="H70">
        <v>0.1115</v>
      </c>
      <c r="I70">
        <v>0.11650000000000001</v>
      </c>
      <c r="J70">
        <v>6</v>
      </c>
      <c r="K70">
        <v>13</v>
      </c>
      <c r="L70" t="s">
        <v>12</v>
      </c>
      <c r="M70" t="s">
        <v>13</v>
      </c>
      <c r="N70" t="s">
        <v>3</v>
      </c>
      <c r="O70">
        <v>1</v>
      </c>
      <c r="P70" t="s">
        <v>4</v>
      </c>
      <c r="Q70">
        <v>22.1</v>
      </c>
      <c r="R70" t="str" cm="1">
        <f t="array" ref="R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0" t="e">
        <f>IF(Table13[[#This Row],[Category All]]="Category 1", "Yes",NA())</f>
        <v>#N/A</v>
      </c>
      <c r="T70" t="str">
        <f>IF(Table13[[#This Row],[Category All]]="Category 2", "Yes",NA())</f>
        <v>Yes</v>
      </c>
      <c r="U70" t="e">
        <f>IF(Table13[[#This Row],[Category All]]="Category 3", "Yes",NA())</f>
        <v>#N/A</v>
      </c>
      <c r="V70">
        <f>SUM(1,(1/3)*(Table13[[#This Row],[Length]]-0.5),(1/3)*(Table13[[#This Row],[Diameter]]-0.4),(1/3)*(Table13[[#This Row],[Height]]-0.4)*Table13[[#This Row],[Whole_weight]]*0.5)</f>
        <v>0.94814999999999994</v>
      </c>
      <c r="W70" cm="1">
        <f t="array" ref="W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0.75851999999999997</v>
      </c>
      <c r="X70" t="e">
        <f>IF(Table13[[#This Row],[Category All]]="Category 1",Table13[[#This Row],[Base Abalone Value]]*1.5,NA())</f>
        <v>#N/A</v>
      </c>
      <c r="Y70">
        <f>IF(Table13[[#This Row],[Category All]]="Category 2",Table13[[#This Row],[Base Abalone Value]]*0.8,NA())</f>
        <v>0.75851999999999997</v>
      </c>
      <c r="Z70" t="e">
        <f>IF(Table13[[#This Row],[Category All]]="Category 3",Table13[[#This Row],[Base Abalone Value]],NA())</f>
        <v>#N/A</v>
      </c>
      <c r="AA70" s="2" t="e">
        <f>IF(Table13[[#This Row],[Gender]]="M",Table13[[#This Row],[Whole_weight]],NA())</f>
        <v>#N/A</v>
      </c>
      <c r="AB70" s="2">
        <f>IF(Table13[[#This Row],[Gender]]="F",Table13[[#This Row],[Whole_weight]],NA())</f>
        <v>0.46</v>
      </c>
      <c r="AC70" s="2" t="e">
        <f>IF(Table13[[#This Row],[Gender]]="I",Table13[[#This Row],[Whole_weight]],NA())</f>
        <v>#N/A</v>
      </c>
      <c r="AD70" s="2" t="e">
        <f>IF(Table13[[#This Row],[Gender]]="M",Table13[[#This Row],[Diameter]],NA())</f>
        <v>#N/A</v>
      </c>
      <c r="AE70" s="2">
        <f>IF(Table13[[#This Row],[Gender]]="F",Table13[[#This Row],[Diameter]],NA())</f>
        <v>0.35</v>
      </c>
      <c r="AF70" s="2" t="e">
        <f>IF(Table13[[#This Row],[Gender]]="I",Table13[[#This Row],[Diameter]],NA())</f>
        <v>#N/A</v>
      </c>
    </row>
    <row r="71" spans="1:32" x14ac:dyDescent="0.2">
      <c r="A71">
        <v>3590</v>
      </c>
      <c r="B71" t="s">
        <v>15</v>
      </c>
      <c r="C71">
        <v>0.65</v>
      </c>
      <c r="D71">
        <v>0.51500000000000001</v>
      </c>
      <c r="E71">
        <v>0.18</v>
      </c>
      <c r="F71">
        <v>1.4630000000000001</v>
      </c>
      <c r="G71">
        <v>0.65800000000000003</v>
      </c>
      <c r="H71">
        <v>0.3135</v>
      </c>
      <c r="I71">
        <v>0.41149999999999998</v>
      </c>
      <c r="J71">
        <v>11</v>
      </c>
      <c r="K71">
        <v>13</v>
      </c>
      <c r="L71" t="s">
        <v>12</v>
      </c>
      <c r="M71" t="s">
        <v>13</v>
      </c>
      <c r="N71" t="s">
        <v>3</v>
      </c>
      <c r="O71">
        <v>3</v>
      </c>
      <c r="P71" t="s">
        <v>48</v>
      </c>
      <c r="Q71">
        <v>3.6</v>
      </c>
      <c r="R71" t="str" cm="1">
        <f t="array" ref="R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1" t="e">
        <f>IF(Table13[[#This Row],[Category All]]="Category 1", "Yes",NA())</f>
        <v>#N/A</v>
      </c>
      <c r="T71" t="e">
        <f>IF(Table13[[#This Row],[Category All]]="Category 2", "Yes",NA())</f>
        <v>#N/A</v>
      </c>
      <c r="U71" t="str">
        <f>IF(Table13[[#This Row],[Category All]]="Category 3", "Yes",NA())</f>
        <v>Yes</v>
      </c>
      <c r="V71">
        <f>SUM(1,(1/3)*(Table13[[#This Row],[Length]]-0.5),(1/3)*(Table13[[#This Row],[Diameter]]-0.4),(1/3)*(Table13[[#This Row],[Height]]-0.4)*Table13[[#This Row],[Whole_weight]]*0.5)</f>
        <v>1.0346900000000001</v>
      </c>
      <c r="W71" cm="1">
        <f t="array" ref="W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1.0346900000000001</v>
      </c>
      <c r="X71" t="e">
        <f>IF(Table13[[#This Row],[Category All]]="Category 1",Table13[[#This Row],[Base Abalone Value]]*1.5,NA())</f>
        <v>#N/A</v>
      </c>
      <c r="Y71" t="e">
        <f>IF(Table13[[#This Row],[Category All]]="Category 2",Table13[[#This Row],[Base Abalone Value]]*0.8,NA())</f>
        <v>#N/A</v>
      </c>
      <c r="Z71">
        <f>IF(Table13[[#This Row],[Category All]]="Category 3",Table13[[#This Row],[Base Abalone Value]],NA())</f>
        <v>1.0346900000000001</v>
      </c>
      <c r="AA71" s="2">
        <f>IF(Table13[[#This Row],[Gender]]="M",Table13[[#This Row],[Whole_weight]],NA())</f>
        <v>1.4630000000000001</v>
      </c>
      <c r="AB71" s="2" t="e">
        <f>IF(Table13[[#This Row],[Gender]]="F",Table13[[#This Row],[Whole_weight]],NA())</f>
        <v>#N/A</v>
      </c>
      <c r="AC71" s="2" t="e">
        <f>IF(Table13[[#This Row],[Gender]]="I",Table13[[#This Row],[Whole_weight]],NA())</f>
        <v>#N/A</v>
      </c>
      <c r="AD71" s="2">
        <f>IF(Table13[[#This Row],[Gender]]="M",Table13[[#This Row],[Diameter]],NA())</f>
        <v>0.51500000000000001</v>
      </c>
      <c r="AE71" s="2" t="e">
        <f>IF(Table13[[#This Row],[Gender]]="F",Table13[[#This Row],[Diameter]],NA())</f>
        <v>#N/A</v>
      </c>
      <c r="AF71" s="2" t="e">
        <f>IF(Table13[[#This Row],[Gender]]="I",Table13[[#This Row],[Diameter]],NA())</f>
        <v>#N/A</v>
      </c>
    </row>
    <row r="72" spans="1:32" x14ac:dyDescent="0.2">
      <c r="A72">
        <v>1722</v>
      </c>
      <c r="B72" t="s">
        <v>15</v>
      </c>
      <c r="C72">
        <v>0.65500000000000003</v>
      </c>
      <c r="D72">
        <v>0.55000000000000004</v>
      </c>
      <c r="E72">
        <v>0.18</v>
      </c>
      <c r="F72">
        <v>1.274</v>
      </c>
      <c r="G72">
        <v>0.58599999999999997</v>
      </c>
      <c r="H72">
        <v>0.28100000000000003</v>
      </c>
      <c r="I72">
        <v>0.36499999999999999</v>
      </c>
      <c r="J72">
        <v>10</v>
      </c>
      <c r="K72">
        <v>15</v>
      </c>
      <c r="L72" t="s">
        <v>49</v>
      </c>
      <c r="M72" t="s">
        <v>50</v>
      </c>
      <c r="N72" t="s">
        <v>3</v>
      </c>
      <c r="O72">
        <v>4</v>
      </c>
      <c r="P72" t="s">
        <v>10</v>
      </c>
      <c r="Q72">
        <v>6.1</v>
      </c>
      <c r="R72" t="str" cm="1">
        <f t="array" ref="R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2" t="e">
        <f>IF(Table13[[#This Row],[Category All]]="Category 1", "Yes",NA())</f>
        <v>#N/A</v>
      </c>
      <c r="T72" t="e">
        <f>IF(Table13[[#This Row],[Category All]]="Category 2", "Yes",NA())</f>
        <v>#N/A</v>
      </c>
      <c r="U72" t="str">
        <f>IF(Table13[[#This Row],[Category All]]="Category 3", "Yes",NA())</f>
        <v>Yes</v>
      </c>
      <c r="V72">
        <f>SUM(1,(1/3)*(Table13[[#This Row],[Length]]-0.5),(1/3)*(Table13[[#This Row],[Diameter]]-0.4),(1/3)*(Table13[[#This Row],[Height]]-0.4)*Table13[[#This Row],[Whole_weight]]*0.5)</f>
        <v>1.0549533333333334</v>
      </c>
      <c r="W72" cm="1">
        <f t="array" ref="W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1.0549533333333334</v>
      </c>
      <c r="X72" t="e">
        <f>IF(Table13[[#This Row],[Category All]]="Category 1",Table13[[#This Row],[Base Abalone Value]]*1.5,NA())</f>
        <v>#N/A</v>
      </c>
      <c r="Y72" t="e">
        <f>IF(Table13[[#This Row],[Category All]]="Category 2",Table13[[#This Row],[Base Abalone Value]]*0.8,NA())</f>
        <v>#N/A</v>
      </c>
      <c r="Z72">
        <f>IF(Table13[[#This Row],[Category All]]="Category 3",Table13[[#This Row],[Base Abalone Value]],NA())</f>
        <v>1.0549533333333334</v>
      </c>
      <c r="AA72" s="2">
        <f>IF(Table13[[#This Row],[Gender]]="M",Table13[[#This Row],[Whole_weight]],NA())</f>
        <v>1.274</v>
      </c>
      <c r="AB72" s="2" t="e">
        <f>IF(Table13[[#This Row],[Gender]]="F",Table13[[#This Row],[Whole_weight]],NA())</f>
        <v>#N/A</v>
      </c>
      <c r="AC72" s="2" t="e">
        <f>IF(Table13[[#This Row],[Gender]]="I",Table13[[#This Row],[Whole_weight]],NA())</f>
        <v>#N/A</v>
      </c>
      <c r="AD72" s="2">
        <f>IF(Table13[[#This Row],[Gender]]="M",Table13[[#This Row],[Diameter]],NA())</f>
        <v>0.55000000000000004</v>
      </c>
      <c r="AE72" s="2" t="e">
        <f>IF(Table13[[#This Row],[Gender]]="F",Table13[[#This Row],[Diameter]],NA())</f>
        <v>#N/A</v>
      </c>
      <c r="AF72" s="2" t="e">
        <f>IF(Table13[[#This Row],[Gender]]="I",Table13[[#This Row],[Diameter]],NA())</f>
        <v>#N/A</v>
      </c>
    </row>
    <row r="73" spans="1:32" x14ac:dyDescent="0.2">
      <c r="A73">
        <v>2324</v>
      </c>
      <c r="B73" t="s">
        <v>11</v>
      </c>
      <c r="C73">
        <v>0.39500000000000002</v>
      </c>
      <c r="D73">
        <v>0.32500000000000001</v>
      </c>
      <c r="E73">
        <v>0.105</v>
      </c>
      <c r="F73">
        <v>0.30599999999999999</v>
      </c>
      <c r="G73">
        <v>0.111</v>
      </c>
      <c r="H73">
        <v>7.3499999999999996E-2</v>
      </c>
      <c r="I73">
        <v>9.5000000000000001E-2</v>
      </c>
      <c r="J73">
        <v>8</v>
      </c>
      <c r="K73">
        <v>2</v>
      </c>
      <c r="L73" t="s">
        <v>32</v>
      </c>
      <c r="M73" t="s">
        <v>33</v>
      </c>
      <c r="N73" t="s">
        <v>34</v>
      </c>
      <c r="O73">
        <v>10</v>
      </c>
      <c r="P73" t="s">
        <v>38</v>
      </c>
      <c r="Q73">
        <v>24.1</v>
      </c>
      <c r="R73" t="str" cm="1">
        <f t="array" ref="R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3" t="e">
        <f>IF(Table13[[#This Row],[Category All]]="Category 1", "Yes",NA())</f>
        <v>#N/A</v>
      </c>
      <c r="T73" t="str">
        <f>IF(Table13[[#This Row],[Category All]]="Category 2", "Yes",NA())</f>
        <v>Yes</v>
      </c>
      <c r="U73" t="e">
        <f>IF(Table13[[#This Row],[Category All]]="Category 3", "Yes",NA())</f>
        <v>#N/A</v>
      </c>
      <c r="V73">
        <f>SUM(1,(1/3)*(Table13[[#This Row],[Length]]-0.5),(1/3)*(Table13[[#This Row],[Diameter]]-0.4),(1/3)*(Table13[[#This Row],[Height]]-0.4)*Table13[[#This Row],[Whole_weight]]*0.5)</f>
        <v>0.92495499999999997</v>
      </c>
      <c r="W73" cm="1">
        <f t="array" ref="W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0.73996400000000007</v>
      </c>
      <c r="X73" t="e">
        <f>IF(Table13[[#This Row],[Category All]]="Category 1",Table13[[#This Row],[Base Abalone Value]]*1.5,NA())</f>
        <v>#N/A</v>
      </c>
      <c r="Y73">
        <f>IF(Table13[[#This Row],[Category All]]="Category 2",Table13[[#This Row],[Base Abalone Value]]*0.8,NA())</f>
        <v>0.73996400000000007</v>
      </c>
      <c r="Z73" t="e">
        <f>IF(Table13[[#This Row],[Category All]]="Category 3",Table13[[#This Row],[Base Abalone Value]],NA())</f>
        <v>#N/A</v>
      </c>
      <c r="AA73" s="2" t="e">
        <f>IF(Table13[[#This Row],[Gender]]="M",Table13[[#This Row],[Whole_weight]],NA())</f>
        <v>#N/A</v>
      </c>
      <c r="AB73" s="2" t="e">
        <f>IF(Table13[[#This Row],[Gender]]="F",Table13[[#This Row],[Whole_weight]],NA())</f>
        <v>#N/A</v>
      </c>
      <c r="AC73" s="2">
        <f>IF(Table13[[#This Row],[Gender]]="I",Table13[[#This Row],[Whole_weight]],NA())</f>
        <v>0.30599999999999999</v>
      </c>
      <c r="AD73" s="2" t="e">
        <f>IF(Table13[[#This Row],[Gender]]="M",Table13[[#This Row],[Diameter]],NA())</f>
        <v>#N/A</v>
      </c>
      <c r="AE73" s="2" t="e">
        <f>IF(Table13[[#This Row],[Gender]]="F",Table13[[#This Row],[Diameter]],NA())</f>
        <v>#N/A</v>
      </c>
      <c r="AF73" s="2">
        <f>IF(Table13[[#This Row],[Gender]]="I",Table13[[#This Row],[Diameter]],NA())</f>
        <v>0.32500000000000001</v>
      </c>
    </row>
    <row r="74" spans="1:32" x14ac:dyDescent="0.2">
      <c r="A74">
        <v>2644</v>
      </c>
      <c r="B74" t="s">
        <v>11</v>
      </c>
      <c r="C74">
        <v>0.48499999999999999</v>
      </c>
      <c r="D74">
        <v>0.375</v>
      </c>
      <c r="E74">
        <v>0.13</v>
      </c>
      <c r="F74">
        <v>0.55349999999999999</v>
      </c>
      <c r="G74">
        <v>0.26600000000000001</v>
      </c>
      <c r="H74">
        <v>0.112</v>
      </c>
      <c r="I74">
        <v>0.157</v>
      </c>
      <c r="J74">
        <v>8</v>
      </c>
      <c r="K74">
        <v>2</v>
      </c>
      <c r="L74" t="s">
        <v>32</v>
      </c>
      <c r="M74" t="s">
        <v>33</v>
      </c>
      <c r="N74" t="s">
        <v>34</v>
      </c>
      <c r="O74">
        <v>8</v>
      </c>
      <c r="P74" t="s">
        <v>19</v>
      </c>
      <c r="Q74">
        <v>12.3</v>
      </c>
      <c r="R74" t="str" cm="1">
        <f t="array" ref="R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4" t="e">
        <f>IF(Table13[[#This Row],[Category All]]="Category 1", "Yes",NA())</f>
        <v>#N/A</v>
      </c>
      <c r="T74" t="str">
        <f>IF(Table13[[#This Row],[Category All]]="Category 2", "Yes",NA())</f>
        <v>Yes</v>
      </c>
      <c r="U74" t="e">
        <f>IF(Table13[[#This Row],[Category All]]="Category 3", "Yes",NA())</f>
        <v>#N/A</v>
      </c>
      <c r="V74">
        <f>SUM(1,(1/3)*(Table13[[#This Row],[Length]]-0.5),(1/3)*(Table13[[#This Row],[Diameter]]-0.4),(1/3)*(Table13[[#This Row],[Height]]-0.4)*Table13[[#This Row],[Whole_weight]]*0.5)</f>
        <v>0.96175916666666672</v>
      </c>
      <c r="W74" cm="1">
        <f t="array" ref="W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0.76940733333333344</v>
      </c>
      <c r="X74" t="e">
        <f>IF(Table13[[#This Row],[Category All]]="Category 1",Table13[[#This Row],[Base Abalone Value]]*1.5,NA())</f>
        <v>#N/A</v>
      </c>
      <c r="Y74">
        <f>IF(Table13[[#This Row],[Category All]]="Category 2",Table13[[#This Row],[Base Abalone Value]]*0.8,NA())</f>
        <v>0.76940733333333344</v>
      </c>
      <c r="Z74" t="e">
        <f>IF(Table13[[#This Row],[Category All]]="Category 3",Table13[[#This Row],[Base Abalone Value]],NA())</f>
        <v>#N/A</v>
      </c>
      <c r="AA74" s="2" t="e">
        <f>IF(Table13[[#This Row],[Gender]]="M",Table13[[#This Row],[Whole_weight]],NA())</f>
        <v>#N/A</v>
      </c>
      <c r="AB74" s="2" t="e">
        <f>IF(Table13[[#This Row],[Gender]]="F",Table13[[#This Row],[Whole_weight]],NA())</f>
        <v>#N/A</v>
      </c>
      <c r="AC74" s="2">
        <f>IF(Table13[[#This Row],[Gender]]="I",Table13[[#This Row],[Whole_weight]],NA())</f>
        <v>0.55349999999999999</v>
      </c>
      <c r="AD74" s="2" t="e">
        <f>IF(Table13[[#This Row],[Gender]]="M",Table13[[#This Row],[Diameter]],NA())</f>
        <v>#N/A</v>
      </c>
      <c r="AE74" s="2" t="e">
        <f>IF(Table13[[#This Row],[Gender]]="F",Table13[[#This Row],[Diameter]],NA())</f>
        <v>#N/A</v>
      </c>
      <c r="AF74" s="2">
        <f>IF(Table13[[#This Row],[Gender]]="I",Table13[[#This Row],[Diameter]],NA())</f>
        <v>0.375</v>
      </c>
    </row>
    <row r="75" spans="1:32" x14ac:dyDescent="0.2">
      <c r="A75">
        <v>328</v>
      </c>
      <c r="B75" t="s">
        <v>15</v>
      </c>
      <c r="C75">
        <v>0.51</v>
      </c>
      <c r="D75">
        <v>0.4</v>
      </c>
      <c r="E75">
        <v>0.13</v>
      </c>
      <c r="F75">
        <v>0.64349999999999996</v>
      </c>
      <c r="G75">
        <v>0.27</v>
      </c>
      <c r="H75">
        <v>0.16650000000000001</v>
      </c>
      <c r="I75">
        <v>0.20499999999999999</v>
      </c>
      <c r="J75">
        <v>12</v>
      </c>
      <c r="K75">
        <v>7</v>
      </c>
      <c r="L75" t="s">
        <v>35</v>
      </c>
      <c r="M75" t="s">
        <v>36</v>
      </c>
      <c r="N75" t="s">
        <v>37</v>
      </c>
      <c r="O75">
        <v>2</v>
      </c>
      <c r="P75" t="s">
        <v>7</v>
      </c>
      <c r="Q75">
        <v>18</v>
      </c>
      <c r="R75" t="str" cm="1">
        <f t="array" ref="R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5" t="e">
        <f>IF(Table13[[#This Row],[Category All]]="Category 1", "Yes",NA())</f>
        <v>#N/A</v>
      </c>
      <c r="T75" t="str">
        <f>IF(Table13[[#This Row],[Category All]]="Category 2", "Yes",NA())</f>
        <v>Yes</v>
      </c>
      <c r="U75" t="e">
        <f>IF(Table13[[#This Row],[Category All]]="Category 3", "Yes",NA())</f>
        <v>#N/A</v>
      </c>
      <c r="V75">
        <f>SUM(1,(1/3)*(Table13[[#This Row],[Length]]-0.5),(1/3)*(Table13[[#This Row],[Diameter]]-0.4),(1/3)*(Table13[[#This Row],[Height]]-0.4)*Table13[[#This Row],[Whole_weight]]*0.5)</f>
        <v>0.97437583333333344</v>
      </c>
      <c r="W75" cm="1">
        <f t="array" ref="W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0.77950066666666684</v>
      </c>
      <c r="X75" t="e">
        <f>IF(Table13[[#This Row],[Category All]]="Category 1",Table13[[#This Row],[Base Abalone Value]]*1.5,NA())</f>
        <v>#N/A</v>
      </c>
      <c r="Y75">
        <f>IF(Table13[[#This Row],[Category All]]="Category 2",Table13[[#This Row],[Base Abalone Value]]*0.8,NA())</f>
        <v>0.77950066666666684</v>
      </c>
      <c r="Z75" t="e">
        <f>IF(Table13[[#This Row],[Category All]]="Category 3",Table13[[#This Row],[Base Abalone Value]],NA())</f>
        <v>#N/A</v>
      </c>
      <c r="AA75" s="2">
        <f>IF(Table13[[#This Row],[Gender]]="M",Table13[[#This Row],[Whole_weight]],NA())</f>
        <v>0.64349999999999996</v>
      </c>
      <c r="AB75" s="2" t="e">
        <f>IF(Table13[[#This Row],[Gender]]="F",Table13[[#This Row],[Whole_weight]],NA())</f>
        <v>#N/A</v>
      </c>
      <c r="AC75" s="2" t="e">
        <f>IF(Table13[[#This Row],[Gender]]="I",Table13[[#This Row],[Whole_weight]],NA())</f>
        <v>#N/A</v>
      </c>
      <c r="AD75" s="2">
        <f>IF(Table13[[#This Row],[Gender]]="M",Table13[[#This Row],[Diameter]],NA())</f>
        <v>0.4</v>
      </c>
      <c r="AE75" s="2" t="e">
        <f>IF(Table13[[#This Row],[Gender]]="F",Table13[[#This Row],[Diameter]],NA())</f>
        <v>#N/A</v>
      </c>
      <c r="AF75" s="2" t="e">
        <f>IF(Table13[[#This Row],[Gender]]="I",Table13[[#This Row],[Diameter]],NA())</f>
        <v>#N/A</v>
      </c>
    </row>
    <row r="76" spans="1:32" x14ac:dyDescent="0.2">
      <c r="A76">
        <v>915</v>
      </c>
      <c r="B76" t="s">
        <v>11</v>
      </c>
      <c r="C76">
        <v>0.37</v>
      </c>
      <c r="D76">
        <v>0.28000000000000003</v>
      </c>
      <c r="E76">
        <v>9.5000000000000001E-2</v>
      </c>
      <c r="F76">
        <v>0.28649999999999998</v>
      </c>
      <c r="G76">
        <v>0.15049999999999999</v>
      </c>
      <c r="H76">
        <v>6.9000000000000006E-2</v>
      </c>
      <c r="I76">
        <v>7.9500000000000001E-2</v>
      </c>
      <c r="J76">
        <v>7</v>
      </c>
      <c r="K76">
        <v>12</v>
      </c>
      <c r="L76" t="s">
        <v>1</v>
      </c>
      <c r="M76" t="s">
        <v>2</v>
      </c>
      <c r="N76" t="s">
        <v>3</v>
      </c>
      <c r="O76">
        <v>1</v>
      </c>
      <c r="P76" t="s">
        <v>4</v>
      </c>
      <c r="Q76">
        <v>22.1</v>
      </c>
      <c r="R76" t="str" cm="1">
        <f t="array" ref="R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" t="e">
        <f>IF(Table13[[#This Row],[Category All]]="Category 1", "Yes",NA())</f>
        <v>#N/A</v>
      </c>
      <c r="T76" t="str">
        <f>IF(Table13[[#This Row],[Category All]]="Category 2", "Yes",NA())</f>
        <v>Yes</v>
      </c>
      <c r="U76" t="e">
        <f>IF(Table13[[#This Row],[Category All]]="Category 3", "Yes",NA())</f>
        <v>#N/A</v>
      </c>
      <c r="V76">
        <f>SUM(1,(1/3)*(Table13[[#This Row],[Length]]-0.5),(1/3)*(Table13[[#This Row],[Diameter]]-0.4),(1/3)*(Table13[[#This Row],[Height]]-0.4)*Table13[[#This Row],[Whole_weight]]*0.5)</f>
        <v>0.90210291666666664</v>
      </c>
      <c r="W76" cm="1">
        <f t="array" ref="W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0.72168233333333331</v>
      </c>
      <c r="X76" t="e">
        <f>IF(Table13[[#This Row],[Category All]]="Category 1",Table13[[#This Row],[Base Abalone Value]]*1.5,NA())</f>
        <v>#N/A</v>
      </c>
      <c r="Y76">
        <f>IF(Table13[[#This Row],[Category All]]="Category 2",Table13[[#This Row],[Base Abalone Value]]*0.8,NA())</f>
        <v>0.72168233333333331</v>
      </c>
      <c r="Z76" t="e">
        <f>IF(Table13[[#This Row],[Category All]]="Category 3",Table13[[#This Row],[Base Abalone Value]],NA())</f>
        <v>#N/A</v>
      </c>
      <c r="AA76" s="2" t="e">
        <f>IF(Table13[[#This Row],[Gender]]="M",Table13[[#This Row],[Whole_weight]],NA())</f>
        <v>#N/A</v>
      </c>
      <c r="AB76" s="2" t="e">
        <f>IF(Table13[[#This Row],[Gender]]="F",Table13[[#This Row],[Whole_weight]],NA())</f>
        <v>#N/A</v>
      </c>
      <c r="AC76" s="2">
        <f>IF(Table13[[#This Row],[Gender]]="I",Table13[[#This Row],[Whole_weight]],NA())</f>
        <v>0.28649999999999998</v>
      </c>
      <c r="AD76" s="2" t="e">
        <f>IF(Table13[[#This Row],[Gender]]="M",Table13[[#This Row],[Diameter]],NA())</f>
        <v>#N/A</v>
      </c>
      <c r="AE76" s="2" t="e">
        <f>IF(Table13[[#This Row],[Gender]]="F",Table13[[#This Row],[Diameter]],NA())</f>
        <v>#N/A</v>
      </c>
      <c r="AF76" s="2">
        <f>IF(Table13[[#This Row],[Gender]]="I",Table13[[#This Row],[Diameter]],NA())</f>
        <v>0.28000000000000003</v>
      </c>
    </row>
    <row r="77" spans="1:32" x14ac:dyDescent="0.2">
      <c r="A77">
        <v>2781</v>
      </c>
      <c r="B77" t="s">
        <v>15</v>
      </c>
      <c r="C77">
        <v>0.59</v>
      </c>
      <c r="D77">
        <v>0.47499999999999998</v>
      </c>
      <c r="E77">
        <v>0.14000000000000001</v>
      </c>
      <c r="F77">
        <v>0.97699999999999998</v>
      </c>
      <c r="G77">
        <v>0.46250000000000002</v>
      </c>
      <c r="H77">
        <v>0.20250000000000001</v>
      </c>
      <c r="I77">
        <v>0.27500000000000002</v>
      </c>
      <c r="J77">
        <v>10</v>
      </c>
      <c r="K77">
        <v>5</v>
      </c>
      <c r="L77" t="s">
        <v>26</v>
      </c>
      <c r="M77" t="s">
        <v>27</v>
      </c>
      <c r="N77" t="s">
        <v>28</v>
      </c>
      <c r="O77">
        <v>9</v>
      </c>
      <c r="P77" t="s">
        <v>46</v>
      </c>
      <c r="Q77">
        <v>1.9</v>
      </c>
      <c r="R77" t="str" cm="1">
        <f t="array" ref="R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7" t="e">
        <f>IF(Table13[[#This Row],[Category All]]="Category 1", "Yes",NA())</f>
        <v>#N/A</v>
      </c>
      <c r="T77" t="e">
        <f>IF(Table13[[#This Row],[Category All]]="Category 2", "Yes",NA())</f>
        <v>#N/A</v>
      </c>
      <c r="U77" t="str">
        <f>IF(Table13[[#This Row],[Category All]]="Category 3", "Yes",NA())</f>
        <v>Yes</v>
      </c>
      <c r="V77">
        <f>SUM(1,(1/3)*(Table13[[#This Row],[Length]]-0.5),(1/3)*(Table13[[#This Row],[Diameter]]-0.4),(1/3)*(Table13[[#This Row],[Height]]-0.4)*Table13[[#This Row],[Whole_weight]]*0.5)</f>
        <v>1.0126633333333332</v>
      </c>
      <c r="W77" cm="1">
        <f t="array" ref="W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1.0126633333333332</v>
      </c>
      <c r="X77" t="e">
        <f>IF(Table13[[#This Row],[Category All]]="Category 1",Table13[[#This Row],[Base Abalone Value]]*1.5,NA())</f>
        <v>#N/A</v>
      </c>
      <c r="Y77" t="e">
        <f>IF(Table13[[#This Row],[Category All]]="Category 2",Table13[[#This Row],[Base Abalone Value]]*0.8,NA())</f>
        <v>#N/A</v>
      </c>
      <c r="Z77">
        <f>IF(Table13[[#This Row],[Category All]]="Category 3",Table13[[#This Row],[Base Abalone Value]],NA())</f>
        <v>1.0126633333333332</v>
      </c>
      <c r="AA77" s="2">
        <f>IF(Table13[[#This Row],[Gender]]="M",Table13[[#This Row],[Whole_weight]],NA())</f>
        <v>0.97699999999999998</v>
      </c>
      <c r="AB77" s="2" t="e">
        <f>IF(Table13[[#This Row],[Gender]]="F",Table13[[#This Row],[Whole_weight]],NA())</f>
        <v>#N/A</v>
      </c>
      <c r="AC77" s="2" t="e">
        <f>IF(Table13[[#This Row],[Gender]]="I",Table13[[#This Row],[Whole_weight]],NA())</f>
        <v>#N/A</v>
      </c>
      <c r="AD77" s="2">
        <f>IF(Table13[[#This Row],[Gender]]="M",Table13[[#This Row],[Diameter]],NA())</f>
        <v>0.47499999999999998</v>
      </c>
      <c r="AE77" s="2" t="e">
        <f>IF(Table13[[#This Row],[Gender]]="F",Table13[[#This Row],[Diameter]],NA())</f>
        <v>#N/A</v>
      </c>
      <c r="AF77" s="2" t="e">
        <f>IF(Table13[[#This Row],[Gender]]="I",Table13[[#This Row],[Diameter]],NA())</f>
        <v>#N/A</v>
      </c>
    </row>
    <row r="78" spans="1:32" x14ac:dyDescent="0.2">
      <c r="A78">
        <v>2042</v>
      </c>
      <c r="B78" t="s">
        <v>11</v>
      </c>
      <c r="C78">
        <v>0.32500000000000001</v>
      </c>
      <c r="D78">
        <v>0.24</v>
      </c>
      <c r="E78">
        <v>7.0000000000000007E-2</v>
      </c>
      <c r="F78">
        <v>0.152</v>
      </c>
      <c r="G78">
        <v>5.6500000000000002E-2</v>
      </c>
      <c r="H78">
        <v>3.0499999999999999E-2</v>
      </c>
      <c r="I78">
        <v>5.3999999999999999E-2</v>
      </c>
      <c r="J78">
        <v>8</v>
      </c>
      <c r="K78">
        <v>1</v>
      </c>
      <c r="L78" t="s">
        <v>8</v>
      </c>
      <c r="M78" t="s">
        <v>9</v>
      </c>
      <c r="N78" t="s">
        <v>3</v>
      </c>
      <c r="O78">
        <v>9</v>
      </c>
      <c r="P78" t="s">
        <v>46</v>
      </c>
      <c r="Q78">
        <v>1.9</v>
      </c>
      <c r="R78" t="str" cm="1">
        <f t="array" ref="R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8" t="e">
        <f>IF(Table13[[#This Row],[Category All]]="Category 1", "Yes",NA())</f>
        <v>#N/A</v>
      </c>
      <c r="T78" t="str">
        <f>IF(Table13[[#This Row],[Category All]]="Category 2", "Yes",NA())</f>
        <v>Yes</v>
      </c>
      <c r="U78" t="e">
        <f>IF(Table13[[#This Row],[Category All]]="Category 3", "Yes",NA())</f>
        <v>#N/A</v>
      </c>
      <c r="V78">
        <f>SUM(1,(1/3)*(Table13[[#This Row],[Length]]-0.5),(1/3)*(Table13[[#This Row],[Diameter]]-0.4),(1/3)*(Table13[[#This Row],[Height]]-0.4)*Table13[[#This Row],[Whole_weight]]*0.5)</f>
        <v>0.87997333333333327</v>
      </c>
      <c r="W78" cm="1">
        <f t="array" ref="W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0.70397866666666664</v>
      </c>
      <c r="X78" t="e">
        <f>IF(Table13[[#This Row],[Category All]]="Category 1",Table13[[#This Row],[Base Abalone Value]]*1.5,NA())</f>
        <v>#N/A</v>
      </c>
      <c r="Y78">
        <f>IF(Table13[[#This Row],[Category All]]="Category 2",Table13[[#This Row],[Base Abalone Value]]*0.8,NA())</f>
        <v>0.70397866666666664</v>
      </c>
      <c r="Z78" t="e">
        <f>IF(Table13[[#This Row],[Category All]]="Category 3",Table13[[#This Row],[Base Abalone Value]],NA())</f>
        <v>#N/A</v>
      </c>
      <c r="AA78" s="2" t="e">
        <f>IF(Table13[[#This Row],[Gender]]="M",Table13[[#This Row],[Whole_weight]],NA())</f>
        <v>#N/A</v>
      </c>
      <c r="AB78" s="2" t="e">
        <f>IF(Table13[[#This Row],[Gender]]="F",Table13[[#This Row],[Whole_weight]],NA())</f>
        <v>#N/A</v>
      </c>
      <c r="AC78" s="2">
        <f>IF(Table13[[#This Row],[Gender]]="I",Table13[[#This Row],[Whole_weight]],NA())</f>
        <v>0.152</v>
      </c>
      <c r="AD78" s="2" t="e">
        <f>IF(Table13[[#This Row],[Gender]]="M",Table13[[#This Row],[Diameter]],NA())</f>
        <v>#N/A</v>
      </c>
      <c r="AE78" s="2" t="e">
        <f>IF(Table13[[#This Row],[Gender]]="F",Table13[[#This Row],[Diameter]],NA())</f>
        <v>#N/A</v>
      </c>
      <c r="AF78" s="2">
        <f>IF(Table13[[#This Row],[Gender]]="I",Table13[[#This Row],[Diameter]],NA())</f>
        <v>0.24</v>
      </c>
    </row>
    <row r="79" spans="1:32" x14ac:dyDescent="0.2">
      <c r="A79">
        <v>3790</v>
      </c>
      <c r="B79" t="s">
        <v>0</v>
      </c>
      <c r="C79">
        <v>0.64500000000000002</v>
      </c>
      <c r="D79">
        <v>0.51</v>
      </c>
      <c r="E79">
        <v>0.155</v>
      </c>
      <c r="F79">
        <v>1.129</v>
      </c>
      <c r="G79">
        <v>0.50149999999999995</v>
      </c>
      <c r="H79">
        <v>0.24</v>
      </c>
      <c r="I79">
        <v>0.34200000000000003</v>
      </c>
      <c r="J79">
        <v>10</v>
      </c>
      <c r="K79">
        <v>14</v>
      </c>
      <c r="L79" t="s">
        <v>23</v>
      </c>
      <c r="M79" t="s">
        <v>24</v>
      </c>
      <c r="N79" t="s">
        <v>25</v>
      </c>
      <c r="O79">
        <v>10</v>
      </c>
      <c r="P79" t="s">
        <v>38</v>
      </c>
      <c r="Q79">
        <v>24.1</v>
      </c>
      <c r="R79" t="str" cm="1">
        <f t="array" ref="R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9" t="e">
        <f>IF(Table13[[#This Row],[Category All]]="Category 1", "Yes",NA())</f>
        <v>#N/A</v>
      </c>
      <c r="T79" t="e">
        <f>IF(Table13[[#This Row],[Category All]]="Category 2", "Yes",NA())</f>
        <v>#N/A</v>
      </c>
      <c r="U79" t="str">
        <f>IF(Table13[[#This Row],[Category All]]="Category 3", "Yes",NA())</f>
        <v>Yes</v>
      </c>
      <c r="V79">
        <f>SUM(1,(1/3)*(Table13[[#This Row],[Length]]-0.5),(1/3)*(Table13[[#This Row],[Diameter]]-0.4),(1/3)*(Table13[[#This Row],[Height]]-0.4)*Table13[[#This Row],[Whole_weight]]*0.5)</f>
        <v>1.0388991666666667</v>
      </c>
      <c r="W79" cm="1">
        <f t="array" ref="W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1.0388991666666667</v>
      </c>
      <c r="X79" t="e">
        <f>IF(Table13[[#This Row],[Category All]]="Category 1",Table13[[#This Row],[Base Abalone Value]]*1.5,NA())</f>
        <v>#N/A</v>
      </c>
      <c r="Y79" t="e">
        <f>IF(Table13[[#This Row],[Category All]]="Category 2",Table13[[#This Row],[Base Abalone Value]]*0.8,NA())</f>
        <v>#N/A</v>
      </c>
      <c r="Z79">
        <f>IF(Table13[[#This Row],[Category All]]="Category 3",Table13[[#This Row],[Base Abalone Value]],NA())</f>
        <v>1.0388991666666667</v>
      </c>
      <c r="AA79" s="2" t="e">
        <f>IF(Table13[[#This Row],[Gender]]="M",Table13[[#This Row],[Whole_weight]],NA())</f>
        <v>#N/A</v>
      </c>
      <c r="AB79" s="2">
        <f>IF(Table13[[#This Row],[Gender]]="F",Table13[[#This Row],[Whole_weight]],NA())</f>
        <v>1.129</v>
      </c>
      <c r="AC79" s="2" t="e">
        <f>IF(Table13[[#This Row],[Gender]]="I",Table13[[#This Row],[Whole_weight]],NA())</f>
        <v>#N/A</v>
      </c>
      <c r="AD79" s="2" t="e">
        <f>IF(Table13[[#This Row],[Gender]]="M",Table13[[#This Row],[Diameter]],NA())</f>
        <v>#N/A</v>
      </c>
      <c r="AE79" s="2">
        <f>IF(Table13[[#This Row],[Gender]]="F",Table13[[#This Row],[Diameter]],NA())</f>
        <v>0.51</v>
      </c>
      <c r="AF79" s="2" t="e">
        <f>IF(Table13[[#This Row],[Gender]]="I",Table13[[#This Row],[Diameter]],NA())</f>
        <v>#N/A</v>
      </c>
    </row>
    <row r="80" spans="1:32" x14ac:dyDescent="0.2">
      <c r="A80">
        <v>3860</v>
      </c>
      <c r="B80" t="s">
        <v>0</v>
      </c>
      <c r="C80">
        <v>0.56999999999999995</v>
      </c>
      <c r="D80">
        <v>0.44</v>
      </c>
      <c r="E80">
        <v>0.19</v>
      </c>
      <c r="F80">
        <v>1.018</v>
      </c>
      <c r="G80">
        <v>0.44700000000000001</v>
      </c>
      <c r="H80">
        <v>0.20699999999999999</v>
      </c>
      <c r="I80">
        <v>0.26500000000000001</v>
      </c>
      <c r="J80">
        <v>9</v>
      </c>
      <c r="K80">
        <v>6</v>
      </c>
      <c r="L80" t="s">
        <v>39</v>
      </c>
      <c r="M80" t="s">
        <v>40</v>
      </c>
      <c r="N80" t="s">
        <v>41</v>
      </c>
      <c r="O80">
        <v>1</v>
      </c>
      <c r="P80" t="s">
        <v>4</v>
      </c>
      <c r="Q80">
        <v>22.1</v>
      </c>
      <c r="R80" t="str" cm="1">
        <f t="array" ref="R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0" t="e">
        <f>IF(Table13[[#This Row],[Category All]]="Category 1", "Yes",NA())</f>
        <v>#N/A</v>
      </c>
      <c r="T80" t="e">
        <f>IF(Table13[[#This Row],[Category All]]="Category 2", "Yes",NA())</f>
        <v>#N/A</v>
      </c>
      <c r="U80" t="str">
        <f>IF(Table13[[#This Row],[Category All]]="Category 3", "Yes",NA())</f>
        <v>Yes</v>
      </c>
      <c r="V80">
        <f>SUM(1,(1/3)*(Table13[[#This Row],[Length]]-0.5),(1/3)*(Table13[[#This Row],[Diameter]]-0.4),(1/3)*(Table13[[#This Row],[Height]]-0.4)*Table13[[#This Row],[Whole_weight]]*0.5)</f>
        <v>1.0010366666666668</v>
      </c>
      <c r="W80" cm="1">
        <f t="array" ref="W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1.0010366666666668</v>
      </c>
      <c r="X80" t="e">
        <f>IF(Table13[[#This Row],[Category All]]="Category 1",Table13[[#This Row],[Base Abalone Value]]*1.5,NA())</f>
        <v>#N/A</v>
      </c>
      <c r="Y80" t="e">
        <f>IF(Table13[[#This Row],[Category All]]="Category 2",Table13[[#This Row],[Base Abalone Value]]*0.8,NA())</f>
        <v>#N/A</v>
      </c>
      <c r="Z80">
        <f>IF(Table13[[#This Row],[Category All]]="Category 3",Table13[[#This Row],[Base Abalone Value]],NA())</f>
        <v>1.0010366666666668</v>
      </c>
      <c r="AA80" s="2" t="e">
        <f>IF(Table13[[#This Row],[Gender]]="M",Table13[[#This Row],[Whole_weight]],NA())</f>
        <v>#N/A</v>
      </c>
      <c r="AB80" s="2">
        <f>IF(Table13[[#This Row],[Gender]]="F",Table13[[#This Row],[Whole_weight]],NA())</f>
        <v>1.018</v>
      </c>
      <c r="AC80" s="2" t="e">
        <f>IF(Table13[[#This Row],[Gender]]="I",Table13[[#This Row],[Whole_weight]],NA())</f>
        <v>#N/A</v>
      </c>
      <c r="AD80" s="2" t="e">
        <f>IF(Table13[[#This Row],[Gender]]="M",Table13[[#This Row],[Diameter]],NA())</f>
        <v>#N/A</v>
      </c>
      <c r="AE80" s="2">
        <f>IF(Table13[[#This Row],[Gender]]="F",Table13[[#This Row],[Diameter]],NA())</f>
        <v>0.44</v>
      </c>
      <c r="AF80" s="2" t="e">
        <f>IF(Table13[[#This Row],[Gender]]="I",Table13[[#This Row],[Diameter]],NA())</f>
        <v>#N/A</v>
      </c>
    </row>
    <row r="81" spans="1:32" x14ac:dyDescent="0.2">
      <c r="A81">
        <v>71</v>
      </c>
      <c r="B81" t="s">
        <v>15</v>
      </c>
      <c r="C81">
        <v>0.55500000000000005</v>
      </c>
      <c r="D81">
        <v>0.42499999999999999</v>
      </c>
      <c r="E81">
        <v>0.13</v>
      </c>
      <c r="F81">
        <v>0.76649999999999996</v>
      </c>
      <c r="G81">
        <v>0.26400000000000001</v>
      </c>
      <c r="H81">
        <v>0.16800000000000001</v>
      </c>
      <c r="I81">
        <v>0.27500000000000002</v>
      </c>
      <c r="J81">
        <v>13</v>
      </c>
      <c r="K81">
        <v>9</v>
      </c>
      <c r="L81" t="s">
        <v>20</v>
      </c>
      <c r="M81" t="s">
        <v>21</v>
      </c>
      <c r="N81" t="s">
        <v>22</v>
      </c>
      <c r="O81">
        <v>2</v>
      </c>
      <c r="P81" t="s">
        <v>7</v>
      </c>
      <c r="Q81">
        <v>18</v>
      </c>
      <c r="R81" t="str" cm="1">
        <f t="array" ref="R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1" t="e">
        <f>IF(Table13[[#This Row],[Category All]]="Category 1", "Yes",NA())</f>
        <v>#N/A</v>
      </c>
      <c r="T81" t="str">
        <f>IF(Table13[[#This Row],[Category All]]="Category 2", "Yes",NA())</f>
        <v>Yes</v>
      </c>
      <c r="U81" t="e">
        <f>IF(Table13[[#This Row],[Category All]]="Category 3", "Yes",NA())</f>
        <v>#N/A</v>
      </c>
      <c r="V81">
        <f>SUM(1,(1/3)*(Table13[[#This Row],[Length]]-0.5),(1/3)*(Table13[[#This Row],[Diameter]]-0.4),(1/3)*(Table13[[#This Row],[Height]]-0.4)*Table13[[#This Row],[Whole_weight]]*0.5)</f>
        <v>0.99217416666666658</v>
      </c>
      <c r="W81" cm="1">
        <f t="array" ref="W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0.79373933333333335</v>
      </c>
      <c r="X81" t="e">
        <f>IF(Table13[[#This Row],[Category All]]="Category 1",Table13[[#This Row],[Base Abalone Value]]*1.5,NA())</f>
        <v>#N/A</v>
      </c>
      <c r="Y81">
        <f>IF(Table13[[#This Row],[Category All]]="Category 2",Table13[[#This Row],[Base Abalone Value]]*0.8,NA())</f>
        <v>0.79373933333333335</v>
      </c>
      <c r="Z81" t="e">
        <f>IF(Table13[[#This Row],[Category All]]="Category 3",Table13[[#This Row],[Base Abalone Value]],NA())</f>
        <v>#N/A</v>
      </c>
      <c r="AA81" s="2">
        <f>IF(Table13[[#This Row],[Gender]]="M",Table13[[#This Row],[Whole_weight]],NA())</f>
        <v>0.76649999999999996</v>
      </c>
      <c r="AB81" s="2" t="e">
        <f>IF(Table13[[#This Row],[Gender]]="F",Table13[[#This Row],[Whole_weight]],NA())</f>
        <v>#N/A</v>
      </c>
      <c r="AC81" s="2" t="e">
        <f>IF(Table13[[#This Row],[Gender]]="I",Table13[[#This Row],[Whole_weight]],NA())</f>
        <v>#N/A</v>
      </c>
      <c r="AD81" s="2">
        <f>IF(Table13[[#This Row],[Gender]]="M",Table13[[#This Row],[Diameter]],NA())</f>
        <v>0.42499999999999999</v>
      </c>
      <c r="AE81" s="2" t="e">
        <f>IF(Table13[[#This Row],[Gender]]="F",Table13[[#This Row],[Diameter]],NA())</f>
        <v>#N/A</v>
      </c>
      <c r="AF81" s="2" t="e">
        <f>IF(Table13[[#This Row],[Gender]]="I",Table13[[#This Row],[Diameter]],NA())</f>
        <v>#N/A</v>
      </c>
    </row>
    <row r="82" spans="1:32" x14ac:dyDescent="0.2">
      <c r="A82">
        <v>3592</v>
      </c>
      <c r="B82" t="s">
        <v>0</v>
      </c>
      <c r="C82">
        <v>0.65</v>
      </c>
      <c r="D82">
        <v>0.47499999999999998</v>
      </c>
      <c r="E82">
        <v>0.16500000000000001</v>
      </c>
      <c r="F82">
        <v>1.3875</v>
      </c>
      <c r="G82">
        <v>0.57999999999999996</v>
      </c>
      <c r="H82">
        <v>0.34849999999999998</v>
      </c>
      <c r="I82">
        <v>0.3095</v>
      </c>
      <c r="J82">
        <v>9</v>
      </c>
      <c r="K82">
        <v>4</v>
      </c>
      <c r="L82" t="s">
        <v>52</v>
      </c>
      <c r="M82" t="s">
        <v>53</v>
      </c>
      <c r="N82" t="s">
        <v>54</v>
      </c>
      <c r="O82">
        <v>1</v>
      </c>
      <c r="P82" t="s">
        <v>4</v>
      </c>
      <c r="Q82">
        <v>22.1</v>
      </c>
      <c r="R82" t="str" cm="1">
        <f t="array" ref="R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2" t="e">
        <f>IF(Table13[[#This Row],[Category All]]="Category 1", "Yes",NA())</f>
        <v>#N/A</v>
      </c>
      <c r="T82" t="e">
        <f>IF(Table13[[#This Row],[Category All]]="Category 2", "Yes",NA())</f>
        <v>#N/A</v>
      </c>
      <c r="U82" t="str">
        <f>IF(Table13[[#This Row],[Category All]]="Category 3", "Yes",NA())</f>
        <v>Yes</v>
      </c>
      <c r="V82">
        <f>SUM(1,(1/3)*(Table13[[#This Row],[Length]]-0.5),(1/3)*(Table13[[#This Row],[Diameter]]-0.4),(1/3)*(Table13[[#This Row],[Height]]-0.4)*Table13[[#This Row],[Whole_weight]]*0.5)</f>
        <v>1.02065625</v>
      </c>
      <c r="W82" cm="1">
        <f t="array" ref="W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1.02065625</v>
      </c>
      <c r="X82" t="e">
        <f>IF(Table13[[#This Row],[Category All]]="Category 1",Table13[[#This Row],[Base Abalone Value]]*1.5,NA())</f>
        <v>#N/A</v>
      </c>
      <c r="Y82" t="e">
        <f>IF(Table13[[#This Row],[Category All]]="Category 2",Table13[[#This Row],[Base Abalone Value]]*0.8,NA())</f>
        <v>#N/A</v>
      </c>
      <c r="Z82">
        <f>IF(Table13[[#This Row],[Category All]]="Category 3",Table13[[#This Row],[Base Abalone Value]],NA())</f>
        <v>1.02065625</v>
      </c>
      <c r="AA82" s="2" t="e">
        <f>IF(Table13[[#This Row],[Gender]]="M",Table13[[#This Row],[Whole_weight]],NA())</f>
        <v>#N/A</v>
      </c>
      <c r="AB82" s="2">
        <f>IF(Table13[[#This Row],[Gender]]="F",Table13[[#This Row],[Whole_weight]],NA())</f>
        <v>1.3875</v>
      </c>
      <c r="AC82" s="2" t="e">
        <f>IF(Table13[[#This Row],[Gender]]="I",Table13[[#This Row],[Whole_weight]],NA())</f>
        <v>#N/A</v>
      </c>
      <c r="AD82" s="2" t="e">
        <f>IF(Table13[[#This Row],[Gender]]="M",Table13[[#This Row],[Diameter]],NA())</f>
        <v>#N/A</v>
      </c>
      <c r="AE82" s="2">
        <f>IF(Table13[[#This Row],[Gender]]="F",Table13[[#This Row],[Diameter]],NA())</f>
        <v>0.47499999999999998</v>
      </c>
      <c r="AF82" s="2" t="e">
        <f>IF(Table13[[#This Row],[Gender]]="I",Table13[[#This Row],[Diameter]],NA())</f>
        <v>#N/A</v>
      </c>
    </row>
    <row r="83" spans="1:32" x14ac:dyDescent="0.2">
      <c r="A83">
        <v>150</v>
      </c>
      <c r="B83" t="s">
        <v>11</v>
      </c>
      <c r="C83">
        <v>0.17</v>
      </c>
      <c r="D83">
        <v>0.13</v>
      </c>
      <c r="E83">
        <v>9.5000000000000001E-2</v>
      </c>
      <c r="F83">
        <v>0.03</v>
      </c>
      <c r="G83">
        <v>1.2999999999999999E-2</v>
      </c>
      <c r="H83">
        <v>8.0000000000000002E-3</v>
      </c>
      <c r="I83">
        <v>0.01</v>
      </c>
      <c r="J83">
        <v>4</v>
      </c>
      <c r="K83">
        <v>7</v>
      </c>
      <c r="L83" t="s">
        <v>35</v>
      </c>
      <c r="M83" t="s">
        <v>36</v>
      </c>
      <c r="N83" t="s">
        <v>37</v>
      </c>
      <c r="O83">
        <v>6</v>
      </c>
      <c r="P83" t="s">
        <v>47</v>
      </c>
      <c r="Q83">
        <v>14.1</v>
      </c>
      <c r="R83" t="str" cm="1">
        <f t="array" ref="R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" t="e">
        <f>IF(Table13[[#This Row],[Category All]]="Category 1", "Yes",NA())</f>
        <v>#N/A</v>
      </c>
      <c r="T83" t="str">
        <f>IF(Table13[[#This Row],[Category All]]="Category 2", "Yes",NA())</f>
        <v>Yes</v>
      </c>
      <c r="U83" t="e">
        <f>IF(Table13[[#This Row],[Category All]]="Category 3", "Yes",NA())</f>
        <v>#N/A</v>
      </c>
      <c r="V83">
        <f>SUM(1,(1/3)*(Table13[[#This Row],[Length]]-0.5),(1/3)*(Table13[[#This Row],[Diameter]]-0.4),(1/3)*(Table13[[#This Row],[Height]]-0.4)*Table13[[#This Row],[Whole_weight]]*0.5)</f>
        <v>0.79847500000000005</v>
      </c>
      <c r="W83" cm="1">
        <f t="array" ref="W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0.63878000000000013</v>
      </c>
      <c r="X83" t="e">
        <f>IF(Table13[[#This Row],[Category All]]="Category 1",Table13[[#This Row],[Base Abalone Value]]*1.5,NA())</f>
        <v>#N/A</v>
      </c>
      <c r="Y83">
        <f>IF(Table13[[#This Row],[Category All]]="Category 2",Table13[[#This Row],[Base Abalone Value]]*0.8,NA())</f>
        <v>0.63878000000000013</v>
      </c>
      <c r="Z83" t="e">
        <f>IF(Table13[[#This Row],[Category All]]="Category 3",Table13[[#This Row],[Base Abalone Value]],NA())</f>
        <v>#N/A</v>
      </c>
      <c r="AA83" s="2" t="e">
        <f>IF(Table13[[#This Row],[Gender]]="M",Table13[[#This Row],[Whole_weight]],NA())</f>
        <v>#N/A</v>
      </c>
      <c r="AB83" s="2" t="e">
        <f>IF(Table13[[#This Row],[Gender]]="F",Table13[[#This Row],[Whole_weight]],NA())</f>
        <v>#N/A</v>
      </c>
      <c r="AC83" s="2">
        <f>IF(Table13[[#This Row],[Gender]]="I",Table13[[#This Row],[Whole_weight]],NA())</f>
        <v>0.03</v>
      </c>
      <c r="AD83" s="2" t="e">
        <f>IF(Table13[[#This Row],[Gender]]="M",Table13[[#This Row],[Diameter]],NA())</f>
        <v>#N/A</v>
      </c>
      <c r="AE83" s="2" t="e">
        <f>IF(Table13[[#This Row],[Gender]]="F",Table13[[#This Row],[Diameter]],NA())</f>
        <v>#N/A</v>
      </c>
      <c r="AF83" s="2">
        <f>IF(Table13[[#This Row],[Gender]]="I",Table13[[#This Row],[Diameter]],NA())</f>
        <v>0.13</v>
      </c>
    </row>
    <row r="84" spans="1:32" x14ac:dyDescent="0.2">
      <c r="A84">
        <v>2027</v>
      </c>
      <c r="B84" t="s">
        <v>0</v>
      </c>
      <c r="C84">
        <v>0.56000000000000005</v>
      </c>
      <c r="D84">
        <v>0.41</v>
      </c>
      <c r="E84">
        <v>0.16</v>
      </c>
      <c r="F84">
        <v>0.82150000000000001</v>
      </c>
      <c r="G84">
        <v>0.34200000000000003</v>
      </c>
      <c r="H84">
        <v>0.184</v>
      </c>
      <c r="I84">
        <v>0.253</v>
      </c>
      <c r="J84">
        <v>9</v>
      </c>
      <c r="K84">
        <v>4</v>
      </c>
      <c r="L84" t="s">
        <v>52</v>
      </c>
      <c r="M84" t="s">
        <v>53</v>
      </c>
      <c r="N84" t="s">
        <v>54</v>
      </c>
      <c r="O84">
        <v>5</v>
      </c>
      <c r="P84" t="s">
        <v>14</v>
      </c>
      <c r="Q84">
        <v>12.8</v>
      </c>
      <c r="R84" t="str" cm="1">
        <f t="array" ref="R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4" t="e">
        <f>IF(Table13[[#This Row],[Category All]]="Category 1", "Yes",NA())</f>
        <v>#N/A</v>
      </c>
      <c r="T84" t="str">
        <f>IF(Table13[[#This Row],[Category All]]="Category 2", "Yes",NA())</f>
        <v>Yes</v>
      </c>
      <c r="U84" t="e">
        <f>IF(Table13[[#This Row],[Category All]]="Category 3", "Yes",NA())</f>
        <v>#N/A</v>
      </c>
      <c r="V84">
        <f>SUM(1,(1/3)*(Table13[[#This Row],[Length]]-0.5),(1/3)*(Table13[[#This Row],[Diameter]]-0.4),(1/3)*(Table13[[#This Row],[Height]]-0.4)*Table13[[#This Row],[Whole_weight]]*0.5)</f>
        <v>0.99047333333333343</v>
      </c>
      <c r="W84" cm="1">
        <f t="array" ref="W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0.79237866666666679</v>
      </c>
      <c r="X84" t="e">
        <f>IF(Table13[[#This Row],[Category All]]="Category 1",Table13[[#This Row],[Base Abalone Value]]*1.5,NA())</f>
        <v>#N/A</v>
      </c>
      <c r="Y84">
        <f>IF(Table13[[#This Row],[Category All]]="Category 2",Table13[[#This Row],[Base Abalone Value]]*0.8,NA())</f>
        <v>0.79237866666666679</v>
      </c>
      <c r="Z84" t="e">
        <f>IF(Table13[[#This Row],[Category All]]="Category 3",Table13[[#This Row],[Base Abalone Value]],NA())</f>
        <v>#N/A</v>
      </c>
      <c r="AA84" s="2" t="e">
        <f>IF(Table13[[#This Row],[Gender]]="M",Table13[[#This Row],[Whole_weight]],NA())</f>
        <v>#N/A</v>
      </c>
      <c r="AB84" s="2">
        <f>IF(Table13[[#This Row],[Gender]]="F",Table13[[#This Row],[Whole_weight]],NA())</f>
        <v>0.82150000000000001</v>
      </c>
      <c r="AC84" s="2" t="e">
        <f>IF(Table13[[#This Row],[Gender]]="I",Table13[[#This Row],[Whole_weight]],NA())</f>
        <v>#N/A</v>
      </c>
      <c r="AD84" s="2" t="e">
        <f>IF(Table13[[#This Row],[Gender]]="M",Table13[[#This Row],[Diameter]],NA())</f>
        <v>#N/A</v>
      </c>
      <c r="AE84" s="2">
        <f>IF(Table13[[#This Row],[Gender]]="F",Table13[[#This Row],[Diameter]],NA())</f>
        <v>0.41</v>
      </c>
      <c r="AF84" s="2" t="e">
        <f>IF(Table13[[#This Row],[Gender]]="I",Table13[[#This Row],[Diameter]],NA())</f>
        <v>#N/A</v>
      </c>
    </row>
    <row r="85" spans="1:32" x14ac:dyDescent="0.2">
      <c r="A85">
        <v>3119</v>
      </c>
      <c r="B85" t="s">
        <v>15</v>
      </c>
      <c r="C85">
        <v>0.51</v>
      </c>
      <c r="D85">
        <v>0.41499999999999998</v>
      </c>
      <c r="E85">
        <v>0.14499999999999999</v>
      </c>
      <c r="F85">
        <v>0.751</v>
      </c>
      <c r="G85">
        <v>0.32950000000000002</v>
      </c>
      <c r="H85">
        <v>0.1835</v>
      </c>
      <c r="I85">
        <v>0.20300000000000001</v>
      </c>
      <c r="J85">
        <v>8</v>
      </c>
      <c r="K85">
        <v>11</v>
      </c>
      <c r="L85" t="s">
        <v>5</v>
      </c>
      <c r="M85" t="s">
        <v>6</v>
      </c>
      <c r="N85" t="s">
        <v>3</v>
      </c>
      <c r="O85">
        <v>8</v>
      </c>
      <c r="P85" t="s">
        <v>19</v>
      </c>
      <c r="Q85">
        <v>12.3</v>
      </c>
      <c r="R85" t="str" cm="1">
        <f t="array" ref="R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5" t="e">
        <f>IF(Table13[[#This Row],[Category All]]="Category 1", "Yes",NA())</f>
        <v>#N/A</v>
      </c>
      <c r="T85" t="str">
        <f>IF(Table13[[#This Row],[Category All]]="Category 2", "Yes",NA())</f>
        <v>Yes</v>
      </c>
      <c r="U85" t="e">
        <f>IF(Table13[[#This Row],[Category All]]="Category 3", "Yes",NA())</f>
        <v>#N/A</v>
      </c>
      <c r="V85">
        <f>SUM(1,(1/3)*(Table13[[#This Row],[Length]]-0.5),(1/3)*(Table13[[#This Row],[Diameter]]-0.4),(1/3)*(Table13[[#This Row],[Height]]-0.4)*Table13[[#This Row],[Whole_weight]]*0.5)</f>
        <v>0.97641583333333326</v>
      </c>
      <c r="W85" cm="1">
        <f t="array" ref="W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0.7811326666666667</v>
      </c>
      <c r="X85" t="e">
        <f>IF(Table13[[#This Row],[Category All]]="Category 1",Table13[[#This Row],[Base Abalone Value]]*1.5,NA())</f>
        <v>#N/A</v>
      </c>
      <c r="Y85">
        <f>IF(Table13[[#This Row],[Category All]]="Category 2",Table13[[#This Row],[Base Abalone Value]]*0.8,NA())</f>
        <v>0.7811326666666667</v>
      </c>
      <c r="Z85" t="e">
        <f>IF(Table13[[#This Row],[Category All]]="Category 3",Table13[[#This Row],[Base Abalone Value]],NA())</f>
        <v>#N/A</v>
      </c>
      <c r="AA85" s="2">
        <f>IF(Table13[[#This Row],[Gender]]="M",Table13[[#This Row],[Whole_weight]],NA())</f>
        <v>0.751</v>
      </c>
      <c r="AB85" s="2" t="e">
        <f>IF(Table13[[#This Row],[Gender]]="F",Table13[[#This Row],[Whole_weight]],NA())</f>
        <v>#N/A</v>
      </c>
      <c r="AC85" s="2" t="e">
        <f>IF(Table13[[#This Row],[Gender]]="I",Table13[[#This Row],[Whole_weight]],NA())</f>
        <v>#N/A</v>
      </c>
      <c r="AD85" s="2">
        <f>IF(Table13[[#This Row],[Gender]]="M",Table13[[#This Row],[Diameter]],NA())</f>
        <v>0.41499999999999998</v>
      </c>
      <c r="AE85" s="2" t="e">
        <f>IF(Table13[[#This Row],[Gender]]="F",Table13[[#This Row],[Diameter]],NA())</f>
        <v>#N/A</v>
      </c>
      <c r="AF85" s="2" t="e">
        <f>IF(Table13[[#This Row],[Gender]]="I",Table13[[#This Row],[Diameter]],NA())</f>
        <v>#N/A</v>
      </c>
    </row>
    <row r="86" spans="1:32" x14ac:dyDescent="0.2">
      <c r="A86">
        <v>4045</v>
      </c>
      <c r="B86" t="s">
        <v>0</v>
      </c>
      <c r="C86">
        <v>0.57999999999999996</v>
      </c>
      <c r="D86">
        <v>0.42499999999999999</v>
      </c>
      <c r="E86">
        <v>0.155</v>
      </c>
      <c r="F86">
        <v>0.873</v>
      </c>
      <c r="G86">
        <v>0.36149999999999999</v>
      </c>
      <c r="H86">
        <v>0.249</v>
      </c>
      <c r="I86">
        <v>0.23899999999999999</v>
      </c>
      <c r="J86">
        <v>10</v>
      </c>
      <c r="K86">
        <v>9</v>
      </c>
      <c r="L86" t="s">
        <v>20</v>
      </c>
      <c r="M86" t="s">
        <v>21</v>
      </c>
      <c r="N86" t="s">
        <v>22</v>
      </c>
      <c r="O86">
        <v>5</v>
      </c>
      <c r="P86" t="s">
        <v>14</v>
      </c>
      <c r="Q86">
        <v>12.8</v>
      </c>
      <c r="R86" t="str" cm="1">
        <f t="array" ref="R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" t="e">
        <f>IF(Table13[[#This Row],[Category All]]="Category 1", "Yes",NA())</f>
        <v>#N/A</v>
      </c>
      <c r="T86" t="str">
        <f>IF(Table13[[#This Row],[Category All]]="Category 2", "Yes",NA())</f>
        <v>Yes</v>
      </c>
      <c r="U86" t="e">
        <f>IF(Table13[[#This Row],[Category All]]="Category 3", "Yes",NA())</f>
        <v>#N/A</v>
      </c>
      <c r="V86">
        <f>SUM(1,(1/3)*(Table13[[#This Row],[Length]]-0.5),(1/3)*(Table13[[#This Row],[Diameter]]-0.4),(1/3)*(Table13[[#This Row],[Height]]-0.4)*Table13[[#This Row],[Whole_weight]]*0.5)</f>
        <v>0.99935249999999987</v>
      </c>
      <c r="W86" cm="1">
        <f t="array" ref="W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0.79948199999999991</v>
      </c>
      <c r="X86" t="e">
        <f>IF(Table13[[#This Row],[Category All]]="Category 1",Table13[[#This Row],[Base Abalone Value]]*1.5,NA())</f>
        <v>#N/A</v>
      </c>
      <c r="Y86">
        <f>IF(Table13[[#This Row],[Category All]]="Category 2",Table13[[#This Row],[Base Abalone Value]]*0.8,NA())</f>
        <v>0.79948199999999991</v>
      </c>
      <c r="Z86" t="e">
        <f>IF(Table13[[#This Row],[Category All]]="Category 3",Table13[[#This Row],[Base Abalone Value]],NA())</f>
        <v>#N/A</v>
      </c>
      <c r="AA86" s="2" t="e">
        <f>IF(Table13[[#This Row],[Gender]]="M",Table13[[#This Row],[Whole_weight]],NA())</f>
        <v>#N/A</v>
      </c>
      <c r="AB86" s="2">
        <f>IF(Table13[[#This Row],[Gender]]="F",Table13[[#This Row],[Whole_weight]],NA())</f>
        <v>0.873</v>
      </c>
      <c r="AC86" s="2" t="e">
        <f>IF(Table13[[#This Row],[Gender]]="I",Table13[[#This Row],[Whole_weight]],NA())</f>
        <v>#N/A</v>
      </c>
      <c r="AD86" s="2" t="e">
        <f>IF(Table13[[#This Row],[Gender]]="M",Table13[[#This Row],[Diameter]],NA())</f>
        <v>#N/A</v>
      </c>
      <c r="AE86" s="2">
        <f>IF(Table13[[#This Row],[Gender]]="F",Table13[[#This Row],[Diameter]],NA())</f>
        <v>0.42499999999999999</v>
      </c>
      <c r="AF86" s="2" t="e">
        <f>IF(Table13[[#This Row],[Gender]]="I",Table13[[#This Row],[Diameter]],NA())</f>
        <v>#N/A</v>
      </c>
    </row>
    <row r="87" spans="1:32" x14ac:dyDescent="0.2">
      <c r="A87">
        <v>1652</v>
      </c>
      <c r="B87" t="s">
        <v>0</v>
      </c>
      <c r="C87">
        <v>0.59499999999999997</v>
      </c>
      <c r="D87">
        <v>0.435</v>
      </c>
      <c r="E87">
        <v>0.15</v>
      </c>
      <c r="F87">
        <v>0.9</v>
      </c>
      <c r="G87">
        <v>0.41749999999999998</v>
      </c>
      <c r="H87">
        <v>0.17</v>
      </c>
      <c r="I87">
        <v>0.26500000000000001</v>
      </c>
      <c r="J87">
        <v>8</v>
      </c>
      <c r="K87">
        <v>14</v>
      </c>
      <c r="L87" t="s">
        <v>23</v>
      </c>
      <c r="M87" t="s">
        <v>24</v>
      </c>
      <c r="N87" t="s">
        <v>25</v>
      </c>
      <c r="O87">
        <v>8</v>
      </c>
      <c r="P87" t="s">
        <v>19</v>
      </c>
      <c r="Q87">
        <v>12.3</v>
      </c>
      <c r="R87" t="str" cm="1">
        <f t="array" ref="R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7" t="e">
        <f>IF(Table13[[#This Row],[Category All]]="Category 1", "Yes",NA())</f>
        <v>#N/A</v>
      </c>
      <c r="T87" t="e">
        <f>IF(Table13[[#This Row],[Category All]]="Category 2", "Yes",NA())</f>
        <v>#N/A</v>
      </c>
      <c r="U87" t="str">
        <f>IF(Table13[[#This Row],[Category All]]="Category 3", "Yes",NA())</f>
        <v>Yes</v>
      </c>
      <c r="V87">
        <f>SUM(1,(1/3)*(Table13[[#This Row],[Length]]-0.5),(1/3)*(Table13[[#This Row],[Diameter]]-0.4),(1/3)*(Table13[[#This Row],[Height]]-0.4)*Table13[[#This Row],[Whole_weight]]*0.5)</f>
        <v>1.0058333333333334</v>
      </c>
      <c r="W87" cm="1">
        <f t="array" ref="W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1.0058333333333334</v>
      </c>
      <c r="X87" t="e">
        <f>IF(Table13[[#This Row],[Category All]]="Category 1",Table13[[#This Row],[Base Abalone Value]]*1.5,NA())</f>
        <v>#N/A</v>
      </c>
      <c r="Y87" t="e">
        <f>IF(Table13[[#This Row],[Category All]]="Category 2",Table13[[#This Row],[Base Abalone Value]]*0.8,NA())</f>
        <v>#N/A</v>
      </c>
      <c r="Z87">
        <f>IF(Table13[[#This Row],[Category All]]="Category 3",Table13[[#This Row],[Base Abalone Value]],NA())</f>
        <v>1.0058333333333334</v>
      </c>
      <c r="AA87" s="2" t="e">
        <f>IF(Table13[[#This Row],[Gender]]="M",Table13[[#This Row],[Whole_weight]],NA())</f>
        <v>#N/A</v>
      </c>
      <c r="AB87" s="2">
        <f>IF(Table13[[#This Row],[Gender]]="F",Table13[[#This Row],[Whole_weight]],NA())</f>
        <v>0.9</v>
      </c>
      <c r="AC87" s="2" t="e">
        <f>IF(Table13[[#This Row],[Gender]]="I",Table13[[#This Row],[Whole_weight]],NA())</f>
        <v>#N/A</v>
      </c>
      <c r="AD87" s="2" t="e">
        <f>IF(Table13[[#This Row],[Gender]]="M",Table13[[#This Row],[Diameter]],NA())</f>
        <v>#N/A</v>
      </c>
      <c r="AE87" s="2">
        <f>IF(Table13[[#This Row],[Gender]]="F",Table13[[#This Row],[Diameter]],NA())</f>
        <v>0.435</v>
      </c>
      <c r="AF87" s="2" t="e">
        <f>IF(Table13[[#This Row],[Gender]]="I",Table13[[#This Row],[Diameter]],NA())</f>
        <v>#N/A</v>
      </c>
    </row>
    <row r="88" spans="1:32" x14ac:dyDescent="0.2">
      <c r="A88">
        <v>3163</v>
      </c>
      <c r="B88" t="s">
        <v>15</v>
      </c>
      <c r="C88">
        <v>0.64</v>
      </c>
      <c r="D88">
        <v>0.49</v>
      </c>
      <c r="E88">
        <v>0.14000000000000001</v>
      </c>
      <c r="F88">
        <v>1.194</v>
      </c>
      <c r="G88">
        <v>0.44450000000000001</v>
      </c>
      <c r="H88">
        <v>0.23799999999999999</v>
      </c>
      <c r="I88">
        <v>0.375</v>
      </c>
      <c r="J88">
        <v>15</v>
      </c>
      <c r="K88">
        <v>14</v>
      </c>
      <c r="L88" t="s">
        <v>23</v>
      </c>
      <c r="M88" t="s">
        <v>24</v>
      </c>
      <c r="N88" t="s">
        <v>25</v>
      </c>
      <c r="O88">
        <v>2</v>
      </c>
      <c r="P88" t="s">
        <v>7</v>
      </c>
      <c r="Q88">
        <v>18</v>
      </c>
      <c r="R88" t="str" cm="1">
        <f t="array" ref="R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8" t="e">
        <f>IF(Table13[[#This Row],[Category All]]="Category 1", "Yes",NA())</f>
        <v>#N/A</v>
      </c>
      <c r="T88" t="e">
        <f>IF(Table13[[#This Row],[Category All]]="Category 2", "Yes",NA())</f>
        <v>#N/A</v>
      </c>
      <c r="U88" t="str">
        <f>IF(Table13[[#This Row],[Category All]]="Category 3", "Yes",NA())</f>
        <v>Yes</v>
      </c>
      <c r="V88">
        <f>SUM(1,(1/3)*(Table13[[#This Row],[Length]]-0.5),(1/3)*(Table13[[#This Row],[Diameter]]-0.4),(1/3)*(Table13[[#This Row],[Height]]-0.4)*Table13[[#This Row],[Whole_weight]]*0.5)</f>
        <v>1.0249266666666668</v>
      </c>
      <c r="W88" cm="1">
        <f t="array" ref="W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1.0249266666666668</v>
      </c>
      <c r="X88" t="e">
        <f>IF(Table13[[#This Row],[Category All]]="Category 1",Table13[[#This Row],[Base Abalone Value]]*1.5,NA())</f>
        <v>#N/A</v>
      </c>
      <c r="Y88" t="e">
        <f>IF(Table13[[#This Row],[Category All]]="Category 2",Table13[[#This Row],[Base Abalone Value]]*0.8,NA())</f>
        <v>#N/A</v>
      </c>
      <c r="Z88">
        <f>IF(Table13[[#This Row],[Category All]]="Category 3",Table13[[#This Row],[Base Abalone Value]],NA())</f>
        <v>1.0249266666666668</v>
      </c>
      <c r="AA88" s="2">
        <f>IF(Table13[[#This Row],[Gender]]="M",Table13[[#This Row],[Whole_weight]],NA())</f>
        <v>1.194</v>
      </c>
      <c r="AB88" s="2" t="e">
        <f>IF(Table13[[#This Row],[Gender]]="F",Table13[[#This Row],[Whole_weight]],NA())</f>
        <v>#N/A</v>
      </c>
      <c r="AC88" s="2" t="e">
        <f>IF(Table13[[#This Row],[Gender]]="I",Table13[[#This Row],[Whole_weight]],NA())</f>
        <v>#N/A</v>
      </c>
      <c r="AD88" s="2">
        <f>IF(Table13[[#This Row],[Gender]]="M",Table13[[#This Row],[Diameter]],NA())</f>
        <v>0.49</v>
      </c>
      <c r="AE88" s="2" t="e">
        <f>IF(Table13[[#This Row],[Gender]]="F",Table13[[#This Row],[Diameter]],NA())</f>
        <v>#N/A</v>
      </c>
      <c r="AF88" s="2" t="e">
        <f>IF(Table13[[#This Row],[Gender]]="I",Table13[[#This Row],[Diameter]],NA())</f>
        <v>#N/A</v>
      </c>
    </row>
    <row r="89" spans="1:32" x14ac:dyDescent="0.2">
      <c r="A89">
        <v>3066</v>
      </c>
      <c r="B89" t="s">
        <v>0</v>
      </c>
      <c r="C89">
        <v>0.64</v>
      </c>
      <c r="D89">
        <v>0.48499999999999999</v>
      </c>
      <c r="E89">
        <v>0.14499999999999999</v>
      </c>
      <c r="F89">
        <v>1.1335</v>
      </c>
      <c r="G89">
        <v>0.55249999999999999</v>
      </c>
      <c r="H89">
        <v>0.2505</v>
      </c>
      <c r="I89">
        <v>0.30149999999999999</v>
      </c>
      <c r="J89">
        <v>11</v>
      </c>
      <c r="K89">
        <v>3</v>
      </c>
      <c r="L89" t="s">
        <v>43</v>
      </c>
      <c r="M89" t="s">
        <v>44</v>
      </c>
      <c r="N89" t="s">
        <v>45</v>
      </c>
      <c r="O89">
        <v>10</v>
      </c>
      <c r="P89" t="s">
        <v>38</v>
      </c>
      <c r="Q89">
        <v>24.1</v>
      </c>
      <c r="R89" t="str" cm="1">
        <f t="array" ref="R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9" t="e">
        <f>IF(Table13[[#This Row],[Category All]]="Category 1", "Yes",NA())</f>
        <v>#N/A</v>
      </c>
      <c r="T89" t="e">
        <f>IF(Table13[[#This Row],[Category All]]="Category 2", "Yes",NA())</f>
        <v>#N/A</v>
      </c>
      <c r="U89" t="str">
        <f>IF(Table13[[#This Row],[Category All]]="Category 3", "Yes",NA())</f>
        <v>Yes</v>
      </c>
      <c r="V89">
        <f>SUM(1,(1/3)*(Table13[[#This Row],[Length]]-0.5),(1/3)*(Table13[[#This Row],[Diameter]]-0.4),(1/3)*(Table13[[#This Row],[Height]]-0.4)*Table13[[#This Row],[Whole_weight]]*0.5)</f>
        <v>1.0268262500000001</v>
      </c>
      <c r="W89" cm="1">
        <f t="array" ref="W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1.0268262500000001</v>
      </c>
      <c r="X89" t="e">
        <f>IF(Table13[[#This Row],[Category All]]="Category 1",Table13[[#This Row],[Base Abalone Value]]*1.5,NA())</f>
        <v>#N/A</v>
      </c>
      <c r="Y89" t="e">
        <f>IF(Table13[[#This Row],[Category All]]="Category 2",Table13[[#This Row],[Base Abalone Value]]*0.8,NA())</f>
        <v>#N/A</v>
      </c>
      <c r="Z89">
        <f>IF(Table13[[#This Row],[Category All]]="Category 3",Table13[[#This Row],[Base Abalone Value]],NA())</f>
        <v>1.0268262500000001</v>
      </c>
      <c r="AA89" s="2" t="e">
        <f>IF(Table13[[#This Row],[Gender]]="M",Table13[[#This Row],[Whole_weight]],NA())</f>
        <v>#N/A</v>
      </c>
      <c r="AB89" s="2">
        <f>IF(Table13[[#This Row],[Gender]]="F",Table13[[#This Row],[Whole_weight]],NA())</f>
        <v>1.1335</v>
      </c>
      <c r="AC89" s="2" t="e">
        <f>IF(Table13[[#This Row],[Gender]]="I",Table13[[#This Row],[Whole_weight]],NA())</f>
        <v>#N/A</v>
      </c>
      <c r="AD89" s="2" t="e">
        <f>IF(Table13[[#This Row],[Gender]]="M",Table13[[#This Row],[Diameter]],NA())</f>
        <v>#N/A</v>
      </c>
      <c r="AE89" s="2">
        <f>IF(Table13[[#This Row],[Gender]]="F",Table13[[#This Row],[Diameter]],NA())</f>
        <v>0.48499999999999999</v>
      </c>
      <c r="AF89" s="2" t="e">
        <f>IF(Table13[[#This Row],[Gender]]="I",Table13[[#This Row],[Diameter]],NA())</f>
        <v>#N/A</v>
      </c>
    </row>
    <row r="90" spans="1:32" x14ac:dyDescent="0.2">
      <c r="A90">
        <v>2103</v>
      </c>
      <c r="B90" t="s">
        <v>11</v>
      </c>
      <c r="C90">
        <v>0.41</v>
      </c>
      <c r="D90">
        <v>0.31</v>
      </c>
      <c r="E90">
        <v>0.11</v>
      </c>
      <c r="F90">
        <v>0.315</v>
      </c>
      <c r="G90">
        <v>0.124</v>
      </c>
      <c r="H90">
        <v>8.2000000000000003E-2</v>
      </c>
      <c r="I90">
        <v>9.5000000000000001E-2</v>
      </c>
      <c r="J90">
        <v>9</v>
      </c>
      <c r="K90">
        <v>7</v>
      </c>
      <c r="L90" t="s">
        <v>35</v>
      </c>
      <c r="M90" t="s">
        <v>36</v>
      </c>
      <c r="N90" t="s">
        <v>37</v>
      </c>
      <c r="O90">
        <v>6</v>
      </c>
      <c r="P90" t="s">
        <v>47</v>
      </c>
      <c r="Q90">
        <v>14.1</v>
      </c>
      <c r="R90" t="str" cm="1">
        <f t="array" ref="R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0" t="e">
        <f>IF(Table13[[#This Row],[Category All]]="Category 1", "Yes",NA())</f>
        <v>#N/A</v>
      </c>
      <c r="T90" t="str">
        <f>IF(Table13[[#This Row],[Category All]]="Category 2", "Yes",NA())</f>
        <v>Yes</v>
      </c>
      <c r="U90" t="e">
        <f>IF(Table13[[#This Row],[Category All]]="Category 3", "Yes",NA())</f>
        <v>#N/A</v>
      </c>
      <c r="V90">
        <f>SUM(1,(1/3)*(Table13[[#This Row],[Length]]-0.5),(1/3)*(Table13[[#This Row],[Diameter]]-0.4),(1/3)*(Table13[[#This Row],[Height]]-0.4)*Table13[[#This Row],[Whole_weight]]*0.5)</f>
        <v>0.9247749999999999</v>
      </c>
      <c r="W90" cm="1">
        <f t="array" ref="W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0.73981999999999992</v>
      </c>
      <c r="X90" t="e">
        <f>IF(Table13[[#This Row],[Category All]]="Category 1",Table13[[#This Row],[Base Abalone Value]]*1.5,NA())</f>
        <v>#N/A</v>
      </c>
      <c r="Y90">
        <f>IF(Table13[[#This Row],[Category All]]="Category 2",Table13[[#This Row],[Base Abalone Value]]*0.8,NA())</f>
        <v>0.73981999999999992</v>
      </c>
      <c r="Z90" t="e">
        <f>IF(Table13[[#This Row],[Category All]]="Category 3",Table13[[#This Row],[Base Abalone Value]],NA())</f>
        <v>#N/A</v>
      </c>
      <c r="AA90" s="2" t="e">
        <f>IF(Table13[[#This Row],[Gender]]="M",Table13[[#This Row],[Whole_weight]],NA())</f>
        <v>#N/A</v>
      </c>
      <c r="AB90" s="2" t="e">
        <f>IF(Table13[[#This Row],[Gender]]="F",Table13[[#This Row],[Whole_weight]],NA())</f>
        <v>#N/A</v>
      </c>
      <c r="AC90" s="2">
        <f>IF(Table13[[#This Row],[Gender]]="I",Table13[[#This Row],[Whole_weight]],NA())</f>
        <v>0.315</v>
      </c>
      <c r="AD90" s="2" t="e">
        <f>IF(Table13[[#This Row],[Gender]]="M",Table13[[#This Row],[Diameter]],NA())</f>
        <v>#N/A</v>
      </c>
      <c r="AE90" s="2" t="e">
        <f>IF(Table13[[#This Row],[Gender]]="F",Table13[[#This Row],[Diameter]],NA())</f>
        <v>#N/A</v>
      </c>
      <c r="AF90" s="2">
        <f>IF(Table13[[#This Row],[Gender]]="I",Table13[[#This Row],[Diameter]],NA())</f>
        <v>0.31</v>
      </c>
    </row>
    <row r="91" spans="1:32" x14ac:dyDescent="0.2">
      <c r="A91">
        <v>1465</v>
      </c>
      <c r="B91" t="s">
        <v>0</v>
      </c>
      <c r="C91">
        <v>0.505</v>
      </c>
      <c r="D91">
        <v>0.38</v>
      </c>
      <c r="E91">
        <v>0.13500000000000001</v>
      </c>
      <c r="F91">
        <v>0.6855</v>
      </c>
      <c r="G91">
        <v>0.36099999999999999</v>
      </c>
      <c r="H91">
        <v>0.1565</v>
      </c>
      <c r="I91">
        <v>0.161</v>
      </c>
      <c r="J91">
        <v>9</v>
      </c>
      <c r="K91">
        <v>15</v>
      </c>
      <c r="L91" t="s">
        <v>49</v>
      </c>
      <c r="M91" t="s">
        <v>50</v>
      </c>
      <c r="N91" t="s">
        <v>3</v>
      </c>
      <c r="O91">
        <v>3</v>
      </c>
      <c r="P91" t="s">
        <v>48</v>
      </c>
      <c r="Q91">
        <v>3.6</v>
      </c>
      <c r="R91" t="str" cm="1">
        <f t="array" ref="R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1" t="e">
        <f>IF(Table13[[#This Row],[Category All]]="Category 1", "Yes",NA())</f>
        <v>#N/A</v>
      </c>
      <c r="T91" t="str">
        <f>IF(Table13[[#This Row],[Category All]]="Category 2", "Yes",NA())</f>
        <v>Yes</v>
      </c>
      <c r="U91" t="e">
        <f>IF(Table13[[#This Row],[Category All]]="Category 3", "Yes",NA())</f>
        <v>#N/A</v>
      </c>
      <c r="V91">
        <f>SUM(1,(1/3)*(Table13[[#This Row],[Length]]-0.5),(1/3)*(Table13[[#This Row],[Diameter]]-0.4),(1/3)*(Table13[[#This Row],[Height]]-0.4)*Table13[[#This Row],[Whole_weight]]*0.5)</f>
        <v>0.96472374999999999</v>
      </c>
      <c r="W91" cm="1">
        <f t="array" ref="W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0.77177899999999999</v>
      </c>
      <c r="X91" t="e">
        <f>IF(Table13[[#This Row],[Category All]]="Category 1",Table13[[#This Row],[Base Abalone Value]]*1.5,NA())</f>
        <v>#N/A</v>
      </c>
      <c r="Y91">
        <f>IF(Table13[[#This Row],[Category All]]="Category 2",Table13[[#This Row],[Base Abalone Value]]*0.8,NA())</f>
        <v>0.77177899999999999</v>
      </c>
      <c r="Z91" t="e">
        <f>IF(Table13[[#This Row],[Category All]]="Category 3",Table13[[#This Row],[Base Abalone Value]],NA())</f>
        <v>#N/A</v>
      </c>
      <c r="AA91" s="2" t="e">
        <f>IF(Table13[[#This Row],[Gender]]="M",Table13[[#This Row],[Whole_weight]],NA())</f>
        <v>#N/A</v>
      </c>
      <c r="AB91" s="2">
        <f>IF(Table13[[#This Row],[Gender]]="F",Table13[[#This Row],[Whole_weight]],NA())</f>
        <v>0.6855</v>
      </c>
      <c r="AC91" s="2" t="e">
        <f>IF(Table13[[#This Row],[Gender]]="I",Table13[[#This Row],[Whole_weight]],NA())</f>
        <v>#N/A</v>
      </c>
      <c r="AD91" s="2" t="e">
        <f>IF(Table13[[#This Row],[Gender]]="M",Table13[[#This Row],[Diameter]],NA())</f>
        <v>#N/A</v>
      </c>
      <c r="AE91" s="2">
        <f>IF(Table13[[#This Row],[Gender]]="F",Table13[[#This Row],[Diameter]],NA())</f>
        <v>0.38</v>
      </c>
      <c r="AF91" s="2" t="e">
        <f>IF(Table13[[#This Row],[Gender]]="I",Table13[[#This Row],[Diameter]],NA())</f>
        <v>#N/A</v>
      </c>
    </row>
    <row r="92" spans="1:32" x14ac:dyDescent="0.2">
      <c r="A92">
        <v>2998</v>
      </c>
      <c r="B92" t="s">
        <v>0</v>
      </c>
      <c r="C92">
        <v>0.625</v>
      </c>
      <c r="D92">
        <v>0.49</v>
      </c>
      <c r="E92">
        <v>0.11</v>
      </c>
      <c r="F92">
        <v>1.1359999999999999</v>
      </c>
      <c r="G92">
        <v>0.52649999999999997</v>
      </c>
      <c r="H92">
        <v>0.1915</v>
      </c>
      <c r="I92">
        <v>0.29249999999999998</v>
      </c>
      <c r="J92">
        <v>9</v>
      </c>
      <c r="K92">
        <v>4</v>
      </c>
      <c r="L92" t="s">
        <v>52</v>
      </c>
      <c r="M92" t="s">
        <v>53</v>
      </c>
      <c r="N92" t="s">
        <v>54</v>
      </c>
      <c r="O92">
        <v>1</v>
      </c>
      <c r="P92" t="s">
        <v>4</v>
      </c>
      <c r="Q92">
        <v>22.1</v>
      </c>
      <c r="R92" t="str" cm="1">
        <f t="array" ref="R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2" t="e">
        <f>IF(Table13[[#This Row],[Category All]]="Category 1", "Yes",NA())</f>
        <v>#N/A</v>
      </c>
      <c r="T92" t="e">
        <f>IF(Table13[[#This Row],[Category All]]="Category 2", "Yes",NA())</f>
        <v>#N/A</v>
      </c>
      <c r="U92" t="str">
        <f>IF(Table13[[#This Row],[Category All]]="Category 3", "Yes",NA())</f>
        <v>Yes</v>
      </c>
      <c r="V92">
        <f>SUM(1,(1/3)*(Table13[[#This Row],[Length]]-0.5),(1/3)*(Table13[[#This Row],[Diameter]]-0.4),(1/3)*(Table13[[#This Row],[Height]]-0.4)*Table13[[#This Row],[Whole_weight]]*0.5)</f>
        <v>1.0167600000000001</v>
      </c>
      <c r="W92" cm="1">
        <f t="array" ref="W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1.0167600000000001</v>
      </c>
      <c r="X92" t="e">
        <f>IF(Table13[[#This Row],[Category All]]="Category 1",Table13[[#This Row],[Base Abalone Value]]*1.5,NA())</f>
        <v>#N/A</v>
      </c>
      <c r="Y92" t="e">
        <f>IF(Table13[[#This Row],[Category All]]="Category 2",Table13[[#This Row],[Base Abalone Value]]*0.8,NA())</f>
        <v>#N/A</v>
      </c>
      <c r="Z92">
        <f>IF(Table13[[#This Row],[Category All]]="Category 3",Table13[[#This Row],[Base Abalone Value]],NA())</f>
        <v>1.0167600000000001</v>
      </c>
      <c r="AA92" s="2" t="e">
        <f>IF(Table13[[#This Row],[Gender]]="M",Table13[[#This Row],[Whole_weight]],NA())</f>
        <v>#N/A</v>
      </c>
      <c r="AB92" s="2">
        <f>IF(Table13[[#This Row],[Gender]]="F",Table13[[#This Row],[Whole_weight]],NA())</f>
        <v>1.1359999999999999</v>
      </c>
      <c r="AC92" s="2" t="e">
        <f>IF(Table13[[#This Row],[Gender]]="I",Table13[[#This Row],[Whole_weight]],NA())</f>
        <v>#N/A</v>
      </c>
      <c r="AD92" s="2" t="e">
        <f>IF(Table13[[#This Row],[Gender]]="M",Table13[[#This Row],[Diameter]],NA())</f>
        <v>#N/A</v>
      </c>
      <c r="AE92" s="2">
        <f>IF(Table13[[#This Row],[Gender]]="F",Table13[[#This Row],[Diameter]],NA())</f>
        <v>0.49</v>
      </c>
      <c r="AF92" s="2" t="e">
        <f>IF(Table13[[#This Row],[Gender]]="I",Table13[[#This Row],[Diameter]],NA())</f>
        <v>#N/A</v>
      </c>
    </row>
    <row r="93" spans="1:32" x14ac:dyDescent="0.2">
      <c r="A93">
        <v>1501</v>
      </c>
      <c r="B93" t="s">
        <v>0</v>
      </c>
      <c r="C93">
        <v>0.63</v>
      </c>
      <c r="D93">
        <v>0.5</v>
      </c>
      <c r="E93">
        <v>0.17499999999999999</v>
      </c>
      <c r="F93">
        <v>1.1105</v>
      </c>
      <c r="G93">
        <v>0.46700000000000003</v>
      </c>
      <c r="H93">
        <v>0.26800000000000002</v>
      </c>
      <c r="I93">
        <v>0.32900000000000001</v>
      </c>
      <c r="J93">
        <v>10</v>
      </c>
      <c r="K93">
        <v>6</v>
      </c>
      <c r="L93" t="s">
        <v>39</v>
      </c>
      <c r="M93" t="s">
        <v>40</v>
      </c>
      <c r="N93" t="s">
        <v>41</v>
      </c>
      <c r="O93">
        <v>6</v>
      </c>
      <c r="P93" t="s">
        <v>47</v>
      </c>
      <c r="Q93">
        <v>14.1</v>
      </c>
      <c r="R93" t="str" cm="1">
        <f t="array" ref="R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3" t="e">
        <f>IF(Table13[[#This Row],[Category All]]="Category 1", "Yes",NA())</f>
        <v>#N/A</v>
      </c>
      <c r="T93" t="e">
        <f>IF(Table13[[#This Row],[Category All]]="Category 2", "Yes",NA())</f>
        <v>#N/A</v>
      </c>
      <c r="U93" t="str">
        <f>IF(Table13[[#This Row],[Category All]]="Category 3", "Yes",NA())</f>
        <v>Yes</v>
      </c>
      <c r="V93">
        <f>SUM(1,(1/3)*(Table13[[#This Row],[Length]]-0.5),(1/3)*(Table13[[#This Row],[Diameter]]-0.4),(1/3)*(Table13[[#This Row],[Height]]-0.4)*Table13[[#This Row],[Whole_weight]]*0.5)</f>
        <v>1.0350229166666667</v>
      </c>
      <c r="W93" cm="1">
        <f t="array" ref="W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1.0350229166666667</v>
      </c>
      <c r="X93" t="e">
        <f>IF(Table13[[#This Row],[Category All]]="Category 1",Table13[[#This Row],[Base Abalone Value]]*1.5,NA())</f>
        <v>#N/A</v>
      </c>
      <c r="Y93" t="e">
        <f>IF(Table13[[#This Row],[Category All]]="Category 2",Table13[[#This Row],[Base Abalone Value]]*0.8,NA())</f>
        <v>#N/A</v>
      </c>
      <c r="Z93">
        <f>IF(Table13[[#This Row],[Category All]]="Category 3",Table13[[#This Row],[Base Abalone Value]],NA())</f>
        <v>1.0350229166666667</v>
      </c>
      <c r="AA93" s="2" t="e">
        <f>IF(Table13[[#This Row],[Gender]]="M",Table13[[#This Row],[Whole_weight]],NA())</f>
        <v>#N/A</v>
      </c>
      <c r="AB93" s="2">
        <f>IF(Table13[[#This Row],[Gender]]="F",Table13[[#This Row],[Whole_weight]],NA())</f>
        <v>1.1105</v>
      </c>
      <c r="AC93" s="2" t="e">
        <f>IF(Table13[[#This Row],[Gender]]="I",Table13[[#This Row],[Whole_weight]],NA())</f>
        <v>#N/A</v>
      </c>
      <c r="AD93" s="2" t="e">
        <f>IF(Table13[[#This Row],[Gender]]="M",Table13[[#This Row],[Diameter]],NA())</f>
        <v>#N/A</v>
      </c>
      <c r="AE93" s="2">
        <f>IF(Table13[[#This Row],[Gender]]="F",Table13[[#This Row],[Diameter]],NA())</f>
        <v>0.5</v>
      </c>
      <c r="AF93" s="2" t="e">
        <f>IF(Table13[[#This Row],[Gender]]="I",Table13[[#This Row],[Diameter]],NA())</f>
        <v>#N/A</v>
      </c>
    </row>
    <row r="94" spans="1:32" x14ac:dyDescent="0.2">
      <c r="A94">
        <v>3413</v>
      </c>
      <c r="B94" t="s">
        <v>11</v>
      </c>
      <c r="C94">
        <v>0.48</v>
      </c>
      <c r="D94">
        <v>0.35499999999999998</v>
      </c>
      <c r="E94">
        <v>0.115</v>
      </c>
      <c r="F94">
        <v>0.57850000000000001</v>
      </c>
      <c r="G94">
        <v>0.25</v>
      </c>
      <c r="H94">
        <v>0.106</v>
      </c>
      <c r="I94">
        <v>0.184</v>
      </c>
      <c r="J94">
        <v>8</v>
      </c>
      <c r="K94">
        <v>9</v>
      </c>
      <c r="L94" t="s">
        <v>20</v>
      </c>
      <c r="M94" t="s">
        <v>21</v>
      </c>
      <c r="N94" t="s">
        <v>22</v>
      </c>
      <c r="O94">
        <v>6</v>
      </c>
      <c r="P94" t="s">
        <v>47</v>
      </c>
      <c r="Q94">
        <v>14.1</v>
      </c>
      <c r="R94" t="str" cm="1">
        <f t="array" ref="R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4" t="e">
        <f>IF(Table13[[#This Row],[Category All]]="Category 1", "Yes",NA())</f>
        <v>#N/A</v>
      </c>
      <c r="T94" t="str">
        <f>IF(Table13[[#This Row],[Category All]]="Category 2", "Yes",NA())</f>
        <v>Yes</v>
      </c>
      <c r="U94" t="e">
        <f>IF(Table13[[#This Row],[Category All]]="Category 3", "Yes",NA())</f>
        <v>#N/A</v>
      </c>
      <c r="V94">
        <f>SUM(1,(1/3)*(Table13[[#This Row],[Length]]-0.5),(1/3)*(Table13[[#This Row],[Diameter]]-0.4),(1/3)*(Table13[[#This Row],[Height]]-0.4)*Table13[[#This Row],[Whole_weight]]*0.5)</f>
        <v>0.95085458333333328</v>
      </c>
      <c r="W94" cm="1">
        <f t="array" ref="W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0.76068366666666665</v>
      </c>
      <c r="X94" t="e">
        <f>IF(Table13[[#This Row],[Category All]]="Category 1",Table13[[#This Row],[Base Abalone Value]]*1.5,NA())</f>
        <v>#N/A</v>
      </c>
      <c r="Y94">
        <f>IF(Table13[[#This Row],[Category All]]="Category 2",Table13[[#This Row],[Base Abalone Value]]*0.8,NA())</f>
        <v>0.76068366666666665</v>
      </c>
      <c r="Z94" t="e">
        <f>IF(Table13[[#This Row],[Category All]]="Category 3",Table13[[#This Row],[Base Abalone Value]],NA())</f>
        <v>#N/A</v>
      </c>
      <c r="AA94" s="2" t="e">
        <f>IF(Table13[[#This Row],[Gender]]="M",Table13[[#This Row],[Whole_weight]],NA())</f>
        <v>#N/A</v>
      </c>
      <c r="AB94" s="2" t="e">
        <f>IF(Table13[[#This Row],[Gender]]="F",Table13[[#This Row],[Whole_weight]],NA())</f>
        <v>#N/A</v>
      </c>
      <c r="AC94" s="2">
        <f>IF(Table13[[#This Row],[Gender]]="I",Table13[[#This Row],[Whole_weight]],NA())</f>
        <v>0.57850000000000001</v>
      </c>
      <c r="AD94" s="2" t="e">
        <f>IF(Table13[[#This Row],[Gender]]="M",Table13[[#This Row],[Diameter]],NA())</f>
        <v>#N/A</v>
      </c>
      <c r="AE94" s="2" t="e">
        <f>IF(Table13[[#This Row],[Gender]]="F",Table13[[#This Row],[Diameter]],NA())</f>
        <v>#N/A</v>
      </c>
      <c r="AF94" s="2">
        <f>IF(Table13[[#This Row],[Gender]]="I",Table13[[#This Row],[Diameter]],NA())</f>
        <v>0.35499999999999998</v>
      </c>
    </row>
    <row r="95" spans="1:32" x14ac:dyDescent="0.2">
      <c r="A95">
        <v>372</v>
      </c>
      <c r="B95" t="s">
        <v>0</v>
      </c>
      <c r="C95">
        <v>0.66</v>
      </c>
      <c r="D95">
        <v>0.56499999999999995</v>
      </c>
      <c r="E95">
        <v>0.19500000000000001</v>
      </c>
      <c r="F95">
        <v>1.7605</v>
      </c>
      <c r="G95">
        <v>0.69199999999999995</v>
      </c>
      <c r="H95">
        <v>0.32650000000000001</v>
      </c>
      <c r="I95">
        <v>0.5</v>
      </c>
      <c r="J95">
        <v>16</v>
      </c>
      <c r="K95">
        <v>8</v>
      </c>
      <c r="L95" t="s">
        <v>29</v>
      </c>
      <c r="M95" t="s">
        <v>30</v>
      </c>
      <c r="N95" t="s">
        <v>31</v>
      </c>
      <c r="O95">
        <v>1</v>
      </c>
      <c r="P95" t="s">
        <v>4</v>
      </c>
      <c r="Q95">
        <v>22.1</v>
      </c>
      <c r="R95" t="str" cm="1">
        <f t="array" ref="R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5" t="e">
        <f>IF(Table13[[#This Row],[Category All]]="Category 1", "Yes",NA())</f>
        <v>#N/A</v>
      </c>
      <c r="T95" t="e">
        <f>IF(Table13[[#This Row],[Category All]]="Category 2", "Yes",NA())</f>
        <v>#N/A</v>
      </c>
      <c r="U95" t="str">
        <f>IF(Table13[[#This Row],[Category All]]="Category 3", "Yes",NA())</f>
        <v>Yes</v>
      </c>
      <c r="V95">
        <f>SUM(1,(1/3)*(Table13[[#This Row],[Length]]-0.5),(1/3)*(Table13[[#This Row],[Diameter]]-0.4),(1/3)*(Table13[[#This Row],[Height]]-0.4)*Table13[[#This Row],[Whole_weight]]*0.5)</f>
        <v>1.0481829166666665</v>
      </c>
      <c r="W95" cm="1">
        <f t="array" ref="W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1.0481829166666665</v>
      </c>
      <c r="X95" t="e">
        <f>IF(Table13[[#This Row],[Category All]]="Category 1",Table13[[#This Row],[Base Abalone Value]]*1.5,NA())</f>
        <v>#N/A</v>
      </c>
      <c r="Y95" t="e">
        <f>IF(Table13[[#This Row],[Category All]]="Category 2",Table13[[#This Row],[Base Abalone Value]]*0.8,NA())</f>
        <v>#N/A</v>
      </c>
      <c r="Z95">
        <f>IF(Table13[[#This Row],[Category All]]="Category 3",Table13[[#This Row],[Base Abalone Value]],NA())</f>
        <v>1.0481829166666665</v>
      </c>
      <c r="AA95" s="2" t="e">
        <f>IF(Table13[[#This Row],[Gender]]="M",Table13[[#This Row],[Whole_weight]],NA())</f>
        <v>#N/A</v>
      </c>
      <c r="AB95" s="2">
        <f>IF(Table13[[#This Row],[Gender]]="F",Table13[[#This Row],[Whole_weight]],NA())</f>
        <v>1.7605</v>
      </c>
      <c r="AC95" s="2" t="e">
        <f>IF(Table13[[#This Row],[Gender]]="I",Table13[[#This Row],[Whole_weight]],NA())</f>
        <v>#N/A</v>
      </c>
      <c r="AD95" s="2" t="e">
        <f>IF(Table13[[#This Row],[Gender]]="M",Table13[[#This Row],[Diameter]],NA())</f>
        <v>#N/A</v>
      </c>
      <c r="AE95" s="2">
        <f>IF(Table13[[#This Row],[Gender]]="F",Table13[[#This Row],[Diameter]],NA())</f>
        <v>0.56499999999999995</v>
      </c>
      <c r="AF95" s="2" t="e">
        <f>IF(Table13[[#This Row],[Gender]]="I",Table13[[#This Row],[Diameter]],NA())</f>
        <v>#N/A</v>
      </c>
    </row>
    <row r="96" spans="1:32" x14ac:dyDescent="0.2">
      <c r="A96">
        <v>3833</v>
      </c>
      <c r="B96" t="s">
        <v>0</v>
      </c>
      <c r="C96">
        <v>0.46</v>
      </c>
      <c r="D96">
        <v>0.36499999999999999</v>
      </c>
      <c r="E96">
        <v>0.115</v>
      </c>
      <c r="F96">
        <v>0.44850000000000001</v>
      </c>
      <c r="G96">
        <v>0.16500000000000001</v>
      </c>
      <c r="H96">
        <v>8.3000000000000004E-2</v>
      </c>
      <c r="I96">
        <v>0.17</v>
      </c>
      <c r="J96">
        <v>14</v>
      </c>
      <c r="K96">
        <v>14</v>
      </c>
      <c r="L96" t="s">
        <v>23</v>
      </c>
      <c r="M96" t="s">
        <v>24</v>
      </c>
      <c r="N96" t="s">
        <v>25</v>
      </c>
      <c r="O96">
        <v>2</v>
      </c>
      <c r="P96" t="s">
        <v>7</v>
      </c>
      <c r="Q96">
        <v>18</v>
      </c>
      <c r="R96" t="str" cm="1">
        <f t="array" ref="R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" t="e">
        <f>IF(Table13[[#This Row],[Category All]]="Category 1", "Yes",NA())</f>
        <v>#N/A</v>
      </c>
      <c r="T96" t="str">
        <f>IF(Table13[[#This Row],[Category All]]="Category 2", "Yes",NA())</f>
        <v>Yes</v>
      </c>
      <c r="U96" t="e">
        <f>IF(Table13[[#This Row],[Category All]]="Category 3", "Yes",NA())</f>
        <v>#N/A</v>
      </c>
      <c r="V96">
        <f>SUM(1,(1/3)*(Table13[[#This Row],[Length]]-0.5),(1/3)*(Table13[[#This Row],[Diameter]]-0.4),(1/3)*(Table13[[#This Row],[Height]]-0.4)*Table13[[#This Row],[Whole_weight]]*0.5)</f>
        <v>0.95369625000000002</v>
      </c>
      <c r="W96" cm="1">
        <f t="array" ref="W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0.76295700000000011</v>
      </c>
      <c r="X96" t="e">
        <f>IF(Table13[[#This Row],[Category All]]="Category 1",Table13[[#This Row],[Base Abalone Value]]*1.5,NA())</f>
        <v>#N/A</v>
      </c>
      <c r="Y96">
        <f>IF(Table13[[#This Row],[Category All]]="Category 2",Table13[[#This Row],[Base Abalone Value]]*0.8,NA())</f>
        <v>0.76295700000000011</v>
      </c>
      <c r="Z96" t="e">
        <f>IF(Table13[[#This Row],[Category All]]="Category 3",Table13[[#This Row],[Base Abalone Value]],NA())</f>
        <v>#N/A</v>
      </c>
      <c r="AA96" s="2" t="e">
        <f>IF(Table13[[#This Row],[Gender]]="M",Table13[[#This Row],[Whole_weight]],NA())</f>
        <v>#N/A</v>
      </c>
      <c r="AB96" s="2">
        <f>IF(Table13[[#This Row],[Gender]]="F",Table13[[#This Row],[Whole_weight]],NA())</f>
        <v>0.44850000000000001</v>
      </c>
      <c r="AC96" s="2" t="e">
        <f>IF(Table13[[#This Row],[Gender]]="I",Table13[[#This Row],[Whole_weight]],NA())</f>
        <v>#N/A</v>
      </c>
      <c r="AD96" s="2" t="e">
        <f>IF(Table13[[#This Row],[Gender]]="M",Table13[[#This Row],[Diameter]],NA())</f>
        <v>#N/A</v>
      </c>
      <c r="AE96" s="2">
        <f>IF(Table13[[#This Row],[Gender]]="F",Table13[[#This Row],[Diameter]],NA())</f>
        <v>0.36499999999999999</v>
      </c>
      <c r="AF96" s="2" t="e">
        <f>IF(Table13[[#This Row],[Gender]]="I",Table13[[#This Row],[Diameter]],NA())</f>
        <v>#N/A</v>
      </c>
    </row>
    <row r="97" spans="1:32" x14ac:dyDescent="0.2">
      <c r="A97">
        <v>1710</v>
      </c>
      <c r="B97" t="s">
        <v>15</v>
      </c>
      <c r="C97">
        <v>0.64500000000000002</v>
      </c>
      <c r="D97">
        <v>0.51</v>
      </c>
      <c r="E97">
        <v>0.19</v>
      </c>
      <c r="F97">
        <v>1.4744999999999999</v>
      </c>
      <c r="G97">
        <v>0.60499999999999998</v>
      </c>
      <c r="H97">
        <v>0.34499999999999997</v>
      </c>
      <c r="I97">
        <v>0.48</v>
      </c>
      <c r="J97">
        <v>9</v>
      </c>
      <c r="K97">
        <v>13</v>
      </c>
      <c r="L97" t="s">
        <v>12</v>
      </c>
      <c r="M97" t="s">
        <v>13</v>
      </c>
      <c r="N97" t="s">
        <v>3</v>
      </c>
      <c r="O97">
        <v>1</v>
      </c>
      <c r="P97" t="s">
        <v>4</v>
      </c>
      <c r="Q97">
        <v>22.1</v>
      </c>
      <c r="R97" t="str" cm="1">
        <f t="array" ref="R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7" t="e">
        <f>IF(Table13[[#This Row],[Category All]]="Category 1", "Yes",NA())</f>
        <v>#N/A</v>
      </c>
      <c r="T97" t="e">
        <f>IF(Table13[[#This Row],[Category All]]="Category 2", "Yes",NA())</f>
        <v>#N/A</v>
      </c>
      <c r="U97" t="str">
        <f>IF(Table13[[#This Row],[Category All]]="Category 3", "Yes",NA())</f>
        <v>Yes</v>
      </c>
      <c r="V97">
        <f>SUM(1,(1/3)*(Table13[[#This Row],[Length]]-0.5),(1/3)*(Table13[[#This Row],[Diameter]]-0.4),(1/3)*(Table13[[#This Row],[Height]]-0.4)*Table13[[#This Row],[Whole_weight]]*0.5)</f>
        <v>1.0333924999999999</v>
      </c>
      <c r="W97" cm="1">
        <f t="array" ref="W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1.0333924999999999</v>
      </c>
      <c r="X97" t="e">
        <f>IF(Table13[[#This Row],[Category All]]="Category 1",Table13[[#This Row],[Base Abalone Value]]*1.5,NA())</f>
        <v>#N/A</v>
      </c>
      <c r="Y97" t="e">
        <f>IF(Table13[[#This Row],[Category All]]="Category 2",Table13[[#This Row],[Base Abalone Value]]*0.8,NA())</f>
        <v>#N/A</v>
      </c>
      <c r="Z97">
        <f>IF(Table13[[#This Row],[Category All]]="Category 3",Table13[[#This Row],[Base Abalone Value]],NA())</f>
        <v>1.0333924999999999</v>
      </c>
      <c r="AA97" s="2">
        <f>IF(Table13[[#This Row],[Gender]]="M",Table13[[#This Row],[Whole_weight]],NA())</f>
        <v>1.4744999999999999</v>
      </c>
      <c r="AB97" s="2" t="e">
        <f>IF(Table13[[#This Row],[Gender]]="F",Table13[[#This Row],[Whole_weight]],NA())</f>
        <v>#N/A</v>
      </c>
      <c r="AC97" s="2" t="e">
        <f>IF(Table13[[#This Row],[Gender]]="I",Table13[[#This Row],[Whole_weight]],NA())</f>
        <v>#N/A</v>
      </c>
      <c r="AD97" s="2">
        <f>IF(Table13[[#This Row],[Gender]]="M",Table13[[#This Row],[Diameter]],NA())</f>
        <v>0.51</v>
      </c>
      <c r="AE97" s="2" t="e">
        <f>IF(Table13[[#This Row],[Gender]]="F",Table13[[#This Row],[Diameter]],NA())</f>
        <v>#N/A</v>
      </c>
      <c r="AF97" s="2" t="e">
        <f>IF(Table13[[#This Row],[Gender]]="I",Table13[[#This Row],[Diameter]],NA())</f>
        <v>#N/A</v>
      </c>
    </row>
    <row r="98" spans="1:32" x14ac:dyDescent="0.2">
      <c r="A98">
        <v>2434</v>
      </c>
      <c r="B98" t="s">
        <v>0</v>
      </c>
      <c r="C98">
        <v>0.66</v>
      </c>
      <c r="D98">
        <v>0.51500000000000001</v>
      </c>
      <c r="E98">
        <v>0.18</v>
      </c>
      <c r="F98">
        <v>1.5229999999999999</v>
      </c>
      <c r="G98">
        <v>0.54</v>
      </c>
      <c r="H98">
        <v>0.33650000000000002</v>
      </c>
      <c r="I98">
        <v>0.55500000000000005</v>
      </c>
      <c r="J98">
        <v>16</v>
      </c>
      <c r="K98">
        <v>15</v>
      </c>
      <c r="L98" t="s">
        <v>49</v>
      </c>
      <c r="M98" t="s">
        <v>50</v>
      </c>
      <c r="N98" t="s">
        <v>3</v>
      </c>
      <c r="O98">
        <v>4</v>
      </c>
      <c r="P98" t="s">
        <v>10</v>
      </c>
      <c r="Q98">
        <v>6.1</v>
      </c>
      <c r="R98" t="str" cm="1">
        <f t="array" ref="R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8" t="e">
        <f>IF(Table13[[#This Row],[Category All]]="Category 1", "Yes",NA())</f>
        <v>#N/A</v>
      </c>
      <c r="T98" t="e">
        <f>IF(Table13[[#This Row],[Category All]]="Category 2", "Yes",NA())</f>
        <v>#N/A</v>
      </c>
      <c r="U98" t="str">
        <f>IF(Table13[[#This Row],[Category All]]="Category 3", "Yes",NA())</f>
        <v>Yes</v>
      </c>
      <c r="V98">
        <f>SUM(1,(1/3)*(Table13[[#This Row],[Length]]-0.5),(1/3)*(Table13[[#This Row],[Diameter]]-0.4),(1/3)*(Table13[[#This Row],[Height]]-0.4)*Table13[[#This Row],[Whole_weight]]*0.5)</f>
        <v>1.0358233333333333</v>
      </c>
      <c r="W98" cm="1">
        <f t="array" ref="W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1.0358233333333333</v>
      </c>
      <c r="X98" t="e">
        <f>IF(Table13[[#This Row],[Category All]]="Category 1",Table13[[#This Row],[Base Abalone Value]]*1.5,NA())</f>
        <v>#N/A</v>
      </c>
      <c r="Y98" t="e">
        <f>IF(Table13[[#This Row],[Category All]]="Category 2",Table13[[#This Row],[Base Abalone Value]]*0.8,NA())</f>
        <v>#N/A</v>
      </c>
      <c r="Z98">
        <f>IF(Table13[[#This Row],[Category All]]="Category 3",Table13[[#This Row],[Base Abalone Value]],NA())</f>
        <v>1.0358233333333333</v>
      </c>
      <c r="AA98" s="2" t="e">
        <f>IF(Table13[[#This Row],[Gender]]="M",Table13[[#This Row],[Whole_weight]],NA())</f>
        <v>#N/A</v>
      </c>
      <c r="AB98" s="2">
        <f>IF(Table13[[#This Row],[Gender]]="F",Table13[[#This Row],[Whole_weight]],NA())</f>
        <v>1.5229999999999999</v>
      </c>
      <c r="AC98" s="2" t="e">
        <f>IF(Table13[[#This Row],[Gender]]="I",Table13[[#This Row],[Whole_weight]],NA())</f>
        <v>#N/A</v>
      </c>
      <c r="AD98" s="2" t="e">
        <f>IF(Table13[[#This Row],[Gender]]="M",Table13[[#This Row],[Diameter]],NA())</f>
        <v>#N/A</v>
      </c>
      <c r="AE98" s="2">
        <f>IF(Table13[[#This Row],[Gender]]="F",Table13[[#This Row],[Diameter]],NA())</f>
        <v>0.51500000000000001</v>
      </c>
      <c r="AF98" s="2" t="e">
        <f>IF(Table13[[#This Row],[Gender]]="I",Table13[[#This Row],[Diameter]],NA())</f>
        <v>#N/A</v>
      </c>
    </row>
    <row r="99" spans="1:32" x14ac:dyDescent="0.2">
      <c r="A99">
        <v>137</v>
      </c>
      <c r="B99" t="s">
        <v>0</v>
      </c>
      <c r="C99">
        <v>0.30499999999999999</v>
      </c>
      <c r="D99">
        <v>0.23</v>
      </c>
      <c r="E99">
        <v>0.08</v>
      </c>
      <c r="F99">
        <v>0.156</v>
      </c>
      <c r="G99">
        <v>6.7500000000000004E-2</v>
      </c>
      <c r="H99">
        <v>3.4500000000000003E-2</v>
      </c>
      <c r="I99">
        <v>4.8000000000000001E-2</v>
      </c>
      <c r="J99">
        <v>7</v>
      </c>
      <c r="K99">
        <v>4</v>
      </c>
      <c r="L99" t="s">
        <v>52</v>
      </c>
      <c r="M99" t="s">
        <v>53</v>
      </c>
      <c r="N99" t="s">
        <v>54</v>
      </c>
      <c r="O99">
        <v>7</v>
      </c>
      <c r="P99" t="s">
        <v>42</v>
      </c>
      <c r="Q99">
        <v>2.5</v>
      </c>
      <c r="R99" t="str" cm="1">
        <f t="array" ref="R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" t="e">
        <f>IF(Table13[[#This Row],[Category All]]="Category 1", "Yes",NA())</f>
        <v>#N/A</v>
      </c>
      <c r="T99" t="str">
        <f>IF(Table13[[#This Row],[Category All]]="Category 2", "Yes",NA())</f>
        <v>Yes</v>
      </c>
      <c r="U99" t="e">
        <f>IF(Table13[[#This Row],[Category All]]="Category 3", "Yes",NA())</f>
        <v>#N/A</v>
      </c>
      <c r="V99">
        <f>SUM(1,(1/3)*(Table13[[#This Row],[Length]]-0.5),(1/3)*(Table13[[#This Row],[Diameter]]-0.4),(1/3)*(Table13[[#This Row],[Height]]-0.4)*Table13[[#This Row],[Whole_weight]]*0.5)</f>
        <v>0.87001333333333342</v>
      </c>
      <c r="W99" cm="1">
        <f t="array" ref="W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0.69601066666666678</v>
      </c>
      <c r="X99" t="e">
        <f>IF(Table13[[#This Row],[Category All]]="Category 1",Table13[[#This Row],[Base Abalone Value]]*1.5,NA())</f>
        <v>#N/A</v>
      </c>
      <c r="Y99">
        <f>IF(Table13[[#This Row],[Category All]]="Category 2",Table13[[#This Row],[Base Abalone Value]]*0.8,NA())</f>
        <v>0.69601066666666678</v>
      </c>
      <c r="Z99" t="e">
        <f>IF(Table13[[#This Row],[Category All]]="Category 3",Table13[[#This Row],[Base Abalone Value]],NA())</f>
        <v>#N/A</v>
      </c>
      <c r="AA99" s="2" t="e">
        <f>IF(Table13[[#This Row],[Gender]]="M",Table13[[#This Row],[Whole_weight]],NA())</f>
        <v>#N/A</v>
      </c>
      <c r="AB99" s="2">
        <f>IF(Table13[[#This Row],[Gender]]="F",Table13[[#This Row],[Whole_weight]],NA())</f>
        <v>0.156</v>
      </c>
      <c r="AC99" s="2" t="e">
        <f>IF(Table13[[#This Row],[Gender]]="I",Table13[[#This Row],[Whole_weight]],NA())</f>
        <v>#N/A</v>
      </c>
      <c r="AD99" s="2" t="e">
        <f>IF(Table13[[#This Row],[Gender]]="M",Table13[[#This Row],[Diameter]],NA())</f>
        <v>#N/A</v>
      </c>
      <c r="AE99" s="2">
        <f>IF(Table13[[#This Row],[Gender]]="F",Table13[[#This Row],[Diameter]],NA())</f>
        <v>0.23</v>
      </c>
      <c r="AF99" s="2" t="e">
        <f>IF(Table13[[#This Row],[Gender]]="I",Table13[[#This Row],[Diameter]],NA())</f>
        <v>#N/A</v>
      </c>
    </row>
    <row r="100" spans="1:32" x14ac:dyDescent="0.2">
      <c r="A100">
        <v>3018</v>
      </c>
      <c r="B100" t="s">
        <v>11</v>
      </c>
      <c r="C100">
        <v>0.435</v>
      </c>
      <c r="D100">
        <v>0.32500000000000001</v>
      </c>
      <c r="E100">
        <v>0.105</v>
      </c>
      <c r="F100">
        <v>0.33500000000000002</v>
      </c>
      <c r="G100">
        <v>0.13600000000000001</v>
      </c>
      <c r="H100">
        <v>6.5000000000000002E-2</v>
      </c>
      <c r="I100">
        <v>0.115</v>
      </c>
      <c r="J100">
        <v>8</v>
      </c>
      <c r="K100">
        <v>1</v>
      </c>
      <c r="L100" t="s">
        <v>8</v>
      </c>
      <c r="M100" t="s">
        <v>9</v>
      </c>
      <c r="N100" t="s">
        <v>3</v>
      </c>
      <c r="O100">
        <v>10</v>
      </c>
      <c r="P100" t="s">
        <v>38</v>
      </c>
      <c r="Q100">
        <v>24.1</v>
      </c>
      <c r="R100" t="str" cm="1">
        <f t="array" ref="R1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00" t="e">
        <f>IF(Table13[[#This Row],[Category All]]="Category 1", "Yes",NA())</f>
        <v>#N/A</v>
      </c>
      <c r="T100" t="str">
        <f>IF(Table13[[#This Row],[Category All]]="Category 2", "Yes",NA())</f>
        <v>Yes</v>
      </c>
      <c r="U100" t="e">
        <f>IF(Table13[[#This Row],[Category All]]="Category 3", "Yes",NA())</f>
        <v>#N/A</v>
      </c>
      <c r="V100">
        <f>SUM(1,(1/3)*(Table13[[#This Row],[Length]]-0.5),(1/3)*(Table13[[#This Row],[Diameter]]-0.4),(1/3)*(Table13[[#This Row],[Height]]-0.4)*Table13[[#This Row],[Whole_weight]]*0.5)</f>
        <v>0.93686249999999993</v>
      </c>
      <c r="W100" cm="1">
        <f t="array" ref="W1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0.74948999999999999</v>
      </c>
      <c r="X100" t="e">
        <f>IF(Table13[[#This Row],[Category All]]="Category 1",Table13[[#This Row],[Base Abalone Value]]*1.5,NA())</f>
        <v>#N/A</v>
      </c>
      <c r="Y100">
        <f>IF(Table13[[#This Row],[Category All]]="Category 2",Table13[[#This Row],[Base Abalone Value]]*0.8,NA())</f>
        <v>0.74948999999999999</v>
      </c>
      <c r="Z100" t="e">
        <f>IF(Table13[[#This Row],[Category All]]="Category 3",Table13[[#This Row],[Base Abalone Value]],NA())</f>
        <v>#N/A</v>
      </c>
      <c r="AA100" s="2" t="e">
        <f>IF(Table13[[#This Row],[Gender]]="M",Table13[[#This Row],[Whole_weight]],NA())</f>
        <v>#N/A</v>
      </c>
      <c r="AB100" s="2" t="e">
        <f>IF(Table13[[#This Row],[Gender]]="F",Table13[[#This Row],[Whole_weight]],NA())</f>
        <v>#N/A</v>
      </c>
      <c r="AC100" s="2">
        <f>IF(Table13[[#This Row],[Gender]]="I",Table13[[#This Row],[Whole_weight]],NA())</f>
        <v>0.33500000000000002</v>
      </c>
      <c r="AD100" s="2" t="e">
        <f>IF(Table13[[#This Row],[Gender]]="M",Table13[[#This Row],[Diameter]],NA())</f>
        <v>#N/A</v>
      </c>
      <c r="AE100" s="2" t="e">
        <f>IF(Table13[[#This Row],[Gender]]="F",Table13[[#This Row],[Diameter]],NA())</f>
        <v>#N/A</v>
      </c>
      <c r="AF100" s="2">
        <f>IF(Table13[[#This Row],[Gender]]="I",Table13[[#This Row],[Diameter]],NA())</f>
        <v>0.32500000000000001</v>
      </c>
    </row>
    <row r="101" spans="1:32" x14ac:dyDescent="0.2">
      <c r="A101">
        <v>3427</v>
      </c>
      <c r="B101" t="s">
        <v>15</v>
      </c>
      <c r="C101">
        <v>0.71</v>
      </c>
      <c r="D101">
        <v>0.55000000000000004</v>
      </c>
      <c r="E101">
        <v>0.2</v>
      </c>
      <c r="F101">
        <v>1.9045000000000001</v>
      </c>
      <c r="G101">
        <v>0.88200000000000001</v>
      </c>
      <c r="H101">
        <v>0.44</v>
      </c>
      <c r="I101">
        <v>0.5</v>
      </c>
      <c r="J101">
        <v>13</v>
      </c>
      <c r="K101">
        <v>3</v>
      </c>
      <c r="L101" t="s">
        <v>43</v>
      </c>
      <c r="M101" t="s">
        <v>44</v>
      </c>
      <c r="N101" t="s">
        <v>45</v>
      </c>
      <c r="O101">
        <v>5</v>
      </c>
      <c r="P101" t="s">
        <v>14</v>
      </c>
      <c r="Q101">
        <v>12.8</v>
      </c>
      <c r="R101" t="str" cm="1">
        <f t="array" ref="R1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01" t="e">
        <f>IF(Table13[[#This Row],[Category All]]="Category 1", "Yes",NA())</f>
        <v>#N/A</v>
      </c>
      <c r="T101" t="e">
        <f>IF(Table13[[#This Row],[Category All]]="Category 2", "Yes",NA())</f>
        <v>#N/A</v>
      </c>
      <c r="U101" t="str">
        <f>IF(Table13[[#This Row],[Category All]]="Category 3", "Yes",NA())</f>
        <v>Yes</v>
      </c>
      <c r="V101">
        <f>SUM(1,(1/3)*(Table13[[#This Row],[Length]]-0.5),(1/3)*(Table13[[#This Row],[Diameter]]-0.4),(1/3)*(Table13[[#This Row],[Height]]-0.4)*Table13[[#This Row],[Whole_weight]]*0.5)</f>
        <v>1.0565166666666668</v>
      </c>
      <c r="W101" cm="1">
        <f t="array" ref="W1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1.0565166666666668</v>
      </c>
      <c r="X101" t="e">
        <f>IF(Table13[[#This Row],[Category All]]="Category 1",Table13[[#This Row],[Base Abalone Value]]*1.5,NA())</f>
        <v>#N/A</v>
      </c>
      <c r="Y101" t="e">
        <f>IF(Table13[[#This Row],[Category All]]="Category 2",Table13[[#This Row],[Base Abalone Value]]*0.8,NA())</f>
        <v>#N/A</v>
      </c>
      <c r="Z101">
        <f>IF(Table13[[#This Row],[Category All]]="Category 3",Table13[[#This Row],[Base Abalone Value]],NA())</f>
        <v>1.0565166666666668</v>
      </c>
      <c r="AA101" s="2">
        <f>IF(Table13[[#This Row],[Gender]]="M",Table13[[#This Row],[Whole_weight]],NA())</f>
        <v>1.9045000000000001</v>
      </c>
      <c r="AB101" s="2" t="e">
        <f>IF(Table13[[#This Row],[Gender]]="F",Table13[[#This Row],[Whole_weight]],NA())</f>
        <v>#N/A</v>
      </c>
      <c r="AC101" s="2" t="e">
        <f>IF(Table13[[#This Row],[Gender]]="I",Table13[[#This Row],[Whole_weight]],NA())</f>
        <v>#N/A</v>
      </c>
      <c r="AD101" s="2">
        <f>IF(Table13[[#This Row],[Gender]]="M",Table13[[#This Row],[Diameter]],NA())</f>
        <v>0.55000000000000004</v>
      </c>
      <c r="AE101" s="2" t="e">
        <f>IF(Table13[[#This Row],[Gender]]="F",Table13[[#This Row],[Diameter]],NA())</f>
        <v>#N/A</v>
      </c>
      <c r="AF101" s="2" t="e">
        <f>IF(Table13[[#This Row],[Gender]]="I",Table13[[#This Row],[Diameter]],NA())</f>
        <v>#N/A</v>
      </c>
    </row>
    <row r="102" spans="1:32" x14ac:dyDescent="0.2">
      <c r="A102">
        <v>781</v>
      </c>
      <c r="B102" t="s">
        <v>15</v>
      </c>
      <c r="C102">
        <v>0.56000000000000005</v>
      </c>
      <c r="D102">
        <v>0.41</v>
      </c>
      <c r="E102">
        <v>0.16500000000000001</v>
      </c>
      <c r="F102">
        <v>0.93</v>
      </c>
      <c r="G102">
        <v>0.35049999999999998</v>
      </c>
      <c r="H102">
        <v>0.23699999999999999</v>
      </c>
      <c r="I102">
        <v>0.3</v>
      </c>
      <c r="J102">
        <v>13</v>
      </c>
      <c r="K102">
        <v>12</v>
      </c>
      <c r="L102" t="s">
        <v>1</v>
      </c>
      <c r="M102" t="s">
        <v>2</v>
      </c>
      <c r="N102" t="s">
        <v>3</v>
      </c>
      <c r="O102">
        <v>1</v>
      </c>
      <c r="P102" t="s">
        <v>4</v>
      </c>
      <c r="Q102">
        <v>22.1</v>
      </c>
      <c r="R102" t="str" cm="1">
        <f t="array" ref="R1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02" t="e">
        <f>IF(Table13[[#This Row],[Category All]]="Category 1", "Yes",NA())</f>
        <v>#N/A</v>
      </c>
      <c r="T102" t="str">
        <f>IF(Table13[[#This Row],[Category All]]="Category 2", "Yes",NA())</f>
        <v>Yes</v>
      </c>
      <c r="U102" t="e">
        <f>IF(Table13[[#This Row],[Category All]]="Category 3", "Yes",NA())</f>
        <v>#N/A</v>
      </c>
      <c r="V102">
        <f>SUM(1,(1/3)*(Table13[[#This Row],[Length]]-0.5),(1/3)*(Table13[[#This Row],[Diameter]]-0.4),(1/3)*(Table13[[#This Row],[Height]]-0.4)*Table13[[#This Row],[Whole_weight]]*0.5)</f>
        <v>0.98690833333333339</v>
      </c>
      <c r="W102" cm="1">
        <f t="array" ref="W1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0.78952666666666671</v>
      </c>
      <c r="X102" t="e">
        <f>IF(Table13[[#This Row],[Category All]]="Category 1",Table13[[#This Row],[Base Abalone Value]]*1.5,NA())</f>
        <v>#N/A</v>
      </c>
      <c r="Y102">
        <f>IF(Table13[[#This Row],[Category All]]="Category 2",Table13[[#This Row],[Base Abalone Value]]*0.8,NA())</f>
        <v>0.78952666666666671</v>
      </c>
      <c r="Z102" t="e">
        <f>IF(Table13[[#This Row],[Category All]]="Category 3",Table13[[#This Row],[Base Abalone Value]],NA())</f>
        <v>#N/A</v>
      </c>
      <c r="AA102" s="2">
        <f>IF(Table13[[#This Row],[Gender]]="M",Table13[[#This Row],[Whole_weight]],NA())</f>
        <v>0.93</v>
      </c>
      <c r="AB102" s="2" t="e">
        <f>IF(Table13[[#This Row],[Gender]]="F",Table13[[#This Row],[Whole_weight]],NA())</f>
        <v>#N/A</v>
      </c>
      <c r="AC102" s="2" t="e">
        <f>IF(Table13[[#This Row],[Gender]]="I",Table13[[#This Row],[Whole_weight]],NA())</f>
        <v>#N/A</v>
      </c>
      <c r="AD102" s="2">
        <f>IF(Table13[[#This Row],[Gender]]="M",Table13[[#This Row],[Diameter]],NA())</f>
        <v>0.41</v>
      </c>
      <c r="AE102" s="2" t="e">
        <f>IF(Table13[[#This Row],[Gender]]="F",Table13[[#This Row],[Diameter]],NA())</f>
        <v>#N/A</v>
      </c>
      <c r="AF102" s="2" t="e">
        <f>IF(Table13[[#This Row],[Gender]]="I",Table13[[#This Row],[Diameter]],NA())</f>
        <v>#N/A</v>
      </c>
    </row>
    <row r="103" spans="1:32" x14ac:dyDescent="0.2">
      <c r="A103">
        <v>2871</v>
      </c>
      <c r="B103" t="s">
        <v>11</v>
      </c>
      <c r="C103">
        <v>0.37</v>
      </c>
      <c r="D103">
        <v>0.27</v>
      </c>
      <c r="E103">
        <v>0.09</v>
      </c>
      <c r="F103">
        <v>0.1855</v>
      </c>
      <c r="G103">
        <v>7.0000000000000007E-2</v>
      </c>
      <c r="H103">
        <v>4.2500000000000003E-2</v>
      </c>
      <c r="I103">
        <v>6.5000000000000002E-2</v>
      </c>
      <c r="J103">
        <v>7</v>
      </c>
      <c r="K103">
        <v>3</v>
      </c>
      <c r="L103" t="s">
        <v>43</v>
      </c>
      <c r="M103" t="s">
        <v>44</v>
      </c>
      <c r="N103" t="s">
        <v>45</v>
      </c>
      <c r="O103">
        <v>3</v>
      </c>
      <c r="P103" t="s">
        <v>48</v>
      </c>
      <c r="Q103">
        <v>3.6</v>
      </c>
      <c r="R103" t="str" cm="1">
        <f t="array" ref="R1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03" t="e">
        <f>IF(Table13[[#This Row],[Category All]]="Category 1", "Yes",NA())</f>
        <v>#N/A</v>
      </c>
      <c r="T103" t="str">
        <f>IF(Table13[[#This Row],[Category All]]="Category 2", "Yes",NA())</f>
        <v>Yes</v>
      </c>
      <c r="U103" t="e">
        <f>IF(Table13[[#This Row],[Category All]]="Category 3", "Yes",NA())</f>
        <v>#N/A</v>
      </c>
      <c r="V103">
        <f>SUM(1,(1/3)*(Table13[[#This Row],[Length]]-0.5),(1/3)*(Table13[[#This Row],[Diameter]]-0.4),(1/3)*(Table13[[#This Row],[Height]]-0.4)*Table13[[#This Row],[Whole_weight]]*0.5)</f>
        <v>0.90374916666666671</v>
      </c>
      <c r="W103" cm="1">
        <f t="array" ref="W1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0.72299933333333344</v>
      </c>
      <c r="X103" t="e">
        <f>IF(Table13[[#This Row],[Category All]]="Category 1",Table13[[#This Row],[Base Abalone Value]]*1.5,NA())</f>
        <v>#N/A</v>
      </c>
      <c r="Y103">
        <f>IF(Table13[[#This Row],[Category All]]="Category 2",Table13[[#This Row],[Base Abalone Value]]*0.8,NA())</f>
        <v>0.72299933333333344</v>
      </c>
      <c r="Z103" t="e">
        <f>IF(Table13[[#This Row],[Category All]]="Category 3",Table13[[#This Row],[Base Abalone Value]],NA())</f>
        <v>#N/A</v>
      </c>
      <c r="AA103" s="2" t="e">
        <f>IF(Table13[[#This Row],[Gender]]="M",Table13[[#This Row],[Whole_weight]],NA())</f>
        <v>#N/A</v>
      </c>
      <c r="AB103" s="2" t="e">
        <f>IF(Table13[[#This Row],[Gender]]="F",Table13[[#This Row],[Whole_weight]],NA())</f>
        <v>#N/A</v>
      </c>
      <c r="AC103" s="2">
        <f>IF(Table13[[#This Row],[Gender]]="I",Table13[[#This Row],[Whole_weight]],NA())</f>
        <v>0.1855</v>
      </c>
      <c r="AD103" s="2" t="e">
        <f>IF(Table13[[#This Row],[Gender]]="M",Table13[[#This Row],[Diameter]],NA())</f>
        <v>#N/A</v>
      </c>
      <c r="AE103" s="2" t="e">
        <f>IF(Table13[[#This Row],[Gender]]="F",Table13[[#This Row],[Diameter]],NA())</f>
        <v>#N/A</v>
      </c>
      <c r="AF103" s="2">
        <f>IF(Table13[[#This Row],[Gender]]="I",Table13[[#This Row],[Diameter]],NA())</f>
        <v>0.27</v>
      </c>
    </row>
    <row r="104" spans="1:32" x14ac:dyDescent="0.2">
      <c r="A104">
        <v>3141</v>
      </c>
      <c r="B104" t="s">
        <v>15</v>
      </c>
      <c r="C104">
        <v>0.55000000000000004</v>
      </c>
      <c r="D104">
        <v>0.42499999999999999</v>
      </c>
      <c r="E104">
        <v>0.16</v>
      </c>
      <c r="F104">
        <v>0.97</v>
      </c>
      <c r="G104">
        <v>0.28849999999999998</v>
      </c>
      <c r="H104">
        <v>0.13900000000000001</v>
      </c>
      <c r="I104">
        <v>0.48</v>
      </c>
      <c r="J104">
        <v>20</v>
      </c>
      <c r="K104">
        <v>5</v>
      </c>
      <c r="L104" t="s">
        <v>26</v>
      </c>
      <c r="M104" t="s">
        <v>27</v>
      </c>
      <c r="N104" t="s">
        <v>28</v>
      </c>
      <c r="O104">
        <v>1</v>
      </c>
      <c r="P104" t="s">
        <v>4</v>
      </c>
      <c r="Q104">
        <v>22.1</v>
      </c>
      <c r="R104" t="str" cm="1">
        <f t="array" ref="R1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04" t="e">
        <f>IF(Table13[[#This Row],[Category All]]="Category 1", "Yes",NA())</f>
        <v>#N/A</v>
      </c>
      <c r="T104" t="str">
        <f>IF(Table13[[#This Row],[Category All]]="Category 2", "Yes",NA())</f>
        <v>Yes</v>
      </c>
      <c r="U104" t="e">
        <f>IF(Table13[[#This Row],[Category All]]="Category 3", "Yes",NA())</f>
        <v>#N/A</v>
      </c>
      <c r="V104">
        <f>SUM(1,(1/3)*(Table13[[#This Row],[Length]]-0.5),(1/3)*(Table13[[#This Row],[Diameter]]-0.4),(1/3)*(Table13[[#This Row],[Height]]-0.4)*Table13[[#This Row],[Whole_weight]]*0.5)</f>
        <v>0.98619999999999997</v>
      </c>
      <c r="W104" cm="1">
        <f t="array" ref="W1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0.78895999999999999</v>
      </c>
      <c r="X104" t="e">
        <f>IF(Table13[[#This Row],[Category All]]="Category 1",Table13[[#This Row],[Base Abalone Value]]*1.5,NA())</f>
        <v>#N/A</v>
      </c>
      <c r="Y104">
        <f>IF(Table13[[#This Row],[Category All]]="Category 2",Table13[[#This Row],[Base Abalone Value]]*0.8,NA())</f>
        <v>0.78895999999999999</v>
      </c>
      <c r="Z104" t="e">
        <f>IF(Table13[[#This Row],[Category All]]="Category 3",Table13[[#This Row],[Base Abalone Value]],NA())</f>
        <v>#N/A</v>
      </c>
      <c r="AA104" s="2">
        <f>IF(Table13[[#This Row],[Gender]]="M",Table13[[#This Row],[Whole_weight]],NA())</f>
        <v>0.97</v>
      </c>
      <c r="AB104" s="2" t="e">
        <f>IF(Table13[[#This Row],[Gender]]="F",Table13[[#This Row],[Whole_weight]],NA())</f>
        <v>#N/A</v>
      </c>
      <c r="AC104" s="2" t="e">
        <f>IF(Table13[[#This Row],[Gender]]="I",Table13[[#This Row],[Whole_weight]],NA())</f>
        <v>#N/A</v>
      </c>
      <c r="AD104" s="2">
        <f>IF(Table13[[#This Row],[Gender]]="M",Table13[[#This Row],[Diameter]],NA())</f>
        <v>0.42499999999999999</v>
      </c>
      <c r="AE104" s="2" t="e">
        <f>IF(Table13[[#This Row],[Gender]]="F",Table13[[#This Row],[Diameter]],NA())</f>
        <v>#N/A</v>
      </c>
      <c r="AF104" s="2" t="e">
        <f>IF(Table13[[#This Row],[Gender]]="I",Table13[[#This Row],[Diameter]],NA())</f>
        <v>#N/A</v>
      </c>
    </row>
    <row r="105" spans="1:32" x14ac:dyDescent="0.2">
      <c r="A105">
        <v>186</v>
      </c>
      <c r="B105" t="s">
        <v>15</v>
      </c>
      <c r="C105">
        <v>0.62</v>
      </c>
      <c r="D105">
        <v>0.49</v>
      </c>
      <c r="E105">
        <v>0.19</v>
      </c>
      <c r="F105">
        <v>1.218</v>
      </c>
      <c r="G105">
        <v>0.54549999999999998</v>
      </c>
      <c r="H105">
        <v>0.29649999999999999</v>
      </c>
      <c r="I105">
        <v>0.35499999999999998</v>
      </c>
      <c r="J105">
        <v>13</v>
      </c>
      <c r="K105">
        <v>2</v>
      </c>
      <c r="L105" t="s">
        <v>32</v>
      </c>
      <c r="M105" t="s">
        <v>33</v>
      </c>
      <c r="N105" t="s">
        <v>34</v>
      </c>
      <c r="O105">
        <v>5</v>
      </c>
      <c r="P105" t="s">
        <v>14</v>
      </c>
      <c r="Q105">
        <v>12.8</v>
      </c>
      <c r="R105" t="str" cm="1">
        <f t="array" ref="R1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05" t="e">
        <f>IF(Table13[[#This Row],[Category All]]="Category 1", "Yes",NA())</f>
        <v>#N/A</v>
      </c>
      <c r="T105" t="e">
        <f>IF(Table13[[#This Row],[Category All]]="Category 2", "Yes",NA())</f>
        <v>#N/A</v>
      </c>
      <c r="U105" t="str">
        <f>IF(Table13[[#This Row],[Category All]]="Category 3", "Yes",NA())</f>
        <v>Yes</v>
      </c>
      <c r="V105">
        <f>SUM(1,(1/3)*(Table13[[#This Row],[Length]]-0.5),(1/3)*(Table13[[#This Row],[Diameter]]-0.4),(1/3)*(Table13[[#This Row],[Height]]-0.4)*Table13[[#This Row],[Whole_weight]]*0.5)</f>
        <v>1.0273700000000001</v>
      </c>
      <c r="W105" cm="1">
        <f t="array" ref="W1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1.0273700000000001</v>
      </c>
      <c r="X105" t="e">
        <f>IF(Table13[[#This Row],[Category All]]="Category 1",Table13[[#This Row],[Base Abalone Value]]*1.5,NA())</f>
        <v>#N/A</v>
      </c>
      <c r="Y105" t="e">
        <f>IF(Table13[[#This Row],[Category All]]="Category 2",Table13[[#This Row],[Base Abalone Value]]*0.8,NA())</f>
        <v>#N/A</v>
      </c>
      <c r="Z105">
        <f>IF(Table13[[#This Row],[Category All]]="Category 3",Table13[[#This Row],[Base Abalone Value]],NA())</f>
        <v>1.0273700000000001</v>
      </c>
      <c r="AA105" s="2">
        <f>IF(Table13[[#This Row],[Gender]]="M",Table13[[#This Row],[Whole_weight]],NA())</f>
        <v>1.218</v>
      </c>
      <c r="AB105" s="2" t="e">
        <f>IF(Table13[[#This Row],[Gender]]="F",Table13[[#This Row],[Whole_weight]],NA())</f>
        <v>#N/A</v>
      </c>
      <c r="AC105" s="2" t="e">
        <f>IF(Table13[[#This Row],[Gender]]="I",Table13[[#This Row],[Whole_weight]],NA())</f>
        <v>#N/A</v>
      </c>
      <c r="AD105" s="2">
        <f>IF(Table13[[#This Row],[Gender]]="M",Table13[[#This Row],[Diameter]],NA())</f>
        <v>0.49</v>
      </c>
      <c r="AE105" s="2" t="e">
        <f>IF(Table13[[#This Row],[Gender]]="F",Table13[[#This Row],[Diameter]],NA())</f>
        <v>#N/A</v>
      </c>
      <c r="AF105" s="2" t="e">
        <f>IF(Table13[[#This Row],[Gender]]="I",Table13[[#This Row],[Diameter]],NA())</f>
        <v>#N/A</v>
      </c>
    </row>
    <row r="106" spans="1:32" x14ac:dyDescent="0.2">
      <c r="A106">
        <v>1040</v>
      </c>
      <c r="B106" t="s">
        <v>0</v>
      </c>
      <c r="C106">
        <v>0.66</v>
      </c>
      <c r="D106">
        <v>0.47499999999999998</v>
      </c>
      <c r="E106">
        <v>0.18</v>
      </c>
      <c r="F106">
        <v>1.3694999999999999</v>
      </c>
      <c r="G106">
        <v>0.64100000000000001</v>
      </c>
      <c r="H106">
        <v>0.29399999999999998</v>
      </c>
      <c r="I106">
        <v>0.33500000000000002</v>
      </c>
      <c r="J106">
        <v>6</v>
      </c>
      <c r="K106">
        <v>8</v>
      </c>
      <c r="L106" t="s">
        <v>29</v>
      </c>
      <c r="M106" t="s">
        <v>30</v>
      </c>
      <c r="N106" t="s">
        <v>31</v>
      </c>
      <c r="O106">
        <v>10</v>
      </c>
      <c r="P106" t="s">
        <v>38</v>
      </c>
      <c r="Q106">
        <v>24.1</v>
      </c>
      <c r="R106" t="str" cm="1">
        <f t="array" ref="R1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06" t="e">
        <f>IF(Table13[[#This Row],[Category All]]="Category 1", "Yes",NA())</f>
        <v>#N/A</v>
      </c>
      <c r="T106" t="e">
        <f>IF(Table13[[#This Row],[Category All]]="Category 2", "Yes",NA())</f>
        <v>#N/A</v>
      </c>
      <c r="U106" t="str">
        <f>IF(Table13[[#This Row],[Category All]]="Category 3", "Yes",NA())</f>
        <v>Yes</v>
      </c>
      <c r="V106">
        <f>SUM(1,(1/3)*(Table13[[#This Row],[Length]]-0.5),(1/3)*(Table13[[#This Row],[Diameter]]-0.4),(1/3)*(Table13[[#This Row],[Height]]-0.4)*Table13[[#This Row],[Whole_weight]]*0.5)</f>
        <v>1.0281183333333332</v>
      </c>
      <c r="W106" cm="1">
        <f t="array" ref="W1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1.0281183333333332</v>
      </c>
      <c r="X106" t="e">
        <f>IF(Table13[[#This Row],[Category All]]="Category 1",Table13[[#This Row],[Base Abalone Value]]*1.5,NA())</f>
        <v>#N/A</v>
      </c>
      <c r="Y106" t="e">
        <f>IF(Table13[[#This Row],[Category All]]="Category 2",Table13[[#This Row],[Base Abalone Value]]*0.8,NA())</f>
        <v>#N/A</v>
      </c>
      <c r="Z106">
        <f>IF(Table13[[#This Row],[Category All]]="Category 3",Table13[[#This Row],[Base Abalone Value]],NA())</f>
        <v>1.0281183333333332</v>
      </c>
      <c r="AA106" s="2" t="e">
        <f>IF(Table13[[#This Row],[Gender]]="M",Table13[[#This Row],[Whole_weight]],NA())</f>
        <v>#N/A</v>
      </c>
      <c r="AB106" s="2">
        <f>IF(Table13[[#This Row],[Gender]]="F",Table13[[#This Row],[Whole_weight]],NA())</f>
        <v>1.3694999999999999</v>
      </c>
      <c r="AC106" s="2" t="e">
        <f>IF(Table13[[#This Row],[Gender]]="I",Table13[[#This Row],[Whole_weight]],NA())</f>
        <v>#N/A</v>
      </c>
      <c r="AD106" s="2" t="e">
        <f>IF(Table13[[#This Row],[Gender]]="M",Table13[[#This Row],[Diameter]],NA())</f>
        <v>#N/A</v>
      </c>
      <c r="AE106" s="2">
        <f>IF(Table13[[#This Row],[Gender]]="F",Table13[[#This Row],[Diameter]],NA())</f>
        <v>0.47499999999999998</v>
      </c>
      <c r="AF106" s="2" t="e">
        <f>IF(Table13[[#This Row],[Gender]]="I",Table13[[#This Row],[Diameter]],NA())</f>
        <v>#N/A</v>
      </c>
    </row>
    <row r="107" spans="1:32" x14ac:dyDescent="0.2">
      <c r="A107">
        <v>3236</v>
      </c>
      <c r="B107" t="s">
        <v>15</v>
      </c>
      <c r="C107">
        <v>0.66500000000000004</v>
      </c>
      <c r="D107">
        <v>0.53500000000000003</v>
      </c>
      <c r="E107">
        <v>0.155</v>
      </c>
      <c r="F107">
        <v>1.383</v>
      </c>
      <c r="G107">
        <v>0.59599999999999997</v>
      </c>
      <c r="H107">
        <v>0.25650000000000001</v>
      </c>
      <c r="I107">
        <v>0.48499999999999999</v>
      </c>
      <c r="J107">
        <v>14</v>
      </c>
      <c r="K107">
        <v>12</v>
      </c>
      <c r="L107" t="s">
        <v>1</v>
      </c>
      <c r="M107" t="s">
        <v>2</v>
      </c>
      <c r="N107" t="s">
        <v>3</v>
      </c>
      <c r="O107">
        <v>2</v>
      </c>
      <c r="P107" t="s">
        <v>7</v>
      </c>
      <c r="Q107">
        <v>18</v>
      </c>
      <c r="R107" t="str" cm="1">
        <f t="array" ref="R1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07" t="e">
        <f>IF(Table13[[#This Row],[Category All]]="Category 1", "Yes",NA())</f>
        <v>#N/A</v>
      </c>
      <c r="T107" t="e">
        <f>IF(Table13[[#This Row],[Category All]]="Category 2", "Yes",NA())</f>
        <v>#N/A</v>
      </c>
      <c r="U107" t="str">
        <f>IF(Table13[[#This Row],[Category All]]="Category 3", "Yes",NA())</f>
        <v>Yes</v>
      </c>
      <c r="V107">
        <f>SUM(1,(1/3)*(Table13[[#This Row],[Length]]-0.5),(1/3)*(Table13[[#This Row],[Diameter]]-0.4),(1/3)*(Table13[[#This Row],[Height]]-0.4)*Table13[[#This Row],[Whole_weight]]*0.5)</f>
        <v>1.0435274999999999</v>
      </c>
      <c r="W107" cm="1">
        <f t="array" ref="W1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1.0435274999999999</v>
      </c>
      <c r="X107" t="e">
        <f>IF(Table13[[#This Row],[Category All]]="Category 1",Table13[[#This Row],[Base Abalone Value]]*1.5,NA())</f>
        <v>#N/A</v>
      </c>
      <c r="Y107" t="e">
        <f>IF(Table13[[#This Row],[Category All]]="Category 2",Table13[[#This Row],[Base Abalone Value]]*0.8,NA())</f>
        <v>#N/A</v>
      </c>
      <c r="Z107">
        <f>IF(Table13[[#This Row],[Category All]]="Category 3",Table13[[#This Row],[Base Abalone Value]],NA())</f>
        <v>1.0435274999999999</v>
      </c>
      <c r="AA107" s="2">
        <f>IF(Table13[[#This Row],[Gender]]="M",Table13[[#This Row],[Whole_weight]],NA())</f>
        <v>1.383</v>
      </c>
      <c r="AB107" s="2" t="e">
        <f>IF(Table13[[#This Row],[Gender]]="F",Table13[[#This Row],[Whole_weight]],NA())</f>
        <v>#N/A</v>
      </c>
      <c r="AC107" s="2" t="e">
        <f>IF(Table13[[#This Row],[Gender]]="I",Table13[[#This Row],[Whole_weight]],NA())</f>
        <v>#N/A</v>
      </c>
      <c r="AD107" s="2">
        <f>IF(Table13[[#This Row],[Gender]]="M",Table13[[#This Row],[Diameter]],NA())</f>
        <v>0.53500000000000003</v>
      </c>
      <c r="AE107" s="2" t="e">
        <f>IF(Table13[[#This Row],[Gender]]="F",Table13[[#This Row],[Diameter]],NA())</f>
        <v>#N/A</v>
      </c>
      <c r="AF107" s="2" t="e">
        <f>IF(Table13[[#This Row],[Gender]]="I",Table13[[#This Row],[Diameter]],NA())</f>
        <v>#N/A</v>
      </c>
    </row>
    <row r="108" spans="1:32" x14ac:dyDescent="0.2">
      <c r="A108">
        <v>2844</v>
      </c>
      <c r="B108" t="s">
        <v>15</v>
      </c>
      <c r="C108">
        <v>0.6</v>
      </c>
      <c r="D108">
        <v>0.45</v>
      </c>
      <c r="E108">
        <v>0.16</v>
      </c>
      <c r="F108">
        <v>1.1419999999999999</v>
      </c>
      <c r="G108">
        <v>0.53900000000000003</v>
      </c>
      <c r="H108">
        <v>0.22500000000000001</v>
      </c>
      <c r="I108">
        <v>0.307</v>
      </c>
      <c r="J108">
        <v>10</v>
      </c>
      <c r="K108">
        <v>4</v>
      </c>
      <c r="L108" t="s">
        <v>52</v>
      </c>
      <c r="M108" t="s">
        <v>53</v>
      </c>
      <c r="N108" t="s">
        <v>54</v>
      </c>
      <c r="O108">
        <v>6</v>
      </c>
      <c r="P108" t="s">
        <v>47</v>
      </c>
      <c r="Q108">
        <v>14.1</v>
      </c>
      <c r="R108" t="str" cm="1">
        <f t="array" ref="R1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08" t="e">
        <f>IF(Table13[[#This Row],[Category All]]="Category 1", "Yes",NA())</f>
        <v>#N/A</v>
      </c>
      <c r="T108" t="e">
        <f>IF(Table13[[#This Row],[Category All]]="Category 2", "Yes",NA())</f>
        <v>#N/A</v>
      </c>
      <c r="U108" t="str">
        <f>IF(Table13[[#This Row],[Category All]]="Category 3", "Yes",NA())</f>
        <v>Yes</v>
      </c>
      <c r="V108">
        <f>SUM(1,(1/3)*(Table13[[#This Row],[Length]]-0.5),(1/3)*(Table13[[#This Row],[Diameter]]-0.4),(1/3)*(Table13[[#This Row],[Height]]-0.4)*Table13[[#This Row],[Whole_weight]]*0.5)</f>
        <v>1.0043199999999999</v>
      </c>
      <c r="W108" cm="1">
        <f t="array" ref="W1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1.0043199999999999</v>
      </c>
      <c r="X108" t="e">
        <f>IF(Table13[[#This Row],[Category All]]="Category 1",Table13[[#This Row],[Base Abalone Value]]*1.5,NA())</f>
        <v>#N/A</v>
      </c>
      <c r="Y108" t="e">
        <f>IF(Table13[[#This Row],[Category All]]="Category 2",Table13[[#This Row],[Base Abalone Value]]*0.8,NA())</f>
        <v>#N/A</v>
      </c>
      <c r="Z108">
        <f>IF(Table13[[#This Row],[Category All]]="Category 3",Table13[[#This Row],[Base Abalone Value]],NA())</f>
        <v>1.0043199999999999</v>
      </c>
      <c r="AA108" s="2">
        <f>IF(Table13[[#This Row],[Gender]]="M",Table13[[#This Row],[Whole_weight]],NA())</f>
        <v>1.1419999999999999</v>
      </c>
      <c r="AB108" s="2" t="e">
        <f>IF(Table13[[#This Row],[Gender]]="F",Table13[[#This Row],[Whole_weight]],NA())</f>
        <v>#N/A</v>
      </c>
      <c r="AC108" s="2" t="e">
        <f>IF(Table13[[#This Row],[Gender]]="I",Table13[[#This Row],[Whole_weight]],NA())</f>
        <v>#N/A</v>
      </c>
      <c r="AD108" s="2">
        <f>IF(Table13[[#This Row],[Gender]]="M",Table13[[#This Row],[Diameter]],NA())</f>
        <v>0.45</v>
      </c>
      <c r="AE108" s="2" t="e">
        <f>IF(Table13[[#This Row],[Gender]]="F",Table13[[#This Row],[Diameter]],NA())</f>
        <v>#N/A</v>
      </c>
      <c r="AF108" s="2" t="e">
        <f>IF(Table13[[#This Row],[Gender]]="I",Table13[[#This Row],[Diameter]],NA())</f>
        <v>#N/A</v>
      </c>
    </row>
    <row r="109" spans="1:32" x14ac:dyDescent="0.2">
      <c r="A109">
        <v>761</v>
      </c>
      <c r="B109" t="s">
        <v>15</v>
      </c>
      <c r="C109">
        <v>0.58499999999999996</v>
      </c>
      <c r="D109">
        <v>0.40500000000000003</v>
      </c>
      <c r="E109">
        <v>0.15</v>
      </c>
      <c r="F109">
        <v>1.2565</v>
      </c>
      <c r="G109">
        <v>0.435</v>
      </c>
      <c r="H109">
        <v>0.20200000000000001</v>
      </c>
      <c r="I109">
        <v>0.32500000000000001</v>
      </c>
      <c r="J109">
        <v>15</v>
      </c>
      <c r="K109">
        <v>3</v>
      </c>
      <c r="L109" t="s">
        <v>43</v>
      </c>
      <c r="M109" t="s">
        <v>44</v>
      </c>
      <c r="N109" t="s">
        <v>45</v>
      </c>
      <c r="O109">
        <v>4</v>
      </c>
      <c r="P109" t="s">
        <v>10</v>
      </c>
      <c r="Q109">
        <v>6.1</v>
      </c>
      <c r="R109" t="str" cm="1">
        <f t="array" ref="R1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09" t="e">
        <f>IF(Table13[[#This Row],[Category All]]="Category 1", "Yes",NA())</f>
        <v>#N/A</v>
      </c>
      <c r="T109" t="e">
        <f>IF(Table13[[#This Row],[Category All]]="Category 2", "Yes",NA())</f>
        <v>#N/A</v>
      </c>
      <c r="U109" t="str">
        <f>IF(Table13[[#This Row],[Category All]]="Category 3", "Yes",NA())</f>
        <v>Yes</v>
      </c>
      <c r="V109">
        <f>SUM(1,(1/3)*(Table13[[#This Row],[Length]]-0.5),(1/3)*(Table13[[#This Row],[Diameter]]-0.4),(1/3)*(Table13[[#This Row],[Height]]-0.4)*Table13[[#This Row],[Whole_weight]]*0.5)</f>
        <v>0.97764583333333333</v>
      </c>
      <c r="W109" cm="1">
        <f t="array" ref="W1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0.97764583333333333</v>
      </c>
      <c r="X109" t="e">
        <f>IF(Table13[[#This Row],[Category All]]="Category 1",Table13[[#This Row],[Base Abalone Value]]*1.5,NA())</f>
        <v>#N/A</v>
      </c>
      <c r="Y109" t="e">
        <f>IF(Table13[[#This Row],[Category All]]="Category 2",Table13[[#This Row],[Base Abalone Value]]*0.8,NA())</f>
        <v>#N/A</v>
      </c>
      <c r="Z109">
        <f>IF(Table13[[#This Row],[Category All]]="Category 3",Table13[[#This Row],[Base Abalone Value]],NA())</f>
        <v>0.97764583333333333</v>
      </c>
      <c r="AA109" s="2">
        <f>IF(Table13[[#This Row],[Gender]]="M",Table13[[#This Row],[Whole_weight]],NA())</f>
        <v>1.2565</v>
      </c>
      <c r="AB109" s="2" t="e">
        <f>IF(Table13[[#This Row],[Gender]]="F",Table13[[#This Row],[Whole_weight]],NA())</f>
        <v>#N/A</v>
      </c>
      <c r="AC109" s="2" t="e">
        <f>IF(Table13[[#This Row],[Gender]]="I",Table13[[#This Row],[Whole_weight]],NA())</f>
        <v>#N/A</v>
      </c>
      <c r="AD109" s="2">
        <f>IF(Table13[[#This Row],[Gender]]="M",Table13[[#This Row],[Diameter]],NA())</f>
        <v>0.40500000000000003</v>
      </c>
      <c r="AE109" s="2" t="e">
        <f>IF(Table13[[#This Row],[Gender]]="F",Table13[[#This Row],[Diameter]],NA())</f>
        <v>#N/A</v>
      </c>
      <c r="AF109" s="2" t="e">
        <f>IF(Table13[[#This Row],[Gender]]="I",Table13[[#This Row],[Diameter]],NA())</f>
        <v>#N/A</v>
      </c>
    </row>
    <row r="110" spans="1:32" x14ac:dyDescent="0.2">
      <c r="A110">
        <v>3068</v>
      </c>
      <c r="B110" t="s">
        <v>15</v>
      </c>
      <c r="C110">
        <v>0.65</v>
      </c>
      <c r="D110">
        <v>0.505</v>
      </c>
      <c r="E110">
        <v>0.17</v>
      </c>
      <c r="F110">
        <v>1.5595000000000001</v>
      </c>
      <c r="G110">
        <v>0.69499999999999995</v>
      </c>
      <c r="H110">
        <v>0.35149999999999998</v>
      </c>
      <c r="I110">
        <v>0.39500000000000002</v>
      </c>
      <c r="J110">
        <v>11</v>
      </c>
      <c r="K110">
        <v>1</v>
      </c>
      <c r="L110" t="s">
        <v>8</v>
      </c>
      <c r="M110" t="s">
        <v>9</v>
      </c>
      <c r="N110" t="s">
        <v>3</v>
      </c>
      <c r="O110">
        <v>6</v>
      </c>
      <c r="P110" t="s">
        <v>47</v>
      </c>
      <c r="Q110">
        <v>14.1</v>
      </c>
      <c r="R110" t="str" cm="1">
        <f t="array" ref="R1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10" t="e">
        <f>IF(Table13[[#This Row],[Category All]]="Category 1", "Yes",NA())</f>
        <v>#N/A</v>
      </c>
      <c r="T110" t="e">
        <f>IF(Table13[[#This Row],[Category All]]="Category 2", "Yes",NA())</f>
        <v>#N/A</v>
      </c>
      <c r="U110" t="str">
        <f>IF(Table13[[#This Row],[Category All]]="Category 3", "Yes",NA())</f>
        <v>Yes</v>
      </c>
      <c r="V110">
        <f>SUM(1,(1/3)*(Table13[[#This Row],[Length]]-0.5),(1/3)*(Table13[[#This Row],[Diameter]]-0.4),(1/3)*(Table13[[#This Row],[Height]]-0.4)*Table13[[#This Row],[Whole_weight]]*0.5)</f>
        <v>1.0252191666666666</v>
      </c>
      <c r="W110" cm="1">
        <f t="array" ref="W1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1.0252191666666666</v>
      </c>
      <c r="X110" t="e">
        <f>IF(Table13[[#This Row],[Category All]]="Category 1",Table13[[#This Row],[Base Abalone Value]]*1.5,NA())</f>
        <v>#N/A</v>
      </c>
      <c r="Y110" t="e">
        <f>IF(Table13[[#This Row],[Category All]]="Category 2",Table13[[#This Row],[Base Abalone Value]]*0.8,NA())</f>
        <v>#N/A</v>
      </c>
      <c r="Z110">
        <f>IF(Table13[[#This Row],[Category All]]="Category 3",Table13[[#This Row],[Base Abalone Value]],NA())</f>
        <v>1.0252191666666666</v>
      </c>
      <c r="AA110" s="2">
        <f>IF(Table13[[#This Row],[Gender]]="M",Table13[[#This Row],[Whole_weight]],NA())</f>
        <v>1.5595000000000001</v>
      </c>
      <c r="AB110" s="2" t="e">
        <f>IF(Table13[[#This Row],[Gender]]="F",Table13[[#This Row],[Whole_weight]],NA())</f>
        <v>#N/A</v>
      </c>
      <c r="AC110" s="2" t="e">
        <f>IF(Table13[[#This Row],[Gender]]="I",Table13[[#This Row],[Whole_weight]],NA())</f>
        <v>#N/A</v>
      </c>
      <c r="AD110" s="2">
        <f>IF(Table13[[#This Row],[Gender]]="M",Table13[[#This Row],[Diameter]],NA())</f>
        <v>0.505</v>
      </c>
      <c r="AE110" s="2" t="e">
        <f>IF(Table13[[#This Row],[Gender]]="F",Table13[[#This Row],[Diameter]],NA())</f>
        <v>#N/A</v>
      </c>
      <c r="AF110" s="2" t="e">
        <f>IF(Table13[[#This Row],[Gender]]="I",Table13[[#This Row],[Diameter]],NA())</f>
        <v>#N/A</v>
      </c>
    </row>
    <row r="111" spans="1:32" x14ac:dyDescent="0.2">
      <c r="A111">
        <v>86</v>
      </c>
      <c r="B111" t="s">
        <v>0</v>
      </c>
      <c r="C111">
        <v>0.56999999999999995</v>
      </c>
      <c r="D111">
        <v>0.46500000000000002</v>
      </c>
      <c r="E111">
        <v>0.18</v>
      </c>
      <c r="F111">
        <v>1.2949999999999999</v>
      </c>
      <c r="G111">
        <v>0.33900000000000002</v>
      </c>
      <c r="H111">
        <v>0.2225</v>
      </c>
      <c r="I111">
        <v>0.44</v>
      </c>
      <c r="J111">
        <v>12</v>
      </c>
      <c r="K111">
        <v>11</v>
      </c>
      <c r="L111" t="s">
        <v>5</v>
      </c>
      <c r="M111" t="s">
        <v>6</v>
      </c>
      <c r="N111" t="s">
        <v>3</v>
      </c>
      <c r="O111">
        <v>7</v>
      </c>
      <c r="P111" t="s">
        <v>42</v>
      </c>
      <c r="Q111">
        <v>2.5</v>
      </c>
      <c r="R111" t="str" cm="1">
        <f t="array" ref="R1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11" t="e">
        <f>IF(Table13[[#This Row],[Category All]]="Category 1", "Yes",NA())</f>
        <v>#N/A</v>
      </c>
      <c r="T111" t="e">
        <f>IF(Table13[[#This Row],[Category All]]="Category 2", "Yes",NA())</f>
        <v>#N/A</v>
      </c>
      <c r="U111" t="str">
        <f>IF(Table13[[#This Row],[Category All]]="Category 3", "Yes",NA())</f>
        <v>Yes</v>
      </c>
      <c r="V111">
        <f>SUM(1,(1/3)*(Table13[[#This Row],[Length]]-0.5),(1/3)*(Table13[[#This Row],[Diameter]]-0.4),(1/3)*(Table13[[#This Row],[Height]]-0.4)*Table13[[#This Row],[Whole_weight]]*0.5)</f>
        <v>0.99751666666666683</v>
      </c>
      <c r="W111" cm="1">
        <f t="array" ref="W1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0.99751666666666683</v>
      </c>
      <c r="X111" t="e">
        <f>IF(Table13[[#This Row],[Category All]]="Category 1",Table13[[#This Row],[Base Abalone Value]]*1.5,NA())</f>
        <v>#N/A</v>
      </c>
      <c r="Y111" t="e">
        <f>IF(Table13[[#This Row],[Category All]]="Category 2",Table13[[#This Row],[Base Abalone Value]]*0.8,NA())</f>
        <v>#N/A</v>
      </c>
      <c r="Z111">
        <f>IF(Table13[[#This Row],[Category All]]="Category 3",Table13[[#This Row],[Base Abalone Value]],NA())</f>
        <v>0.99751666666666683</v>
      </c>
      <c r="AA111" s="2" t="e">
        <f>IF(Table13[[#This Row],[Gender]]="M",Table13[[#This Row],[Whole_weight]],NA())</f>
        <v>#N/A</v>
      </c>
      <c r="AB111" s="2">
        <f>IF(Table13[[#This Row],[Gender]]="F",Table13[[#This Row],[Whole_weight]],NA())</f>
        <v>1.2949999999999999</v>
      </c>
      <c r="AC111" s="2" t="e">
        <f>IF(Table13[[#This Row],[Gender]]="I",Table13[[#This Row],[Whole_weight]],NA())</f>
        <v>#N/A</v>
      </c>
      <c r="AD111" s="2" t="e">
        <f>IF(Table13[[#This Row],[Gender]]="M",Table13[[#This Row],[Diameter]],NA())</f>
        <v>#N/A</v>
      </c>
      <c r="AE111" s="2">
        <f>IF(Table13[[#This Row],[Gender]]="F",Table13[[#This Row],[Diameter]],NA())</f>
        <v>0.46500000000000002</v>
      </c>
      <c r="AF111" s="2" t="e">
        <f>IF(Table13[[#This Row],[Gender]]="I",Table13[[#This Row],[Diameter]],NA())</f>
        <v>#N/A</v>
      </c>
    </row>
    <row r="112" spans="1:32" x14ac:dyDescent="0.2">
      <c r="A112">
        <v>4035</v>
      </c>
      <c r="B112" t="s">
        <v>15</v>
      </c>
      <c r="C112">
        <v>0.51</v>
      </c>
      <c r="D112">
        <v>0.40500000000000003</v>
      </c>
      <c r="E112">
        <v>0.125</v>
      </c>
      <c r="F112">
        <v>0.6925</v>
      </c>
      <c r="G112">
        <v>0.32700000000000001</v>
      </c>
      <c r="H112">
        <v>0.155</v>
      </c>
      <c r="I112">
        <v>0.18049999999999999</v>
      </c>
      <c r="J112">
        <v>7</v>
      </c>
      <c r="K112">
        <v>6</v>
      </c>
      <c r="L112" t="s">
        <v>39</v>
      </c>
      <c r="M112" t="s">
        <v>40</v>
      </c>
      <c r="N112" t="s">
        <v>41</v>
      </c>
      <c r="O112">
        <v>2</v>
      </c>
      <c r="P112" t="s">
        <v>7</v>
      </c>
      <c r="Q112">
        <v>18</v>
      </c>
      <c r="R112" t="str" cm="1">
        <f t="array" ref="R1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12" t="e">
        <f>IF(Table13[[#This Row],[Category All]]="Category 1", "Yes",NA())</f>
        <v>#N/A</v>
      </c>
      <c r="T112" t="str">
        <f>IF(Table13[[#This Row],[Category All]]="Category 2", "Yes",NA())</f>
        <v>Yes</v>
      </c>
      <c r="U112" t="e">
        <f>IF(Table13[[#This Row],[Category All]]="Category 3", "Yes",NA())</f>
        <v>#N/A</v>
      </c>
      <c r="V112">
        <f>SUM(1,(1/3)*(Table13[[#This Row],[Length]]-0.5),(1/3)*(Table13[[#This Row],[Diameter]]-0.4),(1/3)*(Table13[[#This Row],[Height]]-0.4)*Table13[[#This Row],[Whole_weight]]*0.5)</f>
        <v>0.97326041666666674</v>
      </c>
      <c r="W112" cm="1">
        <f t="array" ref="W1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0.77860833333333346</v>
      </c>
      <c r="X112" t="e">
        <f>IF(Table13[[#This Row],[Category All]]="Category 1",Table13[[#This Row],[Base Abalone Value]]*1.5,NA())</f>
        <v>#N/A</v>
      </c>
      <c r="Y112">
        <f>IF(Table13[[#This Row],[Category All]]="Category 2",Table13[[#This Row],[Base Abalone Value]]*0.8,NA())</f>
        <v>0.77860833333333346</v>
      </c>
      <c r="Z112" t="e">
        <f>IF(Table13[[#This Row],[Category All]]="Category 3",Table13[[#This Row],[Base Abalone Value]],NA())</f>
        <v>#N/A</v>
      </c>
      <c r="AA112" s="2">
        <f>IF(Table13[[#This Row],[Gender]]="M",Table13[[#This Row],[Whole_weight]],NA())</f>
        <v>0.6925</v>
      </c>
      <c r="AB112" s="2" t="e">
        <f>IF(Table13[[#This Row],[Gender]]="F",Table13[[#This Row],[Whole_weight]],NA())</f>
        <v>#N/A</v>
      </c>
      <c r="AC112" s="2" t="e">
        <f>IF(Table13[[#This Row],[Gender]]="I",Table13[[#This Row],[Whole_weight]],NA())</f>
        <v>#N/A</v>
      </c>
      <c r="AD112" s="2">
        <f>IF(Table13[[#This Row],[Gender]]="M",Table13[[#This Row],[Diameter]],NA())</f>
        <v>0.40500000000000003</v>
      </c>
      <c r="AE112" s="2" t="e">
        <f>IF(Table13[[#This Row],[Gender]]="F",Table13[[#This Row],[Diameter]],NA())</f>
        <v>#N/A</v>
      </c>
      <c r="AF112" s="2" t="e">
        <f>IF(Table13[[#This Row],[Gender]]="I",Table13[[#This Row],[Diameter]],NA())</f>
        <v>#N/A</v>
      </c>
    </row>
    <row r="113" spans="1:32" x14ac:dyDescent="0.2">
      <c r="A113">
        <v>1055</v>
      </c>
      <c r="B113" t="s">
        <v>11</v>
      </c>
      <c r="C113">
        <v>0.19500000000000001</v>
      </c>
      <c r="D113">
        <v>0.15</v>
      </c>
      <c r="E113">
        <v>4.4999999999999998E-2</v>
      </c>
      <c r="F113">
        <v>3.7499999999999999E-2</v>
      </c>
      <c r="G113">
        <v>1.7999999999999999E-2</v>
      </c>
      <c r="H113">
        <v>6.0000000000000001E-3</v>
      </c>
      <c r="I113">
        <v>1.0999999999999999E-2</v>
      </c>
      <c r="J113">
        <v>3</v>
      </c>
      <c r="K113">
        <v>6</v>
      </c>
      <c r="L113" t="s">
        <v>39</v>
      </c>
      <c r="M113" t="s">
        <v>40</v>
      </c>
      <c r="N113" t="s">
        <v>41</v>
      </c>
      <c r="O113">
        <v>5</v>
      </c>
      <c r="P113" t="s">
        <v>14</v>
      </c>
      <c r="Q113">
        <v>12.8</v>
      </c>
      <c r="R113" t="str" cm="1">
        <f t="array" ref="R1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13" t="e">
        <f>IF(Table13[[#This Row],[Category All]]="Category 1", "Yes",NA())</f>
        <v>#N/A</v>
      </c>
      <c r="T113" t="str">
        <f>IF(Table13[[#This Row],[Category All]]="Category 2", "Yes",NA())</f>
        <v>Yes</v>
      </c>
      <c r="U113" t="e">
        <f>IF(Table13[[#This Row],[Category All]]="Category 3", "Yes",NA())</f>
        <v>#N/A</v>
      </c>
      <c r="V113">
        <f>SUM(1,(1/3)*(Table13[[#This Row],[Length]]-0.5),(1/3)*(Table13[[#This Row],[Diameter]]-0.4),(1/3)*(Table13[[#This Row],[Height]]-0.4)*Table13[[#This Row],[Whole_weight]]*0.5)</f>
        <v>0.8127812499999999</v>
      </c>
      <c r="W113" cm="1">
        <f t="array" ref="W1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0.65022499999999994</v>
      </c>
      <c r="X113" t="e">
        <f>IF(Table13[[#This Row],[Category All]]="Category 1",Table13[[#This Row],[Base Abalone Value]]*1.5,NA())</f>
        <v>#N/A</v>
      </c>
      <c r="Y113">
        <f>IF(Table13[[#This Row],[Category All]]="Category 2",Table13[[#This Row],[Base Abalone Value]]*0.8,NA())</f>
        <v>0.65022499999999994</v>
      </c>
      <c r="Z113" t="e">
        <f>IF(Table13[[#This Row],[Category All]]="Category 3",Table13[[#This Row],[Base Abalone Value]],NA())</f>
        <v>#N/A</v>
      </c>
      <c r="AA113" s="2" t="e">
        <f>IF(Table13[[#This Row],[Gender]]="M",Table13[[#This Row],[Whole_weight]],NA())</f>
        <v>#N/A</v>
      </c>
      <c r="AB113" s="2" t="e">
        <f>IF(Table13[[#This Row],[Gender]]="F",Table13[[#This Row],[Whole_weight]],NA())</f>
        <v>#N/A</v>
      </c>
      <c r="AC113" s="2">
        <f>IF(Table13[[#This Row],[Gender]]="I",Table13[[#This Row],[Whole_weight]],NA())</f>
        <v>3.7499999999999999E-2</v>
      </c>
      <c r="AD113" s="2" t="e">
        <f>IF(Table13[[#This Row],[Gender]]="M",Table13[[#This Row],[Diameter]],NA())</f>
        <v>#N/A</v>
      </c>
      <c r="AE113" s="2" t="e">
        <f>IF(Table13[[#This Row],[Gender]]="F",Table13[[#This Row],[Diameter]],NA())</f>
        <v>#N/A</v>
      </c>
      <c r="AF113" s="2">
        <f>IF(Table13[[#This Row],[Gender]]="I",Table13[[#This Row],[Diameter]],NA())</f>
        <v>0.15</v>
      </c>
    </row>
    <row r="114" spans="1:32" x14ac:dyDescent="0.2">
      <c r="A114">
        <v>2652</v>
      </c>
      <c r="B114" t="s">
        <v>11</v>
      </c>
      <c r="C114">
        <v>0.51</v>
      </c>
      <c r="D114">
        <v>0.38500000000000001</v>
      </c>
      <c r="E114">
        <v>0.15</v>
      </c>
      <c r="F114">
        <v>0.625</v>
      </c>
      <c r="G114">
        <v>0.3095</v>
      </c>
      <c r="H114">
        <v>0.11899999999999999</v>
      </c>
      <c r="I114">
        <v>0.17249999999999999</v>
      </c>
      <c r="J114">
        <v>8</v>
      </c>
      <c r="K114">
        <v>12</v>
      </c>
      <c r="L114" t="s">
        <v>1</v>
      </c>
      <c r="M114" t="s">
        <v>2</v>
      </c>
      <c r="N114" t="s">
        <v>3</v>
      </c>
      <c r="O114">
        <v>5</v>
      </c>
      <c r="P114" t="s">
        <v>14</v>
      </c>
      <c r="Q114">
        <v>12.8</v>
      </c>
      <c r="R114" t="str" cm="1">
        <f t="array" ref="R1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14" t="e">
        <f>IF(Table13[[#This Row],[Category All]]="Category 1", "Yes",NA())</f>
        <v>#N/A</v>
      </c>
      <c r="T114" t="str">
        <f>IF(Table13[[#This Row],[Category All]]="Category 2", "Yes",NA())</f>
        <v>Yes</v>
      </c>
      <c r="U114" t="e">
        <f>IF(Table13[[#This Row],[Category All]]="Category 3", "Yes",NA())</f>
        <v>#N/A</v>
      </c>
      <c r="V114">
        <f>SUM(1,(1/3)*(Table13[[#This Row],[Length]]-0.5),(1/3)*(Table13[[#This Row],[Diameter]]-0.4),(1/3)*(Table13[[#This Row],[Height]]-0.4)*Table13[[#This Row],[Whole_weight]]*0.5)</f>
        <v>0.97229166666666678</v>
      </c>
      <c r="W114" cm="1">
        <f t="array" ref="W1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0.77783333333333349</v>
      </c>
      <c r="X114" t="e">
        <f>IF(Table13[[#This Row],[Category All]]="Category 1",Table13[[#This Row],[Base Abalone Value]]*1.5,NA())</f>
        <v>#N/A</v>
      </c>
      <c r="Y114">
        <f>IF(Table13[[#This Row],[Category All]]="Category 2",Table13[[#This Row],[Base Abalone Value]]*0.8,NA())</f>
        <v>0.77783333333333349</v>
      </c>
      <c r="Z114" t="e">
        <f>IF(Table13[[#This Row],[Category All]]="Category 3",Table13[[#This Row],[Base Abalone Value]],NA())</f>
        <v>#N/A</v>
      </c>
      <c r="AA114" s="2" t="e">
        <f>IF(Table13[[#This Row],[Gender]]="M",Table13[[#This Row],[Whole_weight]],NA())</f>
        <v>#N/A</v>
      </c>
      <c r="AB114" s="2" t="e">
        <f>IF(Table13[[#This Row],[Gender]]="F",Table13[[#This Row],[Whole_weight]],NA())</f>
        <v>#N/A</v>
      </c>
      <c r="AC114" s="2">
        <f>IF(Table13[[#This Row],[Gender]]="I",Table13[[#This Row],[Whole_weight]],NA())</f>
        <v>0.625</v>
      </c>
      <c r="AD114" s="2" t="e">
        <f>IF(Table13[[#This Row],[Gender]]="M",Table13[[#This Row],[Diameter]],NA())</f>
        <v>#N/A</v>
      </c>
      <c r="AE114" s="2" t="e">
        <f>IF(Table13[[#This Row],[Gender]]="F",Table13[[#This Row],[Diameter]],NA())</f>
        <v>#N/A</v>
      </c>
      <c r="AF114" s="2">
        <f>IF(Table13[[#This Row],[Gender]]="I",Table13[[#This Row],[Diameter]],NA())</f>
        <v>0.38500000000000001</v>
      </c>
    </row>
    <row r="115" spans="1:32" x14ac:dyDescent="0.2">
      <c r="A115">
        <v>2722</v>
      </c>
      <c r="B115" t="s">
        <v>11</v>
      </c>
      <c r="C115">
        <v>0.375</v>
      </c>
      <c r="D115">
        <v>0.28999999999999998</v>
      </c>
      <c r="E115">
        <v>0.14000000000000001</v>
      </c>
      <c r="F115">
        <v>0.3</v>
      </c>
      <c r="G115">
        <v>0.14000000000000001</v>
      </c>
      <c r="H115">
        <v>6.25E-2</v>
      </c>
      <c r="I115">
        <v>8.2500000000000004E-2</v>
      </c>
      <c r="J115">
        <v>8</v>
      </c>
      <c r="K115">
        <v>12</v>
      </c>
      <c r="L115" t="s">
        <v>1</v>
      </c>
      <c r="M115" t="s">
        <v>2</v>
      </c>
      <c r="N115" t="s">
        <v>3</v>
      </c>
      <c r="O115">
        <v>2</v>
      </c>
      <c r="P115" t="s">
        <v>7</v>
      </c>
      <c r="Q115">
        <v>18</v>
      </c>
      <c r="R115" t="str" cm="1">
        <f t="array" ref="R1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15" t="e">
        <f>IF(Table13[[#This Row],[Category All]]="Category 1", "Yes",NA())</f>
        <v>#N/A</v>
      </c>
      <c r="T115" t="str">
        <f>IF(Table13[[#This Row],[Category All]]="Category 2", "Yes",NA())</f>
        <v>Yes</v>
      </c>
      <c r="U115" t="e">
        <f>IF(Table13[[#This Row],[Category All]]="Category 3", "Yes",NA())</f>
        <v>#N/A</v>
      </c>
      <c r="V115">
        <f>SUM(1,(1/3)*(Table13[[#This Row],[Length]]-0.5),(1/3)*(Table13[[#This Row],[Diameter]]-0.4),(1/3)*(Table13[[#This Row],[Height]]-0.4)*Table13[[#This Row],[Whole_weight]]*0.5)</f>
        <v>0.90866666666666662</v>
      </c>
      <c r="W115" cm="1">
        <f t="array" ref="W1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0.72693333333333332</v>
      </c>
      <c r="X115" t="e">
        <f>IF(Table13[[#This Row],[Category All]]="Category 1",Table13[[#This Row],[Base Abalone Value]]*1.5,NA())</f>
        <v>#N/A</v>
      </c>
      <c r="Y115">
        <f>IF(Table13[[#This Row],[Category All]]="Category 2",Table13[[#This Row],[Base Abalone Value]]*0.8,NA())</f>
        <v>0.72693333333333332</v>
      </c>
      <c r="Z115" t="e">
        <f>IF(Table13[[#This Row],[Category All]]="Category 3",Table13[[#This Row],[Base Abalone Value]],NA())</f>
        <v>#N/A</v>
      </c>
      <c r="AA115" s="2" t="e">
        <f>IF(Table13[[#This Row],[Gender]]="M",Table13[[#This Row],[Whole_weight]],NA())</f>
        <v>#N/A</v>
      </c>
      <c r="AB115" s="2" t="e">
        <f>IF(Table13[[#This Row],[Gender]]="F",Table13[[#This Row],[Whole_weight]],NA())</f>
        <v>#N/A</v>
      </c>
      <c r="AC115" s="2">
        <f>IF(Table13[[#This Row],[Gender]]="I",Table13[[#This Row],[Whole_weight]],NA())</f>
        <v>0.3</v>
      </c>
      <c r="AD115" s="2" t="e">
        <f>IF(Table13[[#This Row],[Gender]]="M",Table13[[#This Row],[Diameter]],NA())</f>
        <v>#N/A</v>
      </c>
      <c r="AE115" s="2" t="e">
        <f>IF(Table13[[#This Row],[Gender]]="F",Table13[[#This Row],[Diameter]],NA())</f>
        <v>#N/A</v>
      </c>
      <c r="AF115" s="2">
        <f>IF(Table13[[#This Row],[Gender]]="I",Table13[[#This Row],[Diameter]],NA())</f>
        <v>0.28999999999999998</v>
      </c>
    </row>
    <row r="116" spans="1:32" x14ac:dyDescent="0.2">
      <c r="A116">
        <v>1271</v>
      </c>
      <c r="B116" t="s">
        <v>11</v>
      </c>
      <c r="C116">
        <v>0.47</v>
      </c>
      <c r="D116">
        <v>0.35499999999999998</v>
      </c>
      <c r="E116">
        <v>0.18</v>
      </c>
      <c r="F116">
        <v>0.48</v>
      </c>
      <c r="G116">
        <v>0.20549999999999999</v>
      </c>
      <c r="H116">
        <v>0.105</v>
      </c>
      <c r="I116">
        <v>0.15049999999999999</v>
      </c>
      <c r="J116">
        <v>8</v>
      </c>
      <c r="K116">
        <v>7</v>
      </c>
      <c r="L116" t="s">
        <v>35</v>
      </c>
      <c r="M116" t="s">
        <v>36</v>
      </c>
      <c r="N116" t="s">
        <v>37</v>
      </c>
      <c r="O116">
        <v>1</v>
      </c>
      <c r="P116" t="s">
        <v>4</v>
      </c>
      <c r="Q116">
        <v>22.1</v>
      </c>
      <c r="R116" t="str" cm="1">
        <f t="array" ref="R1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16" t="e">
        <f>IF(Table13[[#This Row],[Category All]]="Category 1", "Yes",NA())</f>
        <v>#N/A</v>
      </c>
      <c r="T116" t="str">
        <f>IF(Table13[[#This Row],[Category All]]="Category 2", "Yes",NA())</f>
        <v>Yes</v>
      </c>
      <c r="U116" t="e">
        <f>IF(Table13[[#This Row],[Category All]]="Category 3", "Yes",NA())</f>
        <v>#N/A</v>
      </c>
      <c r="V116">
        <f>SUM(1,(1/3)*(Table13[[#This Row],[Length]]-0.5),(1/3)*(Table13[[#This Row],[Diameter]]-0.4),(1/3)*(Table13[[#This Row],[Height]]-0.4)*Table13[[#This Row],[Whole_weight]]*0.5)</f>
        <v>0.95740000000000003</v>
      </c>
      <c r="W116" cm="1">
        <f t="array" ref="W1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0.76592000000000005</v>
      </c>
      <c r="X116" t="e">
        <f>IF(Table13[[#This Row],[Category All]]="Category 1",Table13[[#This Row],[Base Abalone Value]]*1.5,NA())</f>
        <v>#N/A</v>
      </c>
      <c r="Y116">
        <f>IF(Table13[[#This Row],[Category All]]="Category 2",Table13[[#This Row],[Base Abalone Value]]*0.8,NA())</f>
        <v>0.76592000000000005</v>
      </c>
      <c r="Z116" t="e">
        <f>IF(Table13[[#This Row],[Category All]]="Category 3",Table13[[#This Row],[Base Abalone Value]],NA())</f>
        <v>#N/A</v>
      </c>
      <c r="AA116" s="2" t="e">
        <f>IF(Table13[[#This Row],[Gender]]="M",Table13[[#This Row],[Whole_weight]],NA())</f>
        <v>#N/A</v>
      </c>
      <c r="AB116" s="2" t="e">
        <f>IF(Table13[[#This Row],[Gender]]="F",Table13[[#This Row],[Whole_weight]],NA())</f>
        <v>#N/A</v>
      </c>
      <c r="AC116" s="2">
        <f>IF(Table13[[#This Row],[Gender]]="I",Table13[[#This Row],[Whole_weight]],NA())</f>
        <v>0.48</v>
      </c>
      <c r="AD116" s="2" t="e">
        <f>IF(Table13[[#This Row],[Gender]]="M",Table13[[#This Row],[Diameter]],NA())</f>
        <v>#N/A</v>
      </c>
      <c r="AE116" s="2" t="e">
        <f>IF(Table13[[#This Row],[Gender]]="F",Table13[[#This Row],[Diameter]],NA())</f>
        <v>#N/A</v>
      </c>
      <c r="AF116" s="2">
        <f>IF(Table13[[#This Row],[Gender]]="I",Table13[[#This Row],[Diameter]],NA())</f>
        <v>0.35499999999999998</v>
      </c>
    </row>
    <row r="117" spans="1:32" x14ac:dyDescent="0.2">
      <c r="A117">
        <v>90</v>
      </c>
      <c r="B117" t="s">
        <v>0</v>
      </c>
      <c r="C117">
        <v>0.57499999999999996</v>
      </c>
      <c r="D117">
        <v>0.45</v>
      </c>
      <c r="E117">
        <v>0.16</v>
      </c>
      <c r="F117">
        <v>0.97750000000000004</v>
      </c>
      <c r="G117">
        <v>0.3135</v>
      </c>
      <c r="H117">
        <v>0.23100000000000001</v>
      </c>
      <c r="I117">
        <v>0.33</v>
      </c>
      <c r="J117">
        <v>12</v>
      </c>
      <c r="K117">
        <v>1</v>
      </c>
      <c r="L117" t="s">
        <v>8</v>
      </c>
      <c r="M117" t="s">
        <v>9</v>
      </c>
      <c r="N117" t="s">
        <v>3</v>
      </c>
      <c r="O117">
        <v>2</v>
      </c>
      <c r="P117" t="s">
        <v>7</v>
      </c>
      <c r="Q117">
        <v>18</v>
      </c>
      <c r="R117" t="str" cm="1">
        <f t="array" ref="R1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17" t="e">
        <f>IF(Table13[[#This Row],[Category All]]="Category 1", "Yes",NA())</f>
        <v>#N/A</v>
      </c>
      <c r="T117" t="str">
        <f>IF(Table13[[#This Row],[Category All]]="Category 2", "Yes",NA())</f>
        <v>Yes</v>
      </c>
      <c r="U117" t="e">
        <f>IF(Table13[[#This Row],[Category All]]="Category 3", "Yes",NA())</f>
        <v>#N/A</v>
      </c>
      <c r="V117">
        <f>SUM(1,(1/3)*(Table13[[#This Row],[Length]]-0.5),(1/3)*(Table13[[#This Row],[Diameter]]-0.4),(1/3)*(Table13[[#This Row],[Height]]-0.4)*Table13[[#This Row],[Whole_weight]]*0.5)</f>
        <v>1.0025666666666666</v>
      </c>
      <c r="W117" cm="1">
        <f t="array" ref="W1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0.80205333333333328</v>
      </c>
      <c r="X117" t="e">
        <f>IF(Table13[[#This Row],[Category All]]="Category 1",Table13[[#This Row],[Base Abalone Value]]*1.5,NA())</f>
        <v>#N/A</v>
      </c>
      <c r="Y117">
        <f>IF(Table13[[#This Row],[Category All]]="Category 2",Table13[[#This Row],[Base Abalone Value]]*0.8,NA())</f>
        <v>0.80205333333333328</v>
      </c>
      <c r="Z117" t="e">
        <f>IF(Table13[[#This Row],[Category All]]="Category 3",Table13[[#This Row],[Base Abalone Value]],NA())</f>
        <v>#N/A</v>
      </c>
      <c r="AA117" s="2" t="e">
        <f>IF(Table13[[#This Row],[Gender]]="M",Table13[[#This Row],[Whole_weight]],NA())</f>
        <v>#N/A</v>
      </c>
      <c r="AB117" s="2">
        <f>IF(Table13[[#This Row],[Gender]]="F",Table13[[#This Row],[Whole_weight]],NA())</f>
        <v>0.97750000000000004</v>
      </c>
      <c r="AC117" s="2" t="e">
        <f>IF(Table13[[#This Row],[Gender]]="I",Table13[[#This Row],[Whole_weight]],NA())</f>
        <v>#N/A</v>
      </c>
      <c r="AD117" s="2" t="e">
        <f>IF(Table13[[#This Row],[Gender]]="M",Table13[[#This Row],[Diameter]],NA())</f>
        <v>#N/A</v>
      </c>
      <c r="AE117" s="2">
        <f>IF(Table13[[#This Row],[Gender]]="F",Table13[[#This Row],[Diameter]],NA())</f>
        <v>0.45</v>
      </c>
      <c r="AF117" s="2" t="e">
        <f>IF(Table13[[#This Row],[Gender]]="I",Table13[[#This Row],[Diameter]],NA())</f>
        <v>#N/A</v>
      </c>
    </row>
    <row r="118" spans="1:32" x14ac:dyDescent="0.2">
      <c r="A118">
        <v>2789</v>
      </c>
      <c r="B118" t="s">
        <v>0</v>
      </c>
      <c r="C118">
        <v>0.61499999999999999</v>
      </c>
      <c r="D118">
        <v>0.46</v>
      </c>
      <c r="E118">
        <v>0.15</v>
      </c>
      <c r="F118">
        <v>1.0265</v>
      </c>
      <c r="G118">
        <v>0.49349999999999999</v>
      </c>
      <c r="H118">
        <v>0.20100000000000001</v>
      </c>
      <c r="I118">
        <v>0.27450000000000002</v>
      </c>
      <c r="J118">
        <v>10</v>
      </c>
      <c r="K118">
        <v>1</v>
      </c>
      <c r="L118" t="s">
        <v>8</v>
      </c>
      <c r="M118" t="s">
        <v>9</v>
      </c>
      <c r="N118" t="s">
        <v>3</v>
      </c>
      <c r="O118">
        <v>1</v>
      </c>
      <c r="P118" t="s">
        <v>4</v>
      </c>
      <c r="Q118">
        <v>22.1</v>
      </c>
      <c r="R118" t="str" cm="1">
        <f t="array" ref="R1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18" t="e">
        <f>IF(Table13[[#This Row],[Category All]]="Category 1", "Yes",NA())</f>
        <v>#N/A</v>
      </c>
      <c r="T118" t="e">
        <f>IF(Table13[[#This Row],[Category All]]="Category 2", "Yes",NA())</f>
        <v>#N/A</v>
      </c>
      <c r="U118" t="str">
        <f>IF(Table13[[#This Row],[Category All]]="Category 3", "Yes",NA())</f>
        <v>Yes</v>
      </c>
      <c r="V118">
        <f>SUM(1,(1/3)*(Table13[[#This Row],[Length]]-0.5),(1/3)*(Table13[[#This Row],[Diameter]]-0.4),(1/3)*(Table13[[#This Row],[Height]]-0.4)*Table13[[#This Row],[Whole_weight]]*0.5)</f>
        <v>1.0155624999999999</v>
      </c>
      <c r="W118" cm="1">
        <f t="array" ref="W1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1.0155624999999999</v>
      </c>
      <c r="X118" t="e">
        <f>IF(Table13[[#This Row],[Category All]]="Category 1",Table13[[#This Row],[Base Abalone Value]]*1.5,NA())</f>
        <v>#N/A</v>
      </c>
      <c r="Y118" t="e">
        <f>IF(Table13[[#This Row],[Category All]]="Category 2",Table13[[#This Row],[Base Abalone Value]]*0.8,NA())</f>
        <v>#N/A</v>
      </c>
      <c r="Z118">
        <f>IF(Table13[[#This Row],[Category All]]="Category 3",Table13[[#This Row],[Base Abalone Value]],NA())</f>
        <v>1.0155624999999999</v>
      </c>
      <c r="AA118" s="2" t="e">
        <f>IF(Table13[[#This Row],[Gender]]="M",Table13[[#This Row],[Whole_weight]],NA())</f>
        <v>#N/A</v>
      </c>
      <c r="AB118" s="2">
        <f>IF(Table13[[#This Row],[Gender]]="F",Table13[[#This Row],[Whole_weight]],NA())</f>
        <v>1.0265</v>
      </c>
      <c r="AC118" s="2" t="e">
        <f>IF(Table13[[#This Row],[Gender]]="I",Table13[[#This Row],[Whole_weight]],NA())</f>
        <v>#N/A</v>
      </c>
      <c r="AD118" s="2" t="e">
        <f>IF(Table13[[#This Row],[Gender]]="M",Table13[[#This Row],[Diameter]],NA())</f>
        <v>#N/A</v>
      </c>
      <c r="AE118" s="2">
        <f>IF(Table13[[#This Row],[Gender]]="F",Table13[[#This Row],[Diameter]],NA())</f>
        <v>0.46</v>
      </c>
      <c r="AF118" s="2" t="e">
        <f>IF(Table13[[#This Row],[Gender]]="I",Table13[[#This Row],[Diameter]],NA())</f>
        <v>#N/A</v>
      </c>
    </row>
    <row r="119" spans="1:32" x14ac:dyDescent="0.2">
      <c r="A119">
        <v>3015</v>
      </c>
      <c r="B119" t="s">
        <v>11</v>
      </c>
      <c r="C119">
        <v>0.39500000000000002</v>
      </c>
      <c r="D119">
        <v>0.3</v>
      </c>
      <c r="E119">
        <v>0.09</v>
      </c>
      <c r="F119">
        <v>0.253</v>
      </c>
      <c r="G119">
        <v>0.11550000000000001</v>
      </c>
      <c r="H119">
        <v>0.05</v>
      </c>
      <c r="I119">
        <v>7.4999999999999997E-2</v>
      </c>
      <c r="J119">
        <v>6</v>
      </c>
      <c r="K119">
        <v>8</v>
      </c>
      <c r="L119" t="s">
        <v>29</v>
      </c>
      <c r="M119" t="s">
        <v>30</v>
      </c>
      <c r="N119" t="s">
        <v>31</v>
      </c>
      <c r="O119">
        <v>5</v>
      </c>
      <c r="P119" t="s">
        <v>14</v>
      </c>
      <c r="Q119">
        <v>12.8</v>
      </c>
      <c r="R119" t="str" cm="1">
        <f t="array" ref="R1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19" t="e">
        <f>IF(Table13[[#This Row],[Category All]]="Category 1", "Yes",NA())</f>
        <v>#N/A</v>
      </c>
      <c r="T119" t="str">
        <f>IF(Table13[[#This Row],[Category All]]="Category 2", "Yes",NA())</f>
        <v>Yes</v>
      </c>
      <c r="U119" t="e">
        <f>IF(Table13[[#This Row],[Category All]]="Category 3", "Yes",NA())</f>
        <v>#N/A</v>
      </c>
      <c r="V119">
        <f>SUM(1,(1/3)*(Table13[[#This Row],[Length]]-0.5),(1/3)*(Table13[[#This Row],[Diameter]]-0.4),(1/3)*(Table13[[#This Row],[Height]]-0.4)*Table13[[#This Row],[Whole_weight]]*0.5)</f>
        <v>0.91859499999999994</v>
      </c>
      <c r="W119" cm="1">
        <f t="array" ref="W1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0.73487599999999997</v>
      </c>
      <c r="X119" t="e">
        <f>IF(Table13[[#This Row],[Category All]]="Category 1",Table13[[#This Row],[Base Abalone Value]]*1.5,NA())</f>
        <v>#N/A</v>
      </c>
      <c r="Y119">
        <f>IF(Table13[[#This Row],[Category All]]="Category 2",Table13[[#This Row],[Base Abalone Value]]*0.8,NA())</f>
        <v>0.73487599999999997</v>
      </c>
      <c r="Z119" t="e">
        <f>IF(Table13[[#This Row],[Category All]]="Category 3",Table13[[#This Row],[Base Abalone Value]],NA())</f>
        <v>#N/A</v>
      </c>
      <c r="AA119" s="2" t="e">
        <f>IF(Table13[[#This Row],[Gender]]="M",Table13[[#This Row],[Whole_weight]],NA())</f>
        <v>#N/A</v>
      </c>
      <c r="AB119" s="2" t="e">
        <f>IF(Table13[[#This Row],[Gender]]="F",Table13[[#This Row],[Whole_weight]],NA())</f>
        <v>#N/A</v>
      </c>
      <c r="AC119" s="2">
        <f>IF(Table13[[#This Row],[Gender]]="I",Table13[[#This Row],[Whole_weight]],NA())</f>
        <v>0.253</v>
      </c>
      <c r="AD119" s="2" t="e">
        <f>IF(Table13[[#This Row],[Gender]]="M",Table13[[#This Row],[Diameter]],NA())</f>
        <v>#N/A</v>
      </c>
      <c r="AE119" s="2" t="e">
        <f>IF(Table13[[#This Row],[Gender]]="F",Table13[[#This Row],[Diameter]],NA())</f>
        <v>#N/A</v>
      </c>
      <c r="AF119" s="2">
        <f>IF(Table13[[#This Row],[Gender]]="I",Table13[[#This Row],[Diameter]],NA())</f>
        <v>0.3</v>
      </c>
    </row>
    <row r="120" spans="1:32" x14ac:dyDescent="0.2">
      <c r="A120">
        <v>1421</v>
      </c>
      <c r="B120" t="s">
        <v>0</v>
      </c>
      <c r="C120">
        <v>0.71</v>
      </c>
      <c r="D120">
        <v>0.55000000000000004</v>
      </c>
      <c r="E120">
        <v>0.17</v>
      </c>
      <c r="F120">
        <v>1.6140000000000001</v>
      </c>
      <c r="G120">
        <v>0.74299999999999999</v>
      </c>
      <c r="H120">
        <v>0.34499999999999997</v>
      </c>
      <c r="I120">
        <v>0.45</v>
      </c>
      <c r="J120">
        <v>11</v>
      </c>
      <c r="K120">
        <v>2</v>
      </c>
      <c r="L120" t="s">
        <v>32</v>
      </c>
      <c r="M120" t="s">
        <v>33</v>
      </c>
      <c r="N120" t="s">
        <v>34</v>
      </c>
      <c r="O120">
        <v>8</v>
      </c>
      <c r="P120" t="s">
        <v>19</v>
      </c>
      <c r="Q120">
        <v>12.3</v>
      </c>
      <c r="R120" t="str" cm="1">
        <f t="array" ref="R1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20" t="e">
        <f>IF(Table13[[#This Row],[Category All]]="Category 1", "Yes",NA())</f>
        <v>#N/A</v>
      </c>
      <c r="T120" t="e">
        <f>IF(Table13[[#This Row],[Category All]]="Category 2", "Yes",NA())</f>
        <v>#N/A</v>
      </c>
      <c r="U120" t="str">
        <f>IF(Table13[[#This Row],[Category All]]="Category 3", "Yes",NA())</f>
        <v>Yes</v>
      </c>
      <c r="V120">
        <f>SUM(1,(1/3)*(Table13[[#This Row],[Length]]-0.5),(1/3)*(Table13[[#This Row],[Diameter]]-0.4),(1/3)*(Table13[[#This Row],[Height]]-0.4)*Table13[[#This Row],[Whole_weight]]*0.5)</f>
        <v>1.05813</v>
      </c>
      <c r="W120" cm="1">
        <f t="array" ref="W1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1.05813</v>
      </c>
      <c r="X120" t="e">
        <f>IF(Table13[[#This Row],[Category All]]="Category 1",Table13[[#This Row],[Base Abalone Value]]*1.5,NA())</f>
        <v>#N/A</v>
      </c>
      <c r="Y120" t="e">
        <f>IF(Table13[[#This Row],[Category All]]="Category 2",Table13[[#This Row],[Base Abalone Value]]*0.8,NA())</f>
        <v>#N/A</v>
      </c>
      <c r="Z120">
        <f>IF(Table13[[#This Row],[Category All]]="Category 3",Table13[[#This Row],[Base Abalone Value]],NA())</f>
        <v>1.05813</v>
      </c>
      <c r="AA120" s="2" t="e">
        <f>IF(Table13[[#This Row],[Gender]]="M",Table13[[#This Row],[Whole_weight]],NA())</f>
        <v>#N/A</v>
      </c>
      <c r="AB120" s="2">
        <f>IF(Table13[[#This Row],[Gender]]="F",Table13[[#This Row],[Whole_weight]],NA())</f>
        <v>1.6140000000000001</v>
      </c>
      <c r="AC120" s="2" t="e">
        <f>IF(Table13[[#This Row],[Gender]]="I",Table13[[#This Row],[Whole_weight]],NA())</f>
        <v>#N/A</v>
      </c>
      <c r="AD120" s="2" t="e">
        <f>IF(Table13[[#This Row],[Gender]]="M",Table13[[#This Row],[Diameter]],NA())</f>
        <v>#N/A</v>
      </c>
      <c r="AE120" s="2">
        <f>IF(Table13[[#This Row],[Gender]]="F",Table13[[#This Row],[Diameter]],NA())</f>
        <v>0.55000000000000004</v>
      </c>
      <c r="AF120" s="2" t="e">
        <f>IF(Table13[[#This Row],[Gender]]="I",Table13[[#This Row],[Diameter]],NA())</f>
        <v>#N/A</v>
      </c>
    </row>
    <row r="121" spans="1:32" x14ac:dyDescent="0.2">
      <c r="A121">
        <v>2399</v>
      </c>
      <c r="B121" t="s">
        <v>11</v>
      </c>
      <c r="C121">
        <v>0.5</v>
      </c>
      <c r="D121">
        <v>0.38500000000000001</v>
      </c>
      <c r="E121">
        <v>0.155</v>
      </c>
      <c r="F121">
        <v>0.76200000000000001</v>
      </c>
      <c r="G121">
        <v>0.3795</v>
      </c>
      <c r="H121">
        <v>0.161</v>
      </c>
      <c r="I121">
        <v>0.19</v>
      </c>
      <c r="J121">
        <v>14</v>
      </c>
      <c r="K121">
        <v>9</v>
      </c>
      <c r="L121" t="s">
        <v>20</v>
      </c>
      <c r="M121" t="s">
        <v>21</v>
      </c>
      <c r="N121" t="s">
        <v>22</v>
      </c>
      <c r="O121">
        <v>10</v>
      </c>
      <c r="P121" t="s">
        <v>38</v>
      </c>
      <c r="Q121">
        <v>24.1</v>
      </c>
      <c r="R121" t="str" cm="1">
        <f t="array" ref="R1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21" t="e">
        <f>IF(Table13[[#This Row],[Category All]]="Category 1", "Yes",NA())</f>
        <v>#N/A</v>
      </c>
      <c r="T121" t="str">
        <f>IF(Table13[[#This Row],[Category All]]="Category 2", "Yes",NA())</f>
        <v>Yes</v>
      </c>
      <c r="U121" t="e">
        <f>IF(Table13[[#This Row],[Category All]]="Category 3", "Yes",NA())</f>
        <v>#N/A</v>
      </c>
      <c r="V121">
        <f>SUM(1,(1/3)*(Table13[[#This Row],[Length]]-0.5),(1/3)*(Table13[[#This Row],[Diameter]]-0.4),(1/3)*(Table13[[#This Row],[Height]]-0.4)*Table13[[#This Row],[Whole_weight]]*0.5)</f>
        <v>0.96388499999999999</v>
      </c>
      <c r="W121" cm="1">
        <f t="array" ref="W1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0.77110800000000002</v>
      </c>
      <c r="X121" t="e">
        <f>IF(Table13[[#This Row],[Category All]]="Category 1",Table13[[#This Row],[Base Abalone Value]]*1.5,NA())</f>
        <v>#N/A</v>
      </c>
      <c r="Y121">
        <f>IF(Table13[[#This Row],[Category All]]="Category 2",Table13[[#This Row],[Base Abalone Value]]*0.8,NA())</f>
        <v>0.77110800000000002</v>
      </c>
      <c r="Z121" t="e">
        <f>IF(Table13[[#This Row],[Category All]]="Category 3",Table13[[#This Row],[Base Abalone Value]],NA())</f>
        <v>#N/A</v>
      </c>
      <c r="AA121" s="2" t="e">
        <f>IF(Table13[[#This Row],[Gender]]="M",Table13[[#This Row],[Whole_weight]],NA())</f>
        <v>#N/A</v>
      </c>
      <c r="AB121" s="2" t="e">
        <f>IF(Table13[[#This Row],[Gender]]="F",Table13[[#This Row],[Whole_weight]],NA())</f>
        <v>#N/A</v>
      </c>
      <c r="AC121" s="2">
        <f>IF(Table13[[#This Row],[Gender]]="I",Table13[[#This Row],[Whole_weight]],NA())</f>
        <v>0.76200000000000001</v>
      </c>
      <c r="AD121" s="2" t="e">
        <f>IF(Table13[[#This Row],[Gender]]="M",Table13[[#This Row],[Diameter]],NA())</f>
        <v>#N/A</v>
      </c>
      <c r="AE121" s="2" t="e">
        <f>IF(Table13[[#This Row],[Gender]]="F",Table13[[#This Row],[Diameter]],NA())</f>
        <v>#N/A</v>
      </c>
      <c r="AF121" s="2">
        <f>IF(Table13[[#This Row],[Gender]]="I",Table13[[#This Row],[Diameter]],NA())</f>
        <v>0.38500000000000001</v>
      </c>
    </row>
    <row r="122" spans="1:32" x14ac:dyDescent="0.2">
      <c r="A122">
        <v>1503</v>
      </c>
      <c r="B122" t="s">
        <v>15</v>
      </c>
      <c r="C122">
        <v>0.63</v>
      </c>
      <c r="D122">
        <v>0.48</v>
      </c>
      <c r="E122">
        <v>0.15</v>
      </c>
      <c r="F122">
        <v>1.2709999999999999</v>
      </c>
      <c r="G122">
        <v>0.66049999999999998</v>
      </c>
      <c r="H122">
        <v>0.24249999999999999</v>
      </c>
      <c r="I122">
        <v>0.31</v>
      </c>
      <c r="J122">
        <v>11</v>
      </c>
      <c r="K122">
        <v>4</v>
      </c>
      <c r="L122" t="s">
        <v>52</v>
      </c>
      <c r="M122" t="s">
        <v>53</v>
      </c>
      <c r="N122" t="s">
        <v>54</v>
      </c>
      <c r="O122">
        <v>1</v>
      </c>
      <c r="P122" t="s">
        <v>4</v>
      </c>
      <c r="Q122">
        <v>22.1</v>
      </c>
      <c r="R122" t="str" cm="1">
        <f t="array" ref="R1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22" t="e">
        <f>IF(Table13[[#This Row],[Category All]]="Category 1", "Yes",NA())</f>
        <v>#N/A</v>
      </c>
      <c r="T122" t="e">
        <f>IF(Table13[[#This Row],[Category All]]="Category 2", "Yes",NA())</f>
        <v>#N/A</v>
      </c>
      <c r="U122" t="str">
        <f>IF(Table13[[#This Row],[Category All]]="Category 3", "Yes",NA())</f>
        <v>Yes</v>
      </c>
      <c r="V122">
        <f>SUM(1,(1/3)*(Table13[[#This Row],[Length]]-0.5),(1/3)*(Table13[[#This Row],[Diameter]]-0.4),(1/3)*(Table13[[#This Row],[Height]]-0.4)*Table13[[#This Row],[Whole_weight]]*0.5)</f>
        <v>1.0170416666666666</v>
      </c>
      <c r="W122" cm="1">
        <f t="array" ref="W1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1.0170416666666666</v>
      </c>
      <c r="X122" t="e">
        <f>IF(Table13[[#This Row],[Category All]]="Category 1",Table13[[#This Row],[Base Abalone Value]]*1.5,NA())</f>
        <v>#N/A</v>
      </c>
      <c r="Y122" t="e">
        <f>IF(Table13[[#This Row],[Category All]]="Category 2",Table13[[#This Row],[Base Abalone Value]]*0.8,NA())</f>
        <v>#N/A</v>
      </c>
      <c r="Z122">
        <f>IF(Table13[[#This Row],[Category All]]="Category 3",Table13[[#This Row],[Base Abalone Value]],NA())</f>
        <v>1.0170416666666666</v>
      </c>
      <c r="AA122" s="2">
        <f>IF(Table13[[#This Row],[Gender]]="M",Table13[[#This Row],[Whole_weight]],NA())</f>
        <v>1.2709999999999999</v>
      </c>
      <c r="AB122" s="2" t="e">
        <f>IF(Table13[[#This Row],[Gender]]="F",Table13[[#This Row],[Whole_weight]],NA())</f>
        <v>#N/A</v>
      </c>
      <c r="AC122" s="2" t="e">
        <f>IF(Table13[[#This Row],[Gender]]="I",Table13[[#This Row],[Whole_weight]],NA())</f>
        <v>#N/A</v>
      </c>
      <c r="AD122" s="2">
        <f>IF(Table13[[#This Row],[Gender]]="M",Table13[[#This Row],[Diameter]],NA())</f>
        <v>0.48</v>
      </c>
      <c r="AE122" s="2" t="e">
        <f>IF(Table13[[#This Row],[Gender]]="F",Table13[[#This Row],[Diameter]],NA())</f>
        <v>#N/A</v>
      </c>
      <c r="AF122" s="2" t="e">
        <f>IF(Table13[[#This Row],[Gender]]="I",Table13[[#This Row],[Diameter]],NA())</f>
        <v>#N/A</v>
      </c>
    </row>
    <row r="123" spans="1:32" x14ac:dyDescent="0.2">
      <c r="A123">
        <v>3152</v>
      </c>
      <c r="B123" t="s">
        <v>0</v>
      </c>
      <c r="C123">
        <v>0.66500000000000004</v>
      </c>
      <c r="D123">
        <v>0.5</v>
      </c>
      <c r="E123">
        <v>0.17499999999999999</v>
      </c>
      <c r="F123">
        <v>1.742</v>
      </c>
      <c r="G123">
        <v>0.59499999999999997</v>
      </c>
      <c r="H123">
        <v>0.30249999999999999</v>
      </c>
      <c r="I123">
        <v>0.72499999999999998</v>
      </c>
      <c r="J123">
        <v>21</v>
      </c>
      <c r="K123">
        <v>13</v>
      </c>
      <c r="L123" t="s">
        <v>12</v>
      </c>
      <c r="M123" t="s">
        <v>13</v>
      </c>
      <c r="N123" t="s">
        <v>3</v>
      </c>
      <c r="O123">
        <v>1</v>
      </c>
      <c r="P123" t="s">
        <v>4</v>
      </c>
      <c r="Q123">
        <v>22.1</v>
      </c>
      <c r="R123" t="str" cm="1">
        <f t="array" ref="R1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23" t="e">
        <f>IF(Table13[[#This Row],[Category All]]="Category 1", "Yes",NA())</f>
        <v>#N/A</v>
      </c>
      <c r="T123" t="str">
        <f>IF(Table13[[#This Row],[Category All]]="Category 2", "Yes",NA())</f>
        <v>Yes</v>
      </c>
      <c r="U123" t="e">
        <f>IF(Table13[[#This Row],[Category All]]="Category 3", "Yes",NA())</f>
        <v>#N/A</v>
      </c>
      <c r="V123">
        <f>SUM(1,(1/3)*(Table13[[#This Row],[Length]]-0.5),(1/3)*(Table13[[#This Row],[Diameter]]-0.4),(1/3)*(Table13[[#This Row],[Height]]-0.4)*Table13[[#This Row],[Whole_weight]]*0.5)</f>
        <v>1.0230083333333333</v>
      </c>
      <c r="W123" cm="1">
        <f t="array" ref="W1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0.81840666666666673</v>
      </c>
      <c r="X123" t="e">
        <f>IF(Table13[[#This Row],[Category All]]="Category 1",Table13[[#This Row],[Base Abalone Value]]*1.5,NA())</f>
        <v>#N/A</v>
      </c>
      <c r="Y123">
        <f>IF(Table13[[#This Row],[Category All]]="Category 2",Table13[[#This Row],[Base Abalone Value]]*0.8,NA())</f>
        <v>0.81840666666666673</v>
      </c>
      <c r="Z123" t="e">
        <f>IF(Table13[[#This Row],[Category All]]="Category 3",Table13[[#This Row],[Base Abalone Value]],NA())</f>
        <v>#N/A</v>
      </c>
      <c r="AA123" s="2" t="e">
        <f>IF(Table13[[#This Row],[Gender]]="M",Table13[[#This Row],[Whole_weight]],NA())</f>
        <v>#N/A</v>
      </c>
      <c r="AB123" s="2">
        <f>IF(Table13[[#This Row],[Gender]]="F",Table13[[#This Row],[Whole_weight]],NA())</f>
        <v>1.742</v>
      </c>
      <c r="AC123" s="2" t="e">
        <f>IF(Table13[[#This Row],[Gender]]="I",Table13[[#This Row],[Whole_weight]],NA())</f>
        <v>#N/A</v>
      </c>
      <c r="AD123" s="2" t="e">
        <f>IF(Table13[[#This Row],[Gender]]="M",Table13[[#This Row],[Diameter]],NA())</f>
        <v>#N/A</v>
      </c>
      <c r="AE123" s="2">
        <f>IF(Table13[[#This Row],[Gender]]="F",Table13[[#This Row],[Diameter]],NA())</f>
        <v>0.5</v>
      </c>
      <c r="AF123" s="2" t="e">
        <f>IF(Table13[[#This Row],[Gender]]="I",Table13[[#This Row],[Diameter]],NA())</f>
        <v>#N/A</v>
      </c>
    </row>
    <row r="124" spans="1:32" x14ac:dyDescent="0.2">
      <c r="A124">
        <v>210</v>
      </c>
      <c r="B124" t="s">
        <v>11</v>
      </c>
      <c r="C124">
        <v>0.37</v>
      </c>
      <c r="D124">
        <v>0.28000000000000003</v>
      </c>
      <c r="E124">
        <v>9.5000000000000001E-2</v>
      </c>
      <c r="F124">
        <v>0.26550000000000001</v>
      </c>
      <c r="G124">
        <v>0.122</v>
      </c>
      <c r="H124">
        <v>5.1999999999999998E-2</v>
      </c>
      <c r="I124">
        <v>0.08</v>
      </c>
      <c r="J124">
        <v>7</v>
      </c>
      <c r="K124">
        <v>3</v>
      </c>
      <c r="L124" t="s">
        <v>43</v>
      </c>
      <c r="M124" t="s">
        <v>44</v>
      </c>
      <c r="N124" t="s">
        <v>45</v>
      </c>
      <c r="O124">
        <v>7</v>
      </c>
      <c r="P124" t="s">
        <v>42</v>
      </c>
      <c r="Q124">
        <v>2.5</v>
      </c>
      <c r="R124" t="str" cm="1">
        <f t="array" ref="R1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24" t="e">
        <f>IF(Table13[[#This Row],[Category All]]="Category 1", "Yes",NA())</f>
        <v>#N/A</v>
      </c>
      <c r="T124" t="str">
        <f>IF(Table13[[#This Row],[Category All]]="Category 2", "Yes",NA())</f>
        <v>Yes</v>
      </c>
      <c r="U124" t="e">
        <f>IF(Table13[[#This Row],[Category All]]="Category 3", "Yes",NA())</f>
        <v>#N/A</v>
      </c>
      <c r="V124">
        <f>SUM(1,(1/3)*(Table13[[#This Row],[Length]]-0.5),(1/3)*(Table13[[#This Row],[Diameter]]-0.4),(1/3)*(Table13[[#This Row],[Height]]-0.4)*Table13[[#This Row],[Whole_weight]]*0.5)</f>
        <v>0.90317041666666664</v>
      </c>
      <c r="W124" cm="1">
        <f t="array" ref="W1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0.72253633333333334</v>
      </c>
      <c r="X124" t="e">
        <f>IF(Table13[[#This Row],[Category All]]="Category 1",Table13[[#This Row],[Base Abalone Value]]*1.5,NA())</f>
        <v>#N/A</v>
      </c>
      <c r="Y124">
        <f>IF(Table13[[#This Row],[Category All]]="Category 2",Table13[[#This Row],[Base Abalone Value]]*0.8,NA())</f>
        <v>0.72253633333333334</v>
      </c>
      <c r="Z124" t="e">
        <f>IF(Table13[[#This Row],[Category All]]="Category 3",Table13[[#This Row],[Base Abalone Value]],NA())</f>
        <v>#N/A</v>
      </c>
      <c r="AA124" s="2" t="e">
        <f>IF(Table13[[#This Row],[Gender]]="M",Table13[[#This Row],[Whole_weight]],NA())</f>
        <v>#N/A</v>
      </c>
      <c r="AB124" s="2" t="e">
        <f>IF(Table13[[#This Row],[Gender]]="F",Table13[[#This Row],[Whole_weight]],NA())</f>
        <v>#N/A</v>
      </c>
      <c r="AC124" s="2">
        <f>IF(Table13[[#This Row],[Gender]]="I",Table13[[#This Row],[Whole_weight]],NA())</f>
        <v>0.26550000000000001</v>
      </c>
      <c r="AD124" s="2" t="e">
        <f>IF(Table13[[#This Row],[Gender]]="M",Table13[[#This Row],[Diameter]],NA())</f>
        <v>#N/A</v>
      </c>
      <c r="AE124" s="2" t="e">
        <f>IF(Table13[[#This Row],[Gender]]="F",Table13[[#This Row],[Diameter]],NA())</f>
        <v>#N/A</v>
      </c>
      <c r="AF124" s="2">
        <f>IF(Table13[[#This Row],[Gender]]="I",Table13[[#This Row],[Diameter]],NA())</f>
        <v>0.28000000000000003</v>
      </c>
    </row>
    <row r="125" spans="1:32" x14ac:dyDescent="0.2">
      <c r="A125">
        <v>1314</v>
      </c>
      <c r="B125" t="s">
        <v>15</v>
      </c>
      <c r="C125">
        <v>0.55000000000000004</v>
      </c>
      <c r="D125">
        <v>0.43</v>
      </c>
      <c r="E125">
        <v>0.15</v>
      </c>
      <c r="F125">
        <v>0.87450000000000006</v>
      </c>
      <c r="G125">
        <v>0.41299999999999998</v>
      </c>
      <c r="H125">
        <v>0.1905</v>
      </c>
      <c r="I125">
        <v>0.248</v>
      </c>
      <c r="J125">
        <v>9</v>
      </c>
      <c r="K125">
        <v>14</v>
      </c>
      <c r="L125" t="s">
        <v>23</v>
      </c>
      <c r="M125" t="s">
        <v>24</v>
      </c>
      <c r="N125" t="s">
        <v>25</v>
      </c>
      <c r="O125">
        <v>9</v>
      </c>
      <c r="P125" t="s">
        <v>46</v>
      </c>
      <c r="Q125">
        <v>1.9</v>
      </c>
      <c r="R125" t="str" cm="1">
        <f t="array" ref="R1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25" t="e">
        <f>IF(Table13[[#This Row],[Category All]]="Category 1", "Yes",NA())</f>
        <v>#N/A</v>
      </c>
      <c r="T125" t="e">
        <f>IF(Table13[[#This Row],[Category All]]="Category 2", "Yes",NA())</f>
        <v>#N/A</v>
      </c>
      <c r="U125" t="str">
        <f>IF(Table13[[#This Row],[Category All]]="Category 3", "Yes",NA())</f>
        <v>Yes</v>
      </c>
      <c r="V125">
        <f>SUM(1,(1/3)*(Table13[[#This Row],[Length]]-0.5),(1/3)*(Table13[[#This Row],[Diameter]]-0.4),(1/3)*(Table13[[#This Row],[Height]]-0.4)*Table13[[#This Row],[Whole_weight]]*0.5)</f>
        <v>0.9902291666666666</v>
      </c>
      <c r="W125" cm="1">
        <f t="array" ref="W1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0.9902291666666666</v>
      </c>
      <c r="X125" t="e">
        <f>IF(Table13[[#This Row],[Category All]]="Category 1",Table13[[#This Row],[Base Abalone Value]]*1.5,NA())</f>
        <v>#N/A</v>
      </c>
      <c r="Y125" t="e">
        <f>IF(Table13[[#This Row],[Category All]]="Category 2",Table13[[#This Row],[Base Abalone Value]]*0.8,NA())</f>
        <v>#N/A</v>
      </c>
      <c r="Z125">
        <f>IF(Table13[[#This Row],[Category All]]="Category 3",Table13[[#This Row],[Base Abalone Value]],NA())</f>
        <v>0.9902291666666666</v>
      </c>
      <c r="AA125" s="2">
        <f>IF(Table13[[#This Row],[Gender]]="M",Table13[[#This Row],[Whole_weight]],NA())</f>
        <v>0.87450000000000006</v>
      </c>
      <c r="AB125" s="2" t="e">
        <f>IF(Table13[[#This Row],[Gender]]="F",Table13[[#This Row],[Whole_weight]],NA())</f>
        <v>#N/A</v>
      </c>
      <c r="AC125" s="2" t="e">
        <f>IF(Table13[[#This Row],[Gender]]="I",Table13[[#This Row],[Whole_weight]],NA())</f>
        <v>#N/A</v>
      </c>
      <c r="AD125" s="2">
        <f>IF(Table13[[#This Row],[Gender]]="M",Table13[[#This Row],[Diameter]],NA())</f>
        <v>0.43</v>
      </c>
      <c r="AE125" s="2" t="e">
        <f>IF(Table13[[#This Row],[Gender]]="F",Table13[[#This Row],[Diameter]],NA())</f>
        <v>#N/A</v>
      </c>
      <c r="AF125" s="2" t="e">
        <f>IF(Table13[[#This Row],[Gender]]="I",Table13[[#This Row],[Diameter]],NA())</f>
        <v>#N/A</v>
      </c>
    </row>
    <row r="126" spans="1:32" x14ac:dyDescent="0.2">
      <c r="A126">
        <v>1366</v>
      </c>
      <c r="B126" t="s">
        <v>15</v>
      </c>
      <c r="C126">
        <v>0.61</v>
      </c>
      <c r="D126">
        <v>0.47499999999999998</v>
      </c>
      <c r="E126">
        <v>0.17</v>
      </c>
      <c r="F126">
        <v>1.0265</v>
      </c>
      <c r="G126">
        <v>0.435</v>
      </c>
      <c r="H126">
        <v>0.23350000000000001</v>
      </c>
      <c r="I126">
        <v>0.30349999999999999</v>
      </c>
      <c r="J126">
        <v>10</v>
      </c>
      <c r="K126">
        <v>14</v>
      </c>
      <c r="L126" t="s">
        <v>23</v>
      </c>
      <c r="M126" t="s">
        <v>24</v>
      </c>
      <c r="N126" t="s">
        <v>25</v>
      </c>
      <c r="O126">
        <v>5</v>
      </c>
      <c r="P126" t="s">
        <v>14</v>
      </c>
      <c r="Q126">
        <v>12.8</v>
      </c>
      <c r="R126" t="str" cm="1">
        <f t="array" ref="R1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26" t="e">
        <f>IF(Table13[[#This Row],[Category All]]="Category 1", "Yes",NA())</f>
        <v>#N/A</v>
      </c>
      <c r="T126" t="e">
        <f>IF(Table13[[#This Row],[Category All]]="Category 2", "Yes",NA())</f>
        <v>#N/A</v>
      </c>
      <c r="U126" t="str">
        <f>IF(Table13[[#This Row],[Category All]]="Category 3", "Yes",NA())</f>
        <v>Yes</v>
      </c>
      <c r="V126">
        <f>SUM(1,(1/3)*(Table13[[#This Row],[Length]]-0.5),(1/3)*(Table13[[#This Row],[Diameter]]-0.4),(1/3)*(Table13[[#This Row],[Height]]-0.4)*Table13[[#This Row],[Whole_weight]]*0.5)</f>
        <v>1.0223174999999998</v>
      </c>
      <c r="W126" cm="1">
        <f t="array" ref="W1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1.0223174999999998</v>
      </c>
      <c r="X126" t="e">
        <f>IF(Table13[[#This Row],[Category All]]="Category 1",Table13[[#This Row],[Base Abalone Value]]*1.5,NA())</f>
        <v>#N/A</v>
      </c>
      <c r="Y126" t="e">
        <f>IF(Table13[[#This Row],[Category All]]="Category 2",Table13[[#This Row],[Base Abalone Value]]*0.8,NA())</f>
        <v>#N/A</v>
      </c>
      <c r="Z126">
        <f>IF(Table13[[#This Row],[Category All]]="Category 3",Table13[[#This Row],[Base Abalone Value]],NA())</f>
        <v>1.0223174999999998</v>
      </c>
      <c r="AA126" s="2">
        <f>IF(Table13[[#This Row],[Gender]]="M",Table13[[#This Row],[Whole_weight]],NA())</f>
        <v>1.0265</v>
      </c>
      <c r="AB126" s="2" t="e">
        <f>IF(Table13[[#This Row],[Gender]]="F",Table13[[#This Row],[Whole_weight]],NA())</f>
        <v>#N/A</v>
      </c>
      <c r="AC126" s="2" t="e">
        <f>IF(Table13[[#This Row],[Gender]]="I",Table13[[#This Row],[Whole_weight]],NA())</f>
        <v>#N/A</v>
      </c>
      <c r="AD126" s="2">
        <f>IF(Table13[[#This Row],[Gender]]="M",Table13[[#This Row],[Diameter]],NA())</f>
        <v>0.47499999999999998</v>
      </c>
      <c r="AE126" s="2" t="e">
        <f>IF(Table13[[#This Row],[Gender]]="F",Table13[[#This Row],[Diameter]],NA())</f>
        <v>#N/A</v>
      </c>
      <c r="AF126" s="2" t="e">
        <f>IF(Table13[[#This Row],[Gender]]="I",Table13[[#This Row],[Diameter]],NA())</f>
        <v>#N/A</v>
      </c>
    </row>
    <row r="127" spans="1:32" x14ac:dyDescent="0.2">
      <c r="A127">
        <v>1784</v>
      </c>
      <c r="B127" t="s">
        <v>15</v>
      </c>
      <c r="C127">
        <v>0.52500000000000002</v>
      </c>
      <c r="D127">
        <v>0.38</v>
      </c>
      <c r="E127">
        <v>0.125</v>
      </c>
      <c r="F127">
        <v>0.65</v>
      </c>
      <c r="G127">
        <v>0.30299999999999999</v>
      </c>
      <c r="H127">
        <v>0.155</v>
      </c>
      <c r="I127">
        <v>0.159</v>
      </c>
      <c r="J127">
        <v>7</v>
      </c>
      <c r="K127">
        <v>12</v>
      </c>
      <c r="L127" t="s">
        <v>1</v>
      </c>
      <c r="M127" t="s">
        <v>2</v>
      </c>
      <c r="N127" t="s">
        <v>3</v>
      </c>
      <c r="O127">
        <v>3</v>
      </c>
      <c r="P127" t="s">
        <v>48</v>
      </c>
      <c r="Q127">
        <v>3.6</v>
      </c>
      <c r="R127" t="str" cm="1">
        <f t="array" ref="R1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27" t="e">
        <f>IF(Table13[[#This Row],[Category All]]="Category 1", "Yes",NA())</f>
        <v>#N/A</v>
      </c>
      <c r="T127" t="str">
        <f>IF(Table13[[#This Row],[Category All]]="Category 2", "Yes",NA())</f>
        <v>Yes</v>
      </c>
      <c r="U127" t="e">
        <f>IF(Table13[[#This Row],[Category All]]="Category 3", "Yes",NA())</f>
        <v>#N/A</v>
      </c>
      <c r="V127">
        <f>SUM(1,(1/3)*(Table13[[#This Row],[Length]]-0.5),(1/3)*(Table13[[#This Row],[Diameter]]-0.4),(1/3)*(Table13[[#This Row],[Height]]-0.4)*Table13[[#This Row],[Whole_weight]]*0.5)</f>
        <v>0.97187500000000004</v>
      </c>
      <c r="W127" cm="1">
        <f t="array" ref="W1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0.77750000000000008</v>
      </c>
      <c r="X127" t="e">
        <f>IF(Table13[[#This Row],[Category All]]="Category 1",Table13[[#This Row],[Base Abalone Value]]*1.5,NA())</f>
        <v>#N/A</v>
      </c>
      <c r="Y127">
        <f>IF(Table13[[#This Row],[Category All]]="Category 2",Table13[[#This Row],[Base Abalone Value]]*0.8,NA())</f>
        <v>0.77750000000000008</v>
      </c>
      <c r="Z127" t="e">
        <f>IF(Table13[[#This Row],[Category All]]="Category 3",Table13[[#This Row],[Base Abalone Value]],NA())</f>
        <v>#N/A</v>
      </c>
      <c r="AA127" s="2">
        <f>IF(Table13[[#This Row],[Gender]]="M",Table13[[#This Row],[Whole_weight]],NA())</f>
        <v>0.65</v>
      </c>
      <c r="AB127" s="2" t="e">
        <f>IF(Table13[[#This Row],[Gender]]="F",Table13[[#This Row],[Whole_weight]],NA())</f>
        <v>#N/A</v>
      </c>
      <c r="AC127" s="2" t="e">
        <f>IF(Table13[[#This Row],[Gender]]="I",Table13[[#This Row],[Whole_weight]],NA())</f>
        <v>#N/A</v>
      </c>
      <c r="AD127" s="2">
        <f>IF(Table13[[#This Row],[Gender]]="M",Table13[[#This Row],[Diameter]],NA())</f>
        <v>0.38</v>
      </c>
      <c r="AE127" s="2" t="e">
        <f>IF(Table13[[#This Row],[Gender]]="F",Table13[[#This Row],[Diameter]],NA())</f>
        <v>#N/A</v>
      </c>
      <c r="AF127" s="2" t="e">
        <f>IF(Table13[[#This Row],[Gender]]="I",Table13[[#This Row],[Diameter]],NA())</f>
        <v>#N/A</v>
      </c>
    </row>
    <row r="128" spans="1:32" x14ac:dyDescent="0.2">
      <c r="A128">
        <v>1030</v>
      </c>
      <c r="B128" t="s">
        <v>0</v>
      </c>
      <c r="C128">
        <v>0.64500000000000002</v>
      </c>
      <c r="D128">
        <v>0.5</v>
      </c>
      <c r="E128">
        <v>0.16</v>
      </c>
      <c r="F128">
        <v>1.2464999999999999</v>
      </c>
      <c r="G128">
        <v>0.54749999999999999</v>
      </c>
      <c r="H128">
        <v>0.32700000000000001</v>
      </c>
      <c r="I128">
        <v>0.3</v>
      </c>
      <c r="J128">
        <v>10</v>
      </c>
      <c r="K128">
        <v>14</v>
      </c>
      <c r="L128" t="s">
        <v>23</v>
      </c>
      <c r="M128" t="s">
        <v>24</v>
      </c>
      <c r="N128" t="s">
        <v>25</v>
      </c>
      <c r="O128">
        <v>6</v>
      </c>
      <c r="P128" t="s">
        <v>47</v>
      </c>
      <c r="Q128">
        <v>14.1</v>
      </c>
      <c r="R128" t="str" cm="1">
        <f t="array" ref="R1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28" t="e">
        <f>IF(Table13[[#This Row],[Category All]]="Category 1", "Yes",NA())</f>
        <v>#N/A</v>
      </c>
      <c r="T128" t="e">
        <f>IF(Table13[[#This Row],[Category All]]="Category 2", "Yes",NA())</f>
        <v>#N/A</v>
      </c>
      <c r="U128" t="str">
        <f>IF(Table13[[#This Row],[Category All]]="Category 3", "Yes",NA())</f>
        <v>Yes</v>
      </c>
      <c r="V128">
        <f>SUM(1,(1/3)*(Table13[[#This Row],[Length]]-0.5),(1/3)*(Table13[[#This Row],[Diameter]]-0.4),(1/3)*(Table13[[#This Row],[Height]]-0.4)*Table13[[#This Row],[Whole_weight]]*0.5)</f>
        <v>1.0318066666666665</v>
      </c>
      <c r="W128" cm="1">
        <f t="array" ref="W1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1.0318066666666665</v>
      </c>
      <c r="X128" t="e">
        <f>IF(Table13[[#This Row],[Category All]]="Category 1",Table13[[#This Row],[Base Abalone Value]]*1.5,NA())</f>
        <v>#N/A</v>
      </c>
      <c r="Y128" t="e">
        <f>IF(Table13[[#This Row],[Category All]]="Category 2",Table13[[#This Row],[Base Abalone Value]]*0.8,NA())</f>
        <v>#N/A</v>
      </c>
      <c r="Z128">
        <f>IF(Table13[[#This Row],[Category All]]="Category 3",Table13[[#This Row],[Base Abalone Value]],NA())</f>
        <v>1.0318066666666665</v>
      </c>
      <c r="AA128" s="2" t="e">
        <f>IF(Table13[[#This Row],[Gender]]="M",Table13[[#This Row],[Whole_weight]],NA())</f>
        <v>#N/A</v>
      </c>
      <c r="AB128" s="2">
        <f>IF(Table13[[#This Row],[Gender]]="F",Table13[[#This Row],[Whole_weight]],NA())</f>
        <v>1.2464999999999999</v>
      </c>
      <c r="AC128" s="2" t="e">
        <f>IF(Table13[[#This Row],[Gender]]="I",Table13[[#This Row],[Whole_weight]],NA())</f>
        <v>#N/A</v>
      </c>
      <c r="AD128" s="2" t="e">
        <f>IF(Table13[[#This Row],[Gender]]="M",Table13[[#This Row],[Diameter]],NA())</f>
        <v>#N/A</v>
      </c>
      <c r="AE128" s="2">
        <f>IF(Table13[[#This Row],[Gender]]="F",Table13[[#This Row],[Diameter]],NA())</f>
        <v>0.5</v>
      </c>
      <c r="AF128" s="2" t="e">
        <f>IF(Table13[[#This Row],[Gender]]="I",Table13[[#This Row],[Diameter]],NA())</f>
        <v>#N/A</v>
      </c>
    </row>
    <row r="129" spans="1:32" x14ac:dyDescent="0.2">
      <c r="A129">
        <v>2658</v>
      </c>
      <c r="B129" t="s">
        <v>0</v>
      </c>
      <c r="C129">
        <v>0.54500000000000004</v>
      </c>
      <c r="D129">
        <v>0.4</v>
      </c>
      <c r="E129">
        <v>0.14000000000000001</v>
      </c>
      <c r="F129">
        <v>0.77800000000000002</v>
      </c>
      <c r="G129">
        <v>0.36799999999999999</v>
      </c>
      <c r="H129">
        <v>0.215</v>
      </c>
      <c r="I129">
        <v>0.18</v>
      </c>
      <c r="J129">
        <v>9</v>
      </c>
      <c r="K129">
        <v>1</v>
      </c>
      <c r="L129" t="s">
        <v>8</v>
      </c>
      <c r="M129" t="s">
        <v>9</v>
      </c>
      <c r="N129" t="s">
        <v>3</v>
      </c>
      <c r="O129">
        <v>5</v>
      </c>
      <c r="P129" t="s">
        <v>14</v>
      </c>
      <c r="Q129">
        <v>12.8</v>
      </c>
      <c r="R129" t="str" cm="1">
        <f t="array" ref="R1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29" t="e">
        <f>IF(Table13[[#This Row],[Category All]]="Category 1", "Yes",NA())</f>
        <v>#N/A</v>
      </c>
      <c r="T129" t="str">
        <f>IF(Table13[[#This Row],[Category All]]="Category 2", "Yes",NA())</f>
        <v>Yes</v>
      </c>
      <c r="U129" t="e">
        <f>IF(Table13[[#This Row],[Category All]]="Category 3", "Yes",NA())</f>
        <v>#N/A</v>
      </c>
      <c r="V129">
        <f>SUM(1,(1/3)*(Table13[[#This Row],[Length]]-0.5),(1/3)*(Table13[[#This Row],[Diameter]]-0.4),(1/3)*(Table13[[#This Row],[Height]]-0.4)*Table13[[#This Row],[Whole_weight]]*0.5)</f>
        <v>0.98128666666666675</v>
      </c>
      <c r="W129" cm="1">
        <f t="array" ref="W1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0.78502933333333347</v>
      </c>
      <c r="X129" t="e">
        <f>IF(Table13[[#This Row],[Category All]]="Category 1",Table13[[#This Row],[Base Abalone Value]]*1.5,NA())</f>
        <v>#N/A</v>
      </c>
      <c r="Y129">
        <f>IF(Table13[[#This Row],[Category All]]="Category 2",Table13[[#This Row],[Base Abalone Value]]*0.8,NA())</f>
        <v>0.78502933333333347</v>
      </c>
      <c r="Z129" t="e">
        <f>IF(Table13[[#This Row],[Category All]]="Category 3",Table13[[#This Row],[Base Abalone Value]],NA())</f>
        <v>#N/A</v>
      </c>
      <c r="AA129" s="2" t="e">
        <f>IF(Table13[[#This Row],[Gender]]="M",Table13[[#This Row],[Whole_weight]],NA())</f>
        <v>#N/A</v>
      </c>
      <c r="AB129" s="2">
        <f>IF(Table13[[#This Row],[Gender]]="F",Table13[[#This Row],[Whole_weight]],NA())</f>
        <v>0.77800000000000002</v>
      </c>
      <c r="AC129" s="2" t="e">
        <f>IF(Table13[[#This Row],[Gender]]="I",Table13[[#This Row],[Whole_weight]],NA())</f>
        <v>#N/A</v>
      </c>
      <c r="AD129" s="2" t="e">
        <f>IF(Table13[[#This Row],[Gender]]="M",Table13[[#This Row],[Diameter]],NA())</f>
        <v>#N/A</v>
      </c>
      <c r="AE129" s="2">
        <f>IF(Table13[[#This Row],[Gender]]="F",Table13[[#This Row],[Diameter]],NA())</f>
        <v>0.4</v>
      </c>
      <c r="AF129" s="2" t="e">
        <f>IF(Table13[[#This Row],[Gender]]="I",Table13[[#This Row],[Diameter]],NA())</f>
        <v>#N/A</v>
      </c>
    </row>
    <row r="130" spans="1:32" x14ac:dyDescent="0.2">
      <c r="A130">
        <v>2242</v>
      </c>
      <c r="B130" t="s">
        <v>0</v>
      </c>
      <c r="C130">
        <v>0.435</v>
      </c>
      <c r="D130">
        <v>0.32</v>
      </c>
      <c r="E130">
        <v>0.12</v>
      </c>
      <c r="F130">
        <v>0.3785</v>
      </c>
      <c r="G130">
        <v>0.152</v>
      </c>
      <c r="H130">
        <v>9.1499999999999998E-2</v>
      </c>
      <c r="I130">
        <v>0.125</v>
      </c>
      <c r="J130">
        <v>11</v>
      </c>
      <c r="K130">
        <v>10</v>
      </c>
      <c r="L130" t="s">
        <v>16</v>
      </c>
      <c r="M130" t="s">
        <v>17</v>
      </c>
      <c r="N130" t="s">
        <v>18</v>
      </c>
      <c r="O130">
        <v>6</v>
      </c>
      <c r="P130" t="s">
        <v>47</v>
      </c>
      <c r="Q130">
        <v>14.1</v>
      </c>
      <c r="R130" t="str" cm="1">
        <f t="array" ref="R1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30" t="e">
        <f>IF(Table13[[#This Row],[Category All]]="Category 1", "Yes",NA())</f>
        <v>#N/A</v>
      </c>
      <c r="T130" t="str">
        <f>IF(Table13[[#This Row],[Category All]]="Category 2", "Yes",NA())</f>
        <v>Yes</v>
      </c>
      <c r="U130" t="e">
        <f>IF(Table13[[#This Row],[Category All]]="Category 3", "Yes",NA())</f>
        <v>#N/A</v>
      </c>
      <c r="V130">
        <f>SUM(1,(1/3)*(Table13[[#This Row],[Length]]-0.5),(1/3)*(Table13[[#This Row],[Diameter]]-0.4),(1/3)*(Table13[[#This Row],[Height]]-0.4)*Table13[[#This Row],[Whole_weight]]*0.5)</f>
        <v>0.9340033333333333</v>
      </c>
      <c r="W130" cm="1">
        <f t="array" ref="W1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0.74720266666666668</v>
      </c>
      <c r="X130" t="e">
        <f>IF(Table13[[#This Row],[Category All]]="Category 1",Table13[[#This Row],[Base Abalone Value]]*1.5,NA())</f>
        <v>#N/A</v>
      </c>
      <c r="Y130">
        <f>IF(Table13[[#This Row],[Category All]]="Category 2",Table13[[#This Row],[Base Abalone Value]]*0.8,NA())</f>
        <v>0.74720266666666668</v>
      </c>
      <c r="Z130" t="e">
        <f>IF(Table13[[#This Row],[Category All]]="Category 3",Table13[[#This Row],[Base Abalone Value]],NA())</f>
        <v>#N/A</v>
      </c>
      <c r="AA130" s="2" t="e">
        <f>IF(Table13[[#This Row],[Gender]]="M",Table13[[#This Row],[Whole_weight]],NA())</f>
        <v>#N/A</v>
      </c>
      <c r="AB130" s="2">
        <f>IF(Table13[[#This Row],[Gender]]="F",Table13[[#This Row],[Whole_weight]],NA())</f>
        <v>0.3785</v>
      </c>
      <c r="AC130" s="2" t="e">
        <f>IF(Table13[[#This Row],[Gender]]="I",Table13[[#This Row],[Whole_weight]],NA())</f>
        <v>#N/A</v>
      </c>
      <c r="AD130" s="2" t="e">
        <f>IF(Table13[[#This Row],[Gender]]="M",Table13[[#This Row],[Diameter]],NA())</f>
        <v>#N/A</v>
      </c>
      <c r="AE130" s="2">
        <f>IF(Table13[[#This Row],[Gender]]="F",Table13[[#This Row],[Diameter]],NA())</f>
        <v>0.32</v>
      </c>
      <c r="AF130" s="2" t="e">
        <f>IF(Table13[[#This Row],[Gender]]="I",Table13[[#This Row],[Diameter]],NA())</f>
        <v>#N/A</v>
      </c>
    </row>
    <row r="131" spans="1:32" x14ac:dyDescent="0.2">
      <c r="A131">
        <v>184</v>
      </c>
      <c r="B131" t="s">
        <v>0</v>
      </c>
      <c r="C131">
        <v>0.62</v>
      </c>
      <c r="D131">
        <v>0.47499999999999998</v>
      </c>
      <c r="E131">
        <v>0.17499999999999999</v>
      </c>
      <c r="F131">
        <v>1.0165</v>
      </c>
      <c r="G131">
        <v>0.4355</v>
      </c>
      <c r="H131">
        <v>0.214</v>
      </c>
      <c r="I131">
        <v>0.32500000000000001</v>
      </c>
      <c r="J131">
        <v>10</v>
      </c>
      <c r="K131">
        <v>3</v>
      </c>
      <c r="L131" t="s">
        <v>43</v>
      </c>
      <c r="M131" t="s">
        <v>44</v>
      </c>
      <c r="N131" t="s">
        <v>45</v>
      </c>
      <c r="O131">
        <v>4</v>
      </c>
      <c r="P131" t="s">
        <v>10</v>
      </c>
      <c r="Q131">
        <v>6.1</v>
      </c>
      <c r="R131" t="str" cm="1">
        <f t="array" ref="R1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31" t="e">
        <f>IF(Table13[[#This Row],[Category All]]="Category 1", "Yes",NA())</f>
        <v>#N/A</v>
      </c>
      <c r="T131" t="e">
        <f>IF(Table13[[#This Row],[Category All]]="Category 2", "Yes",NA())</f>
        <v>#N/A</v>
      </c>
      <c r="U131" t="str">
        <f>IF(Table13[[#This Row],[Category All]]="Category 3", "Yes",NA())</f>
        <v>Yes</v>
      </c>
      <c r="V131">
        <f>SUM(1,(1/3)*(Table13[[#This Row],[Length]]-0.5),(1/3)*(Table13[[#This Row],[Diameter]]-0.4),(1/3)*(Table13[[#This Row],[Height]]-0.4)*Table13[[#This Row],[Whole_weight]]*0.5)</f>
        <v>1.02688125</v>
      </c>
      <c r="W131" cm="1">
        <f t="array" ref="W1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1.02688125</v>
      </c>
      <c r="X131" t="e">
        <f>IF(Table13[[#This Row],[Category All]]="Category 1",Table13[[#This Row],[Base Abalone Value]]*1.5,NA())</f>
        <v>#N/A</v>
      </c>
      <c r="Y131" t="e">
        <f>IF(Table13[[#This Row],[Category All]]="Category 2",Table13[[#This Row],[Base Abalone Value]]*0.8,NA())</f>
        <v>#N/A</v>
      </c>
      <c r="Z131">
        <f>IF(Table13[[#This Row],[Category All]]="Category 3",Table13[[#This Row],[Base Abalone Value]],NA())</f>
        <v>1.02688125</v>
      </c>
      <c r="AA131" s="2" t="e">
        <f>IF(Table13[[#This Row],[Gender]]="M",Table13[[#This Row],[Whole_weight]],NA())</f>
        <v>#N/A</v>
      </c>
      <c r="AB131" s="2">
        <f>IF(Table13[[#This Row],[Gender]]="F",Table13[[#This Row],[Whole_weight]],NA())</f>
        <v>1.0165</v>
      </c>
      <c r="AC131" s="2" t="e">
        <f>IF(Table13[[#This Row],[Gender]]="I",Table13[[#This Row],[Whole_weight]],NA())</f>
        <v>#N/A</v>
      </c>
      <c r="AD131" s="2" t="e">
        <f>IF(Table13[[#This Row],[Gender]]="M",Table13[[#This Row],[Diameter]],NA())</f>
        <v>#N/A</v>
      </c>
      <c r="AE131" s="2">
        <f>IF(Table13[[#This Row],[Gender]]="F",Table13[[#This Row],[Diameter]],NA())</f>
        <v>0.47499999999999998</v>
      </c>
      <c r="AF131" s="2" t="e">
        <f>IF(Table13[[#This Row],[Gender]]="I",Table13[[#This Row],[Diameter]],NA())</f>
        <v>#N/A</v>
      </c>
    </row>
    <row r="132" spans="1:32" x14ac:dyDescent="0.2">
      <c r="A132">
        <v>3333</v>
      </c>
      <c r="B132" t="s">
        <v>11</v>
      </c>
      <c r="C132">
        <v>0.44</v>
      </c>
      <c r="D132">
        <v>0.34</v>
      </c>
      <c r="E132">
        <v>0.125</v>
      </c>
      <c r="F132">
        <v>0.48949999999999999</v>
      </c>
      <c r="G132">
        <v>0.17349999999999999</v>
      </c>
      <c r="H132">
        <v>8.7499999999999994E-2</v>
      </c>
      <c r="I132">
        <v>0.2</v>
      </c>
      <c r="J132">
        <v>13</v>
      </c>
      <c r="K132">
        <v>15</v>
      </c>
      <c r="L132" t="s">
        <v>49</v>
      </c>
      <c r="M132" t="s">
        <v>50</v>
      </c>
      <c r="N132" t="s">
        <v>3</v>
      </c>
      <c r="O132">
        <v>2</v>
      </c>
      <c r="P132" t="s">
        <v>7</v>
      </c>
      <c r="Q132">
        <v>18</v>
      </c>
      <c r="R132" t="str" cm="1">
        <f t="array" ref="R1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32" t="e">
        <f>IF(Table13[[#This Row],[Category All]]="Category 1", "Yes",NA())</f>
        <v>#N/A</v>
      </c>
      <c r="T132" t="str">
        <f>IF(Table13[[#This Row],[Category All]]="Category 2", "Yes",NA())</f>
        <v>Yes</v>
      </c>
      <c r="U132" t="e">
        <f>IF(Table13[[#This Row],[Category All]]="Category 3", "Yes",NA())</f>
        <v>#N/A</v>
      </c>
      <c r="V132">
        <f>SUM(1,(1/3)*(Table13[[#This Row],[Length]]-0.5),(1/3)*(Table13[[#This Row],[Diameter]]-0.4),(1/3)*(Table13[[#This Row],[Height]]-0.4)*Table13[[#This Row],[Whole_weight]]*0.5)</f>
        <v>0.93756458333333326</v>
      </c>
      <c r="W132" cm="1">
        <f t="array" ref="W1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0.75005166666666667</v>
      </c>
      <c r="X132" t="e">
        <f>IF(Table13[[#This Row],[Category All]]="Category 1",Table13[[#This Row],[Base Abalone Value]]*1.5,NA())</f>
        <v>#N/A</v>
      </c>
      <c r="Y132">
        <f>IF(Table13[[#This Row],[Category All]]="Category 2",Table13[[#This Row],[Base Abalone Value]]*0.8,NA())</f>
        <v>0.75005166666666667</v>
      </c>
      <c r="Z132" t="e">
        <f>IF(Table13[[#This Row],[Category All]]="Category 3",Table13[[#This Row],[Base Abalone Value]],NA())</f>
        <v>#N/A</v>
      </c>
      <c r="AA132" s="2" t="e">
        <f>IF(Table13[[#This Row],[Gender]]="M",Table13[[#This Row],[Whole_weight]],NA())</f>
        <v>#N/A</v>
      </c>
      <c r="AB132" s="2" t="e">
        <f>IF(Table13[[#This Row],[Gender]]="F",Table13[[#This Row],[Whole_weight]],NA())</f>
        <v>#N/A</v>
      </c>
      <c r="AC132" s="2">
        <f>IF(Table13[[#This Row],[Gender]]="I",Table13[[#This Row],[Whole_weight]],NA())</f>
        <v>0.48949999999999999</v>
      </c>
      <c r="AD132" s="2" t="e">
        <f>IF(Table13[[#This Row],[Gender]]="M",Table13[[#This Row],[Diameter]],NA())</f>
        <v>#N/A</v>
      </c>
      <c r="AE132" s="2" t="e">
        <f>IF(Table13[[#This Row],[Gender]]="F",Table13[[#This Row],[Diameter]],NA())</f>
        <v>#N/A</v>
      </c>
      <c r="AF132" s="2">
        <f>IF(Table13[[#This Row],[Gender]]="I",Table13[[#This Row],[Diameter]],NA())</f>
        <v>0.34</v>
      </c>
    </row>
    <row r="133" spans="1:32" x14ac:dyDescent="0.2">
      <c r="A133">
        <v>1121</v>
      </c>
      <c r="B133" t="s">
        <v>15</v>
      </c>
      <c r="C133">
        <v>0.54500000000000004</v>
      </c>
      <c r="D133">
        <v>0.39</v>
      </c>
      <c r="E133">
        <v>0.13500000000000001</v>
      </c>
      <c r="F133">
        <v>0.78349999999999997</v>
      </c>
      <c r="G133">
        <v>0.42249999999999999</v>
      </c>
      <c r="H133">
        <v>0.18149999999999999</v>
      </c>
      <c r="I133">
        <v>0.156</v>
      </c>
      <c r="J133">
        <v>7</v>
      </c>
      <c r="K133">
        <v>10</v>
      </c>
      <c r="L133" t="s">
        <v>16</v>
      </c>
      <c r="M133" t="s">
        <v>17</v>
      </c>
      <c r="N133" t="s">
        <v>18</v>
      </c>
      <c r="O133">
        <v>8</v>
      </c>
      <c r="P133" t="s">
        <v>19</v>
      </c>
      <c r="Q133">
        <v>12.3</v>
      </c>
      <c r="R133" t="str" cm="1">
        <f t="array" ref="R1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33" t="e">
        <f>IF(Table13[[#This Row],[Category All]]="Category 1", "Yes",NA())</f>
        <v>#N/A</v>
      </c>
      <c r="T133" t="e">
        <f>IF(Table13[[#This Row],[Category All]]="Category 2", "Yes",NA())</f>
        <v>#N/A</v>
      </c>
      <c r="U133" t="str">
        <f>IF(Table13[[#This Row],[Category All]]="Category 3", "Yes",NA())</f>
        <v>Yes</v>
      </c>
      <c r="V133">
        <f>SUM(1,(1/3)*(Table13[[#This Row],[Length]]-0.5),(1/3)*(Table13[[#This Row],[Diameter]]-0.4),(1/3)*(Table13[[#This Row],[Height]]-0.4)*Table13[[#This Row],[Whole_weight]]*0.5)</f>
        <v>0.97706208333333333</v>
      </c>
      <c r="W133" cm="1">
        <f t="array" ref="W1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0.97706208333333333</v>
      </c>
      <c r="X133" t="e">
        <f>IF(Table13[[#This Row],[Category All]]="Category 1",Table13[[#This Row],[Base Abalone Value]]*1.5,NA())</f>
        <v>#N/A</v>
      </c>
      <c r="Y133" t="e">
        <f>IF(Table13[[#This Row],[Category All]]="Category 2",Table13[[#This Row],[Base Abalone Value]]*0.8,NA())</f>
        <v>#N/A</v>
      </c>
      <c r="Z133">
        <f>IF(Table13[[#This Row],[Category All]]="Category 3",Table13[[#This Row],[Base Abalone Value]],NA())</f>
        <v>0.97706208333333333</v>
      </c>
      <c r="AA133" s="2">
        <f>IF(Table13[[#This Row],[Gender]]="M",Table13[[#This Row],[Whole_weight]],NA())</f>
        <v>0.78349999999999997</v>
      </c>
      <c r="AB133" s="2" t="e">
        <f>IF(Table13[[#This Row],[Gender]]="F",Table13[[#This Row],[Whole_weight]],NA())</f>
        <v>#N/A</v>
      </c>
      <c r="AC133" s="2" t="e">
        <f>IF(Table13[[#This Row],[Gender]]="I",Table13[[#This Row],[Whole_weight]],NA())</f>
        <v>#N/A</v>
      </c>
      <c r="AD133" s="2">
        <f>IF(Table13[[#This Row],[Gender]]="M",Table13[[#This Row],[Diameter]],NA())</f>
        <v>0.39</v>
      </c>
      <c r="AE133" s="2" t="e">
        <f>IF(Table13[[#This Row],[Gender]]="F",Table13[[#This Row],[Diameter]],NA())</f>
        <v>#N/A</v>
      </c>
      <c r="AF133" s="2" t="e">
        <f>IF(Table13[[#This Row],[Gender]]="I",Table13[[#This Row],[Diameter]],NA())</f>
        <v>#N/A</v>
      </c>
    </row>
    <row r="134" spans="1:32" x14ac:dyDescent="0.2">
      <c r="A134">
        <v>3913</v>
      </c>
      <c r="B134" t="s">
        <v>11</v>
      </c>
      <c r="C134">
        <v>0.52</v>
      </c>
      <c r="D134">
        <v>0.40500000000000003</v>
      </c>
      <c r="E134">
        <v>0.14000000000000001</v>
      </c>
      <c r="F134">
        <v>0.67649999999999999</v>
      </c>
      <c r="G134">
        <v>0.28649999999999998</v>
      </c>
      <c r="H134">
        <v>0.14599999999999999</v>
      </c>
      <c r="I134">
        <v>0.20499999999999999</v>
      </c>
      <c r="J134">
        <v>15</v>
      </c>
      <c r="K134">
        <v>10</v>
      </c>
      <c r="L134" t="s">
        <v>16</v>
      </c>
      <c r="M134" t="s">
        <v>17</v>
      </c>
      <c r="N134" t="s">
        <v>18</v>
      </c>
      <c r="O134">
        <v>4</v>
      </c>
      <c r="P134" t="s">
        <v>10</v>
      </c>
      <c r="Q134">
        <v>6.1</v>
      </c>
      <c r="R134" t="str" cm="1">
        <f t="array" ref="R1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34" t="e">
        <f>IF(Table13[[#This Row],[Category All]]="Category 1", "Yes",NA())</f>
        <v>#N/A</v>
      </c>
      <c r="T134" t="str">
        <f>IF(Table13[[#This Row],[Category All]]="Category 2", "Yes",NA())</f>
        <v>Yes</v>
      </c>
      <c r="U134" t="e">
        <f>IF(Table13[[#This Row],[Category All]]="Category 3", "Yes",NA())</f>
        <v>#N/A</v>
      </c>
      <c r="V134">
        <f>SUM(1,(1/3)*(Table13[[#This Row],[Length]]-0.5),(1/3)*(Table13[[#This Row],[Diameter]]-0.4),(1/3)*(Table13[[#This Row],[Height]]-0.4)*Table13[[#This Row],[Whole_weight]]*0.5)</f>
        <v>0.97901833333333332</v>
      </c>
      <c r="W134" cm="1">
        <f t="array" ref="W1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0.78321466666666673</v>
      </c>
      <c r="X134" t="e">
        <f>IF(Table13[[#This Row],[Category All]]="Category 1",Table13[[#This Row],[Base Abalone Value]]*1.5,NA())</f>
        <v>#N/A</v>
      </c>
      <c r="Y134">
        <f>IF(Table13[[#This Row],[Category All]]="Category 2",Table13[[#This Row],[Base Abalone Value]]*0.8,NA())</f>
        <v>0.78321466666666673</v>
      </c>
      <c r="Z134" t="e">
        <f>IF(Table13[[#This Row],[Category All]]="Category 3",Table13[[#This Row],[Base Abalone Value]],NA())</f>
        <v>#N/A</v>
      </c>
      <c r="AA134" s="2" t="e">
        <f>IF(Table13[[#This Row],[Gender]]="M",Table13[[#This Row],[Whole_weight]],NA())</f>
        <v>#N/A</v>
      </c>
      <c r="AB134" s="2" t="e">
        <f>IF(Table13[[#This Row],[Gender]]="F",Table13[[#This Row],[Whole_weight]],NA())</f>
        <v>#N/A</v>
      </c>
      <c r="AC134" s="2">
        <f>IF(Table13[[#This Row],[Gender]]="I",Table13[[#This Row],[Whole_weight]],NA())</f>
        <v>0.67649999999999999</v>
      </c>
      <c r="AD134" s="2" t="e">
        <f>IF(Table13[[#This Row],[Gender]]="M",Table13[[#This Row],[Diameter]],NA())</f>
        <v>#N/A</v>
      </c>
      <c r="AE134" s="2" t="e">
        <f>IF(Table13[[#This Row],[Gender]]="F",Table13[[#This Row],[Diameter]],NA())</f>
        <v>#N/A</v>
      </c>
      <c r="AF134" s="2">
        <f>IF(Table13[[#This Row],[Gender]]="I",Table13[[#This Row],[Diameter]],NA())</f>
        <v>0.40500000000000003</v>
      </c>
    </row>
    <row r="135" spans="1:32" x14ac:dyDescent="0.2">
      <c r="A135">
        <v>3317</v>
      </c>
      <c r="B135" t="s">
        <v>15</v>
      </c>
      <c r="C135">
        <v>0.44</v>
      </c>
      <c r="D135">
        <v>0.35</v>
      </c>
      <c r="E135">
        <v>0.14000000000000001</v>
      </c>
      <c r="F135">
        <v>0.45100000000000001</v>
      </c>
      <c r="G135">
        <v>0.17100000000000001</v>
      </c>
      <c r="H135">
        <v>7.0499999999999993E-2</v>
      </c>
      <c r="I135">
        <v>0.184</v>
      </c>
      <c r="J135">
        <v>16</v>
      </c>
      <c r="K135">
        <v>1</v>
      </c>
      <c r="L135" t="s">
        <v>8</v>
      </c>
      <c r="M135" t="s">
        <v>9</v>
      </c>
      <c r="N135" t="s">
        <v>3</v>
      </c>
      <c r="O135">
        <v>4</v>
      </c>
      <c r="P135" t="s">
        <v>10</v>
      </c>
      <c r="Q135">
        <v>6.1</v>
      </c>
      <c r="R135" t="str" cm="1">
        <f t="array" ref="R1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35" t="e">
        <f>IF(Table13[[#This Row],[Category All]]="Category 1", "Yes",NA())</f>
        <v>#N/A</v>
      </c>
      <c r="T135" t="str">
        <f>IF(Table13[[#This Row],[Category All]]="Category 2", "Yes",NA())</f>
        <v>Yes</v>
      </c>
      <c r="U135" t="e">
        <f>IF(Table13[[#This Row],[Category All]]="Category 3", "Yes",NA())</f>
        <v>#N/A</v>
      </c>
      <c r="V135">
        <f>SUM(1,(1/3)*(Table13[[#This Row],[Length]]-0.5),(1/3)*(Table13[[#This Row],[Diameter]]-0.4),(1/3)*(Table13[[#This Row],[Height]]-0.4)*Table13[[#This Row],[Whole_weight]]*0.5)</f>
        <v>0.94378999999999991</v>
      </c>
      <c r="W135" cm="1">
        <f t="array" ref="W1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0.75503199999999993</v>
      </c>
      <c r="X135" t="e">
        <f>IF(Table13[[#This Row],[Category All]]="Category 1",Table13[[#This Row],[Base Abalone Value]]*1.5,NA())</f>
        <v>#N/A</v>
      </c>
      <c r="Y135">
        <f>IF(Table13[[#This Row],[Category All]]="Category 2",Table13[[#This Row],[Base Abalone Value]]*0.8,NA())</f>
        <v>0.75503199999999993</v>
      </c>
      <c r="Z135" t="e">
        <f>IF(Table13[[#This Row],[Category All]]="Category 3",Table13[[#This Row],[Base Abalone Value]],NA())</f>
        <v>#N/A</v>
      </c>
      <c r="AA135" s="2">
        <f>IF(Table13[[#This Row],[Gender]]="M",Table13[[#This Row],[Whole_weight]],NA())</f>
        <v>0.45100000000000001</v>
      </c>
      <c r="AB135" s="2" t="e">
        <f>IF(Table13[[#This Row],[Gender]]="F",Table13[[#This Row],[Whole_weight]],NA())</f>
        <v>#N/A</v>
      </c>
      <c r="AC135" s="2" t="e">
        <f>IF(Table13[[#This Row],[Gender]]="I",Table13[[#This Row],[Whole_weight]],NA())</f>
        <v>#N/A</v>
      </c>
      <c r="AD135" s="2">
        <f>IF(Table13[[#This Row],[Gender]]="M",Table13[[#This Row],[Diameter]],NA())</f>
        <v>0.35</v>
      </c>
      <c r="AE135" s="2" t="e">
        <f>IF(Table13[[#This Row],[Gender]]="F",Table13[[#This Row],[Diameter]],NA())</f>
        <v>#N/A</v>
      </c>
      <c r="AF135" s="2" t="e">
        <f>IF(Table13[[#This Row],[Gender]]="I",Table13[[#This Row],[Diameter]],NA())</f>
        <v>#N/A</v>
      </c>
    </row>
    <row r="136" spans="1:32" x14ac:dyDescent="0.2">
      <c r="A136">
        <v>2702</v>
      </c>
      <c r="B136" t="s">
        <v>0</v>
      </c>
      <c r="C136">
        <v>0.67500000000000004</v>
      </c>
      <c r="D136">
        <v>0.55000000000000004</v>
      </c>
      <c r="E136">
        <v>0.19</v>
      </c>
      <c r="F136">
        <v>1.5509999999999999</v>
      </c>
      <c r="G136">
        <v>0.71050000000000002</v>
      </c>
      <c r="H136">
        <v>0.36849999999999999</v>
      </c>
      <c r="I136">
        <v>0.41199999999999998</v>
      </c>
      <c r="J136">
        <v>13</v>
      </c>
      <c r="K136">
        <v>3</v>
      </c>
      <c r="L136" t="s">
        <v>43</v>
      </c>
      <c r="M136" t="s">
        <v>44</v>
      </c>
      <c r="N136" t="s">
        <v>45</v>
      </c>
      <c r="O136">
        <v>1</v>
      </c>
      <c r="P136" t="s">
        <v>4</v>
      </c>
      <c r="Q136">
        <v>22.1</v>
      </c>
      <c r="R136" t="str" cm="1">
        <f t="array" ref="R1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36" t="e">
        <f>IF(Table13[[#This Row],[Category All]]="Category 1", "Yes",NA())</f>
        <v>#N/A</v>
      </c>
      <c r="T136" t="e">
        <f>IF(Table13[[#This Row],[Category All]]="Category 2", "Yes",NA())</f>
        <v>#N/A</v>
      </c>
      <c r="U136" t="str">
        <f>IF(Table13[[#This Row],[Category All]]="Category 3", "Yes",NA())</f>
        <v>Yes</v>
      </c>
      <c r="V136">
        <f>SUM(1,(1/3)*(Table13[[#This Row],[Length]]-0.5),(1/3)*(Table13[[#This Row],[Diameter]]-0.4),(1/3)*(Table13[[#This Row],[Height]]-0.4)*Table13[[#This Row],[Whole_weight]]*0.5)</f>
        <v>1.0540483333333335</v>
      </c>
      <c r="W136" cm="1">
        <f t="array" ref="W1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1.0540483333333335</v>
      </c>
      <c r="X136" t="e">
        <f>IF(Table13[[#This Row],[Category All]]="Category 1",Table13[[#This Row],[Base Abalone Value]]*1.5,NA())</f>
        <v>#N/A</v>
      </c>
      <c r="Y136" t="e">
        <f>IF(Table13[[#This Row],[Category All]]="Category 2",Table13[[#This Row],[Base Abalone Value]]*0.8,NA())</f>
        <v>#N/A</v>
      </c>
      <c r="Z136">
        <f>IF(Table13[[#This Row],[Category All]]="Category 3",Table13[[#This Row],[Base Abalone Value]],NA())</f>
        <v>1.0540483333333335</v>
      </c>
      <c r="AA136" s="2" t="e">
        <f>IF(Table13[[#This Row],[Gender]]="M",Table13[[#This Row],[Whole_weight]],NA())</f>
        <v>#N/A</v>
      </c>
      <c r="AB136" s="2">
        <f>IF(Table13[[#This Row],[Gender]]="F",Table13[[#This Row],[Whole_weight]],NA())</f>
        <v>1.5509999999999999</v>
      </c>
      <c r="AC136" s="2" t="e">
        <f>IF(Table13[[#This Row],[Gender]]="I",Table13[[#This Row],[Whole_weight]],NA())</f>
        <v>#N/A</v>
      </c>
      <c r="AD136" s="2" t="e">
        <f>IF(Table13[[#This Row],[Gender]]="M",Table13[[#This Row],[Diameter]],NA())</f>
        <v>#N/A</v>
      </c>
      <c r="AE136" s="2">
        <f>IF(Table13[[#This Row],[Gender]]="F",Table13[[#This Row],[Diameter]],NA())</f>
        <v>0.55000000000000004</v>
      </c>
      <c r="AF136" s="2" t="e">
        <f>IF(Table13[[#This Row],[Gender]]="I",Table13[[#This Row],[Diameter]],NA())</f>
        <v>#N/A</v>
      </c>
    </row>
    <row r="137" spans="1:32" x14ac:dyDescent="0.2">
      <c r="A137">
        <v>3392</v>
      </c>
      <c r="B137" t="s">
        <v>15</v>
      </c>
      <c r="C137">
        <v>0.54500000000000004</v>
      </c>
      <c r="D137">
        <v>0.42</v>
      </c>
      <c r="E137">
        <v>0.125</v>
      </c>
      <c r="F137">
        <v>0.97450000000000003</v>
      </c>
      <c r="G137">
        <v>0.35299999999999998</v>
      </c>
      <c r="H137">
        <v>0.17399999999999999</v>
      </c>
      <c r="I137">
        <v>0.30499999999999999</v>
      </c>
      <c r="J137">
        <v>13</v>
      </c>
      <c r="K137">
        <v>5</v>
      </c>
      <c r="L137" t="s">
        <v>26</v>
      </c>
      <c r="M137" t="s">
        <v>27</v>
      </c>
      <c r="N137" t="s">
        <v>28</v>
      </c>
      <c r="O137">
        <v>9</v>
      </c>
      <c r="P137" t="s">
        <v>46</v>
      </c>
      <c r="Q137">
        <v>1.9</v>
      </c>
      <c r="R137" t="str" cm="1">
        <f t="array" ref="R1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37" t="e">
        <f>IF(Table13[[#This Row],[Category All]]="Category 1", "Yes",NA())</f>
        <v>#N/A</v>
      </c>
      <c r="T137" t="str">
        <f>IF(Table13[[#This Row],[Category All]]="Category 2", "Yes",NA())</f>
        <v>Yes</v>
      </c>
      <c r="U137" t="e">
        <f>IF(Table13[[#This Row],[Category All]]="Category 3", "Yes",NA())</f>
        <v>#N/A</v>
      </c>
      <c r="V137">
        <f>SUM(1,(1/3)*(Table13[[#This Row],[Length]]-0.5),(1/3)*(Table13[[#This Row],[Diameter]]-0.4),(1/3)*(Table13[[#This Row],[Height]]-0.4)*Table13[[#This Row],[Whole_weight]]*0.5)</f>
        <v>0.97700208333333338</v>
      </c>
      <c r="W137" cm="1">
        <f t="array" ref="W1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0.78160166666666675</v>
      </c>
      <c r="X137" t="e">
        <f>IF(Table13[[#This Row],[Category All]]="Category 1",Table13[[#This Row],[Base Abalone Value]]*1.5,NA())</f>
        <v>#N/A</v>
      </c>
      <c r="Y137">
        <f>IF(Table13[[#This Row],[Category All]]="Category 2",Table13[[#This Row],[Base Abalone Value]]*0.8,NA())</f>
        <v>0.78160166666666675</v>
      </c>
      <c r="Z137" t="e">
        <f>IF(Table13[[#This Row],[Category All]]="Category 3",Table13[[#This Row],[Base Abalone Value]],NA())</f>
        <v>#N/A</v>
      </c>
      <c r="AA137" s="2">
        <f>IF(Table13[[#This Row],[Gender]]="M",Table13[[#This Row],[Whole_weight]],NA())</f>
        <v>0.97450000000000003</v>
      </c>
      <c r="AB137" s="2" t="e">
        <f>IF(Table13[[#This Row],[Gender]]="F",Table13[[#This Row],[Whole_weight]],NA())</f>
        <v>#N/A</v>
      </c>
      <c r="AC137" s="2" t="e">
        <f>IF(Table13[[#This Row],[Gender]]="I",Table13[[#This Row],[Whole_weight]],NA())</f>
        <v>#N/A</v>
      </c>
      <c r="AD137" s="2">
        <f>IF(Table13[[#This Row],[Gender]]="M",Table13[[#This Row],[Diameter]],NA())</f>
        <v>0.42</v>
      </c>
      <c r="AE137" s="2" t="e">
        <f>IF(Table13[[#This Row],[Gender]]="F",Table13[[#This Row],[Diameter]],NA())</f>
        <v>#N/A</v>
      </c>
      <c r="AF137" s="2" t="e">
        <f>IF(Table13[[#This Row],[Gender]]="I",Table13[[#This Row],[Diameter]],NA())</f>
        <v>#N/A</v>
      </c>
    </row>
    <row r="138" spans="1:32" x14ac:dyDescent="0.2">
      <c r="A138">
        <v>2130</v>
      </c>
      <c r="B138" t="s">
        <v>15</v>
      </c>
      <c r="C138">
        <v>0.59499999999999997</v>
      </c>
      <c r="D138">
        <v>0.47</v>
      </c>
      <c r="E138">
        <v>0.15</v>
      </c>
      <c r="F138">
        <v>0.89149999999999996</v>
      </c>
      <c r="G138">
        <v>0.35899999999999999</v>
      </c>
      <c r="H138">
        <v>0.21049999999999999</v>
      </c>
      <c r="I138">
        <v>0.245</v>
      </c>
      <c r="J138">
        <v>12</v>
      </c>
      <c r="K138">
        <v>13</v>
      </c>
      <c r="L138" t="s">
        <v>12</v>
      </c>
      <c r="M138" t="s">
        <v>13</v>
      </c>
      <c r="N138" t="s">
        <v>3</v>
      </c>
      <c r="O138">
        <v>4</v>
      </c>
      <c r="P138" t="s">
        <v>10</v>
      </c>
      <c r="Q138">
        <v>6.1</v>
      </c>
      <c r="R138" t="str" cm="1">
        <f t="array" ref="R1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38" t="e">
        <f>IF(Table13[[#This Row],[Category All]]="Category 1", "Yes",NA())</f>
        <v>#N/A</v>
      </c>
      <c r="T138" t="str">
        <f>IF(Table13[[#This Row],[Category All]]="Category 2", "Yes",NA())</f>
        <v>Yes</v>
      </c>
      <c r="U138" t="e">
        <f>IF(Table13[[#This Row],[Category All]]="Category 3", "Yes",NA())</f>
        <v>#N/A</v>
      </c>
      <c r="V138">
        <f>SUM(1,(1/3)*(Table13[[#This Row],[Length]]-0.5),(1/3)*(Table13[[#This Row],[Diameter]]-0.4),(1/3)*(Table13[[#This Row],[Height]]-0.4)*Table13[[#This Row],[Whole_weight]]*0.5)</f>
        <v>1.0178541666666667</v>
      </c>
      <c r="W138" cm="1">
        <f t="array" ref="W1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0.81428333333333347</v>
      </c>
      <c r="X138" t="e">
        <f>IF(Table13[[#This Row],[Category All]]="Category 1",Table13[[#This Row],[Base Abalone Value]]*1.5,NA())</f>
        <v>#N/A</v>
      </c>
      <c r="Y138">
        <f>IF(Table13[[#This Row],[Category All]]="Category 2",Table13[[#This Row],[Base Abalone Value]]*0.8,NA())</f>
        <v>0.81428333333333347</v>
      </c>
      <c r="Z138" t="e">
        <f>IF(Table13[[#This Row],[Category All]]="Category 3",Table13[[#This Row],[Base Abalone Value]],NA())</f>
        <v>#N/A</v>
      </c>
      <c r="AA138" s="2">
        <f>IF(Table13[[#This Row],[Gender]]="M",Table13[[#This Row],[Whole_weight]],NA())</f>
        <v>0.89149999999999996</v>
      </c>
      <c r="AB138" s="2" t="e">
        <f>IF(Table13[[#This Row],[Gender]]="F",Table13[[#This Row],[Whole_weight]],NA())</f>
        <v>#N/A</v>
      </c>
      <c r="AC138" s="2" t="e">
        <f>IF(Table13[[#This Row],[Gender]]="I",Table13[[#This Row],[Whole_weight]],NA())</f>
        <v>#N/A</v>
      </c>
      <c r="AD138" s="2">
        <f>IF(Table13[[#This Row],[Gender]]="M",Table13[[#This Row],[Diameter]],NA())</f>
        <v>0.47</v>
      </c>
      <c r="AE138" s="2" t="e">
        <f>IF(Table13[[#This Row],[Gender]]="F",Table13[[#This Row],[Diameter]],NA())</f>
        <v>#N/A</v>
      </c>
      <c r="AF138" s="2" t="e">
        <f>IF(Table13[[#This Row],[Gender]]="I",Table13[[#This Row],[Diameter]],NA())</f>
        <v>#N/A</v>
      </c>
    </row>
    <row r="139" spans="1:32" x14ac:dyDescent="0.2">
      <c r="A139">
        <v>3179</v>
      </c>
      <c r="B139" t="s">
        <v>15</v>
      </c>
      <c r="C139">
        <v>0.38</v>
      </c>
      <c r="D139">
        <v>0.3</v>
      </c>
      <c r="E139">
        <v>0.1</v>
      </c>
      <c r="F139">
        <v>0.2505</v>
      </c>
      <c r="G139">
        <v>0.106</v>
      </c>
      <c r="H139">
        <v>5.3499999999999999E-2</v>
      </c>
      <c r="I139">
        <v>7.7499999999999999E-2</v>
      </c>
      <c r="J139">
        <v>8</v>
      </c>
      <c r="K139">
        <v>8</v>
      </c>
      <c r="L139" t="s">
        <v>29</v>
      </c>
      <c r="M139" t="s">
        <v>30</v>
      </c>
      <c r="N139" t="s">
        <v>31</v>
      </c>
      <c r="O139">
        <v>10</v>
      </c>
      <c r="P139" t="s">
        <v>38</v>
      </c>
      <c r="Q139">
        <v>24.1</v>
      </c>
      <c r="R139" t="str" cm="1">
        <f t="array" ref="R1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39" t="e">
        <f>IF(Table13[[#This Row],[Category All]]="Category 1", "Yes",NA())</f>
        <v>#N/A</v>
      </c>
      <c r="T139" t="str">
        <f>IF(Table13[[#This Row],[Category All]]="Category 2", "Yes",NA())</f>
        <v>Yes</v>
      </c>
      <c r="U139" t="e">
        <f>IF(Table13[[#This Row],[Category All]]="Category 3", "Yes",NA())</f>
        <v>#N/A</v>
      </c>
      <c r="V139">
        <f>SUM(1,(1/3)*(Table13[[#This Row],[Length]]-0.5),(1/3)*(Table13[[#This Row],[Diameter]]-0.4),(1/3)*(Table13[[#This Row],[Height]]-0.4)*Table13[[#This Row],[Whole_weight]]*0.5)</f>
        <v>0.91414166666666663</v>
      </c>
      <c r="W139" cm="1">
        <f t="array" ref="W1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0.73131333333333337</v>
      </c>
      <c r="X139" t="e">
        <f>IF(Table13[[#This Row],[Category All]]="Category 1",Table13[[#This Row],[Base Abalone Value]]*1.5,NA())</f>
        <v>#N/A</v>
      </c>
      <c r="Y139">
        <f>IF(Table13[[#This Row],[Category All]]="Category 2",Table13[[#This Row],[Base Abalone Value]]*0.8,NA())</f>
        <v>0.73131333333333337</v>
      </c>
      <c r="Z139" t="e">
        <f>IF(Table13[[#This Row],[Category All]]="Category 3",Table13[[#This Row],[Base Abalone Value]],NA())</f>
        <v>#N/A</v>
      </c>
      <c r="AA139" s="2">
        <f>IF(Table13[[#This Row],[Gender]]="M",Table13[[#This Row],[Whole_weight]],NA())</f>
        <v>0.2505</v>
      </c>
      <c r="AB139" s="2" t="e">
        <f>IF(Table13[[#This Row],[Gender]]="F",Table13[[#This Row],[Whole_weight]],NA())</f>
        <v>#N/A</v>
      </c>
      <c r="AC139" s="2" t="e">
        <f>IF(Table13[[#This Row],[Gender]]="I",Table13[[#This Row],[Whole_weight]],NA())</f>
        <v>#N/A</v>
      </c>
      <c r="AD139" s="2">
        <f>IF(Table13[[#This Row],[Gender]]="M",Table13[[#This Row],[Diameter]],NA())</f>
        <v>0.3</v>
      </c>
      <c r="AE139" s="2" t="e">
        <f>IF(Table13[[#This Row],[Gender]]="F",Table13[[#This Row],[Diameter]],NA())</f>
        <v>#N/A</v>
      </c>
      <c r="AF139" s="2" t="e">
        <f>IF(Table13[[#This Row],[Gender]]="I",Table13[[#This Row],[Diameter]],NA())</f>
        <v>#N/A</v>
      </c>
    </row>
    <row r="140" spans="1:32" x14ac:dyDescent="0.2">
      <c r="A140">
        <v>3710</v>
      </c>
      <c r="B140" t="s">
        <v>15</v>
      </c>
      <c r="C140">
        <v>0.68500000000000005</v>
      </c>
      <c r="D140">
        <v>0.55000000000000004</v>
      </c>
      <c r="E140">
        <v>0.19</v>
      </c>
      <c r="F140">
        <v>1.885</v>
      </c>
      <c r="G140">
        <v>0.89</v>
      </c>
      <c r="H140">
        <v>0.41</v>
      </c>
      <c r="I140">
        <v>0.48949999999999999</v>
      </c>
      <c r="J140">
        <v>10</v>
      </c>
      <c r="K140">
        <v>7</v>
      </c>
      <c r="L140" t="s">
        <v>35</v>
      </c>
      <c r="M140" t="s">
        <v>36</v>
      </c>
      <c r="N140" t="s">
        <v>37</v>
      </c>
      <c r="O140">
        <v>1</v>
      </c>
      <c r="P140" t="s">
        <v>4</v>
      </c>
      <c r="Q140">
        <v>22.1</v>
      </c>
      <c r="R140" t="str" cm="1">
        <f t="array" ref="R1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40" t="e">
        <f>IF(Table13[[#This Row],[Category All]]="Category 1", "Yes",NA())</f>
        <v>#N/A</v>
      </c>
      <c r="T140" t="e">
        <f>IF(Table13[[#This Row],[Category All]]="Category 2", "Yes",NA())</f>
        <v>#N/A</v>
      </c>
      <c r="U140" t="str">
        <f>IF(Table13[[#This Row],[Category All]]="Category 3", "Yes",NA())</f>
        <v>Yes</v>
      </c>
      <c r="V140">
        <f>SUM(1,(1/3)*(Table13[[#This Row],[Length]]-0.5),(1/3)*(Table13[[#This Row],[Diameter]]-0.4),(1/3)*(Table13[[#This Row],[Height]]-0.4)*Table13[[#This Row],[Whole_weight]]*0.5)</f>
        <v>1.0456916666666669</v>
      </c>
      <c r="W140" cm="1">
        <f t="array" ref="W1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1.0456916666666669</v>
      </c>
      <c r="X140" t="e">
        <f>IF(Table13[[#This Row],[Category All]]="Category 1",Table13[[#This Row],[Base Abalone Value]]*1.5,NA())</f>
        <v>#N/A</v>
      </c>
      <c r="Y140" t="e">
        <f>IF(Table13[[#This Row],[Category All]]="Category 2",Table13[[#This Row],[Base Abalone Value]]*0.8,NA())</f>
        <v>#N/A</v>
      </c>
      <c r="Z140">
        <f>IF(Table13[[#This Row],[Category All]]="Category 3",Table13[[#This Row],[Base Abalone Value]],NA())</f>
        <v>1.0456916666666669</v>
      </c>
      <c r="AA140" s="2">
        <f>IF(Table13[[#This Row],[Gender]]="M",Table13[[#This Row],[Whole_weight]],NA())</f>
        <v>1.885</v>
      </c>
      <c r="AB140" s="2" t="e">
        <f>IF(Table13[[#This Row],[Gender]]="F",Table13[[#This Row],[Whole_weight]],NA())</f>
        <v>#N/A</v>
      </c>
      <c r="AC140" s="2" t="e">
        <f>IF(Table13[[#This Row],[Gender]]="I",Table13[[#This Row],[Whole_weight]],NA())</f>
        <v>#N/A</v>
      </c>
      <c r="AD140" s="2">
        <f>IF(Table13[[#This Row],[Gender]]="M",Table13[[#This Row],[Diameter]],NA())</f>
        <v>0.55000000000000004</v>
      </c>
      <c r="AE140" s="2" t="e">
        <f>IF(Table13[[#This Row],[Gender]]="F",Table13[[#This Row],[Diameter]],NA())</f>
        <v>#N/A</v>
      </c>
      <c r="AF140" s="2" t="e">
        <f>IF(Table13[[#This Row],[Gender]]="I",Table13[[#This Row],[Diameter]],NA())</f>
        <v>#N/A</v>
      </c>
    </row>
    <row r="141" spans="1:32" x14ac:dyDescent="0.2">
      <c r="A141">
        <v>2384</v>
      </c>
      <c r="B141" t="s">
        <v>0</v>
      </c>
      <c r="C141">
        <v>0.52500000000000002</v>
      </c>
      <c r="D141">
        <v>0.39</v>
      </c>
      <c r="E141">
        <v>0.13500000000000001</v>
      </c>
      <c r="F141">
        <v>0.60050000000000003</v>
      </c>
      <c r="G141">
        <v>0.22650000000000001</v>
      </c>
      <c r="H141">
        <v>0.13100000000000001</v>
      </c>
      <c r="I141">
        <v>0.21</v>
      </c>
      <c r="J141">
        <v>16</v>
      </c>
      <c r="K141">
        <v>6</v>
      </c>
      <c r="L141" t="s">
        <v>39</v>
      </c>
      <c r="M141" t="s">
        <v>40</v>
      </c>
      <c r="N141" t="s">
        <v>41</v>
      </c>
      <c r="O141">
        <v>3</v>
      </c>
      <c r="P141" t="s">
        <v>48</v>
      </c>
      <c r="Q141">
        <v>3.6</v>
      </c>
      <c r="R141" t="str" cm="1">
        <f t="array" ref="R1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41" t="e">
        <f>IF(Table13[[#This Row],[Category All]]="Category 1", "Yes",NA())</f>
        <v>#N/A</v>
      </c>
      <c r="T141" t="str">
        <f>IF(Table13[[#This Row],[Category All]]="Category 2", "Yes",NA())</f>
        <v>Yes</v>
      </c>
      <c r="U141" t="e">
        <f>IF(Table13[[#This Row],[Category All]]="Category 3", "Yes",NA())</f>
        <v>#N/A</v>
      </c>
      <c r="V141">
        <f>SUM(1,(1/3)*(Table13[[#This Row],[Length]]-0.5),(1/3)*(Table13[[#This Row],[Diameter]]-0.4),(1/3)*(Table13[[#This Row],[Height]]-0.4)*Table13[[#This Row],[Whole_weight]]*0.5)</f>
        <v>0.97847791666666661</v>
      </c>
      <c r="W141" cm="1">
        <f t="array" ref="W1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0.78278233333333336</v>
      </c>
      <c r="X141" t="e">
        <f>IF(Table13[[#This Row],[Category All]]="Category 1",Table13[[#This Row],[Base Abalone Value]]*1.5,NA())</f>
        <v>#N/A</v>
      </c>
      <c r="Y141">
        <f>IF(Table13[[#This Row],[Category All]]="Category 2",Table13[[#This Row],[Base Abalone Value]]*0.8,NA())</f>
        <v>0.78278233333333336</v>
      </c>
      <c r="Z141" t="e">
        <f>IF(Table13[[#This Row],[Category All]]="Category 3",Table13[[#This Row],[Base Abalone Value]],NA())</f>
        <v>#N/A</v>
      </c>
      <c r="AA141" s="2" t="e">
        <f>IF(Table13[[#This Row],[Gender]]="M",Table13[[#This Row],[Whole_weight]],NA())</f>
        <v>#N/A</v>
      </c>
      <c r="AB141" s="2">
        <f>IF(Table13[[#This Row],[Gender]]="F",Table13[[#This Row],[Whole_weight]],NA())</f>
        <v>0.60050000000000003</v>
      </c>
      <c r="AC141" s="2" t="e">
        <f>IF(Table13[[#This Row],[Gender]]="I",Table13[[#This Row],[Whole_weight]],NA())</f>
        <v>#N/A</v>
      </c>
      <c r="AD141" s="2" t="e">
        <f>IF(Table13[[#This Row],[Gender]]="M",Table13[[#This Row],[Diameter]],NA())</f>
        <v>#N/A</v>
      </c>
      <c r="AE141" s="2">
        <f>IF(Table13[[#This Row],[Gender]]="F",Table13[[#This Row],[Diameter]],NA())</f>
        <v>0.39</v>
      </c>
      <c r="AF141" s="2" t="e">
        <f>IF(Table13[[#This Row],[Gender]]="I",Table13[[#This Row],[Diameter]],NA())</f>
        <v>#N/A</v>
      </c>
    </row>
    <row r="142" spans="1:32" x14ac:dyDescent="0.2">
      <c r="A142">
        <v>996</v>
      </c>
      <c r="B142" t="s">
        <v>15</v>
      </c>
      <c r="C142">
        <v>0.57999999999999996</v>
      </c>
      <c r="D142">
        <v>0.49</v>
      </c>
      <c r="E142">
        <v>0.13</v>
      </c>
      <c r="F142">
        <v>1.1335</v>
      </c>
      <c r="G142">
        <v>0.58599999999999997</v>
      </c>
      <c r="H142">
        <v>0.25650000000000001</v>
      </c>
      <c r="I142">
        <v>0.23699999999999999</v>
      </c>
      <c r="J142">
        <v>9</v>
      </c>
      <c r="K142">
        <v>4</v>
      </c>
      <c r="L142" t="s">
        <v>52</v>
      </c>
      <c r="M142" t="s">
        <v>53</v>
      </c>
      <c r="N142" t="s">
        <v>54</v>
      </c>
      <c r="O142">
        <v>8</v>
      </c>
      <c r="P142" t="s">
        <v>19</v>
      </c>
      <c r="Q142">
        <v>12.3</v>
      </c>
      <c r="R142" t="str" cm="1">
        <f t="array" ref="R1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42" t="e">
        <f>IF(Table13[[#This Row],[Category All]]="Category 1", "Yes",NA())</f>
        <v>#N/A</v>
      </c>
      <c r="T142" t="e">
        <f>IF(Table13[[#This Row],[Category All]]="Category 2", "Yes",NA())</f>
        <v>#N/A</v>
      </c>
      <c r="U142" t="str">
        <f>IF(Table13[[#This Row],[Category All]]="Category 3", "Yes",NA())</f>
        <v>Yes</v>
      </c>
      <c r="V142">
        <f>SUM(1,(1/3)*(Table13[[#This Row],[Length]]-0.5),(1/3)*(Table13[[#This Row],[Diameter]]-0.4),(1/3)*(Table13[[#This Row],[Height]]-0.4)*Table13[[#This Row],[Whole_weight]]*0.5)</f>
        <v>1.0056591666666665</v>
      </c>
      <c r="W142" cm="1">
        <f t="array" ref="W1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1.0056591666666665</v>
      </c>
      <c r="X142" t="e">
        <f>IF(Table13[[#This Row],[Category All]]="Category 1",Table13[[#This Row],[Base Abalone Value]]*1.5,NA())</f>
        <v>#N/A</v>
      </c>
      <c r="Y142" t="e">
        <f>IF(Table13[[#This Row],[Category All]]="Category 2",Table13[[#This Row],[Base Abalone Value]]*0.8,NA())</f>
        <v>#N/A</v>
      </c>
      <c r="Z142">
        <f>IF(Table13[[#This Row],[Category All]]="Category 3",Table13[[#This Row],[Base Abalone Value]],NA())</f>
        <v>1.0056591666666665</v>
      </c>
      <c r="AA142" s="2">
        <f>IF(Table13[[#This Row],[Gender]]="M",Table13[[#This Row],[Whole_weight]],NA())</f>
        <v>1.1335</v>
      </c>
      <c r="AB142" s="2" t="e">
        <f>IF(Table13[[#This Row],[Gender]]="F",Table13[[#This Row],[Whole_weight]],NA())</f>
        <v>#N/A</v>
      </c>
      <c r="AC142" s="2" t="e">
        <f>IF(Table13[[#This Row],[Gender]]="I",Table13[[#This Row],[Whole_weight]],NA())</f>
        <v>#N/A</v>
      </c>
      <c r="AD142" s="2">
        <f>IF(Table13[[#This Row],[Gender]]="M",Table13[[#This Row],[Diameter]],NA())</f>
        <v>0.49</v>
      </c>
      <c r="AE142" s="2" t="e">
        <f>IF(Table13[[#This Row],[Gender]]="F",Table13[[#This Row],[Diameter]],NA())</f>
        <v>#N/A</v>
      </c>
      <c r="AF142" s="2" t="e">
        <f>IF(Table13[[#This Row],[Gender]]="I",Table13[[#This Row],[Diameter]],NA())</f>
        <v>#N/A</v>
      </c>
    </row>
    <row r="143" spans="1:32" x14ac:dyDescent="0.2">
      <c r="A143">
        <v>339</v>
      </c>
      <c r="B143" t="s">
        <v>15</v>
      </c>
      <c r="C143">
        <v>0.62</v>
      </c>
      <c r="D143">
        <v>0.47499999999999998</v>
      </c>
      <c r="E143">
        <v>0.185</v>
      </c>
      <c r="F143">
        <v>1.325</v>
      </c>
      <c r="G143">
        <v>0.60450000000000004</v>
      </c>
      <c r="H143">
        <v>0.32500000000000001</v>
      </c>
      <c r="I143">
        <v>0.33</v>
      </c>
      <c r="J143">
        <v>13</v>
      </c>
      <c r="K143">
        <v>5</v>
      </c>
      <c r="L143" t="s">
        <v>26</v>
      </c>
      <c r="M143" t="s">
        <v>27</v>
      </c>
      <c r="N143" t="s">
        <v>28</v>
      </c>
      <c r="O143">
        <v>3</v>
      </c>
      <c r="P143" t="s">
        <v>48</v>
      </c>
      <c r="Q143">
        <v>3.6</v>
      </c>
      <c r="R143" t="str" cm="1">
        <f t="array" ref="R1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43" t="e">
        <f>IF(Table13[[#This Row],[Category All]]="Category 1", "Yes",NA())</f>
        <v>#N/A</v>
      </c>
      <c r="T143" t="e">
        <f>IF(Table13[[#This Row],[Category All]]="Category 2", "Yes",NA())</f>
        <v>#N/A</v>
      </c>
      <c r="U143" t="str">
        <f>IF(Table13[[#This Row],[Category All]]="Category 3", "Yes",NA())</f>
        <v>Yes</v>
      </c>
      <c r="V143">
        <f>SUM(1,(1/3)*(Table13[[#This Row],[Length]]-0.5),(1/3)*(Table13[[#This Row],[Diameter]]-0.4),(1/3)*(Table13[[#This Row],[Height]]-0.4)*Table13[[#This Row],[Whole_weight]]*0.5)</f>
        <v>1.0175208333333332</v>
      </c>
      <c r="W143" cm="1">
        <f t="array" ref="W1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1.0175208333333332</v>
      </c>
      <c r="X143" t="e">
        <f>IF(Table13[[#This Row],[Category All]]="Category 1",Table13[[#This Row],[Base Abalone Value]]*1.5,NA())</f>
        <v>#N/A</v>
      </c>
      <c r="Y143" t="e">
        <f>IF(Table13[[#This Row],[Category All]]="Category 2",Table13[[#This Row],[Base Abalone Value]]*0.8,NA())</f>
        <v>#N/A</v>
      </c>
      <c r="Z143">
        <f>IF(Table13[[#This Row],[Category All]]="Category 3",Table13[[#This Row],[Base Abalone Value]],NA())</f>
        <v>1.0175208333333332</v>
      </c>
      <c r="AA143" s="2">
        <f>IF(Table13[[#This Row],[Gender]]="M",Table13[[#This Row],[Whole_weight]],NA())</f>
        <v>1.325</v>
      </c>
      <c r="AB143" s="2" t="e">
        <f>IF(Table13[[#This Row],[Gender]]="F",Table13[[#This Row],[Whole_weight]],NA())</f>
        <v>#N/A</v>
      </c>
      <c r="AC143" s="2" t="e">
        <f>IF(Table13[[#This Row],[Gender]]="I",Table13[[#This Row],[Whole_weight]],NA())</f>
        <v>#N/A</v>
      </c>
      <c r="AD143" s="2">
        <f>IF(Table13[[#This Row],[Gender]]="M",Table13[[#This Row],[Diameter]],NA())</f>
        <v>0.47499999999999998</v>
      </c>
      <c r="AE143" s="2" t="e">
        <f>IF(Table13[[#This Row],[Gender]]="F",Table13[[#This Row],[Diameter]],NA())</f>
        <v>#N/A</v>
      </c>
      <c r="AF143" s="2" t="e">
        <f>IF(Table13[[#This Row],[Gender]]="I",Table13[[#This Row],[Diameter]],NA())</f>
        <v>#N/A</v>
      </c>
    </row>
    <row r="144" spans="1:32" x14ac:dyDescent="0.2">
      <c r="A144">
        <v>1027</v>
      </c>
      <c r="B144" t="s">
        <v>15</v>
      </c>
      <c r="C144">
        <v>0.64500000000000002</v>
      </c>
      <c r="D144">
        <v>0.52</v>
      </c>
      <c r="E144">
        <v>0.17499999999999999</v>
      </c>
      <c r="F144">
        <v>1.5609999999999999</v>
      </c>
      <c r="G144">
        <v>0.70899999999999996</v>
      </c>
      <c r="H144">
        <v>0.35549999999999998</v>
      </c>
      <c r="I144">
        <v>0.4</v>
      </c>
      <c r="J144">
        <v>8</v>
      </c>
      <c r="K144">
        <v>7</v>
      </c>
      <c r="L144" t="s">
        <v>35</v>
      </c>
      <c r="M144" t="s">
        <v>36</v>
      </c>
      <c r="N144" t="s">
        <v>37</v>
      </c>
      <c r="O144">
        <v>5</v>
      </c>
      <c r="P144" t="s">
        <v>14</v>
      </c>
      <c r="Q144">
        <v>12.8</v>
      </c>
      <c r="R144" t="str" cm="1">
        <f t="array" ref="R1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44" t="e">
        <f>IF(Table13[[#This Row],[Category All]]="Category 1", "Yes",NA())</f>
        <v>#N/A</v>
      </c>
      <c r="T144" t="e">
        <f>IF(Table13[[#This Row],[Category All]]="Category 2", "Yes",NA())</f>
        <v>#N/A</v>
      </c>
      <c r="U144" t="str">
        <f>IF(Table13[[#This Row],[Category All]]="Category 3", "Yes",NA())</f>
        <v>Yes</v>
      </c>
      <c r="V144">
        <f>SUM(1,(1/3)*(Table13[[#This Row],[Length]]-0.5),(1/3)*(Table13[[#This Row],[Diameter]]-0.4),(1/3)*(Table13[[#This Row],[Height]]-0.4)*Table13[[#This Row],[Whole_weight]]*0.5)</f>
        <v>1.0297958333333335</v>
      </c>
      <c r="W144" cm="1">
        <f t="array" ref="W1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1.0297958333333335</v>
      </c>
      <c r="X144" t="e">
        <f>IF(Table13[[#This Row],[Category All]]="Category 1",Table13[[#This Row],[Base Abalone Value]]*1.5,NA())</f>
        <v>#N/A</v>
      </c>
      <c r="Y144" t="e">
        <f>IF(Table13[[#This Row],[Category All]]="Category 2",Table13[[#This Row],[Base Abalone Value]]*0.8,NA())</f>
        <v>#N/A</v>
      </c>
      <c r="Z144">
        <f>IF(Table13[[#This Row],[Category All]]="Category 3",Table13[[#This Row],[Base Abalone Value]],NA())</f>
        <v>1.0297958333333335</v>
      </c>
      <c r="AA144" s="2">
        <f>IF(Table13[[#This Row],[Gender]]="M",Table13[[#This Row],[Whole_weight]],NA())</f>
        <v>1.5609999999999999</v>
      </c>
      <c r="AB144" s="2" t="e">
        <f>IF(Table13[[#This Row],[Gender]]="F",Table13[[#This Row],[Whole_weight]],NA())</f>
        <v>#N/A</v>
      </c>
      <c r="AC144" s="2" t="e">
        <f>IF(Table13[[#This Row],[Gender]]="I",Table13[[#This Row],[Whole_weight]],NA())</f>
        <v>#N/A</v>
      </c>
      <c r="AD144" s="2">
        <f>IF(Table13[[#This Row],[Gender]]="M",Table13[[#This Row],[Diameter]],NA())</f>
        <v>0.52</v>
      </c>
      <c r="AE144" s="2" t="e">
        <f>IF(Table13[[#This Row],[Gender]]="F",Table13[[#This Row],[Diameter]],NA())</f>
        <v>#N/A</v>
      </c>
      <c r="AF144" s="2" t="e">
        <f>IF(Table13[[#This Row],[Gender]]="I",Table13[[#This Row],[Diameter]],NA())</f>
        <v>#N/A</v>
      </c>
    </row>
    <row r="145" spans="1:32" x14ac:dyDescent="0.2">
      <c r="A145">
        <v>478</v>
      </c>
      <c r="B145" t="s">
        <v>15</v>
      </c>
      <c r="C145">
        <v>0.66500000000000004</v>
      </c>
      <c r="D145">
        <v>0.54</v>
      </c>
      <c r="E145">
        <v>0.17499999999999999</v>
      </c>
      <c r="F145">
        <v>1.347</v>
      </c>
      <c r="G145">
        <v>0.4955</v>
      </c>
      <c r="H145">
        <v>0.254</v>
      </c>
      <c r="I145">
        <v>0.41499999999999998</v>
      </c>
      <c r="J145">
        <v>17</v>
      </c>
      <c r="K145">
        <v>2</v>
      </c>
      <c r="L145" t="s">
        <v>32</v>
      </c>
      <c r="M145" t="s">
        <v>33</v>
      </c>
      <c r="N145" t="s">
        <v>34</v>
      </c>
      <c r="O145">
        <v>3</v>
      </c>
      <c r="P145" t="s">
        <v>48</v>
      </c>
      <c r="Q145">
        <v>3.6</v>
      </c>
      <c r="R145" t="str" cm="1">
        <f t="array" ref="R1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45" t="e">
        <f>IF(Table13[[#This Row],[Category All]]="Category 1", "Yes",NA())</f>
        <v>#N/A</v>
      </c>
      <c r="T145" t="str">
        <f>IF(Table13[[#This Row],[Category All]]="Category 2", "Yes",NA())</f>
        <v>Yes</v>
      </c>
      <c r="U145" t="e">
        <f>IF(Table13[[#This Row],[Category All]]="Category 3", "Yes",NA())</f>
        <v>#N/A</v>
      </c>
      <c r="V145">
        <f>SUM(1,(1/3)*(Table13[[#This Row],[Length]]-0.5),(1/3)*(Table13[[#This Row],[Diameter]]-0.4),(1/3)*(Table13[[#This Row],[Height]]-0.4)*Table13[[#This Row],[Whole_weight]]*0.5)</f>
        <v>1.0511541666666666</v>
      </c>
      <c r="W145" cm="1">
        <f t="array" ref="W1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0.84092333333333336</v>
      </c>
      <c r="X145" t="e">
        <f>IF(Table13[[#This Row],[Category All]]="Category 1",Table13[[#This Row],[Base Abalone Value]]*1.5,NA())</f>
        <v>#N/A</v>
      </c>
      <c r="Y145">
        <f>IF(Table13[[#This Row],[Category All]]="Category 2",Table13[[#This Row],[Base Abalone Value]]*0.8,NA())</f>
        <v>0.84092333333333336</v>
      </c>
      <c r="Z145" t="e">
        <f>IF(Table13[[#This Row],[Category All]]="Category 3",Table13[[#This Row],[Base Abalone Value]],NA())</f>
        <v>#N/A</v>
      </c>
      <c r="AA145" s="2">
        <f>IF(Table13[[#This Row],[Gender]]="M",Table13[[#This Row],[Whole_weight]],NA())</f>
        <v>1.347</v>
      </c>
      <c r="AB145" s="2" t="e">
        <f>IF(Table13[[#This Row],[Gender]]="F",Table13[[#This Row],[Whole_weight]],NA())</f>
        <v>#N/A</v>
      </c>
      <c r="AC145" s="2" t="e">
        <f>IF(Table13[[#This Row],[Gender]]="I",Table13[[#This Row],[Whole_weight]],NA())</f>
        <v>#N/A</v>
      </c>
      <c r="AD145" s="2">
        <f>IF(Table13[[#This Row],[Gender]]="M",Table13[[#This Row],[Diameter]],NA())</f>
        <v>0.54</v>
      </c>
      <c r="AE145" s="2" t="e">
        <f>IF(Table13[[#This Row],[Gender]]="F",Table13[[#This Row],[Diameter]],NA())</f>
        <v>#N/A</v>
      </c>
      <c r="AF145" s="2" t="e">
        <f>IF(Table13[[#This Row],[Gender]]="I",Table13[[#This Row],[Diameter]],NA())</f>
        <v>#N/A</v>
      </c>
    </row>
    <row r="146" spans="1:32" x14ac:dyDescent="0.2">
      <c r="A146">
        <v>779</v>
      </c>
      <c r="B146" t="s">
        <v>15</v>
      </c>
      <c r="C146">
        <v>0.46500000000000002</v>
      </c>
      <c r="D146">
        <v>0.35</v>
      </c>
      <c r="E146">
        <v>0.14000000000000001</v>
      </c>
      <c r="F146">
        <v>0.57550000000000001</v>
      </c>
      <c r="G146">
        <v>0.20150000000000001</v>
      </c>
      <c r="H146">
        <v>0.15049999999999999</v>
      </c>
      <c r="I146">
        <v>0.19</v>
      </c>
      <c r="J146">
        <v>15</v>
      </c>
      <c r="K146">
        <v>12</v>
      </c>
      <c r="L146" t="s">
        <v>1</v>
      </c>
      <c r="M146" t="s">
        <v>2</v>
      </c>
      <c r="N146" t="s">
        <v>3</v>
      </c>
      <c r="O146">
        <v>4</v>
      </c>
      <c r="P146" t="s">
        <v>10</v>
      </c>
      <c r="Q146">
        <v>6.1</v>
      </c>
      <c r="R146" t="str" cm="1">
        <f t="array" ref="R1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46" t="e">
        <f>IF(Table13[[#This Row],[Category All]]="Category 1", "Yes",NA())</f>
        <v>#N/A</v>
      </c>
      <c r="T146" t="str">
        <f>IF(Table13[[#This Row],[Category All]]="Category 2", "Yes",NA())</f>
        <v>Yes</v>
      </c>
      <c r="U146" t="e">
        <f>IF(Table13[[#This Row],[Category All]]="Category 3", "Yes",NA())</f>
        <v>#N/A</v>
      </c>
      <c r="V146">
        <f>SUM(1,(1/3)*(Table13[[#This Row],[Length]]-0.5),(1/3)*(Table13[[#This Row],[Diameter]]-0.4),(1/3)*(Table13[[#This Row],[Height]]-0.4)*Table13[[#This Row],[Whole_weight]]*0.5)</f>
        <v>0.94672833333333328</v>
      </c>
      <c r="W146" cm="1">
        <f t="array" ref="W1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0.75738266666666665</v>
      </c>
      <c r="X146" t="e">
        <f>IF(Table13[[#This Row],[Category All]]="Category 1",Table13[[#This Row],[Base Abalone Value]]*1.5,NA())</f>
        <v>#N/A</v>
      </c>
      <c r="Y146">
        <f>IF(Table13[[#This Row],[Category All]]="Category 2",Table13[[#This Row],[Base Abalone Value]]*0.8,NA())</f>
        <v>0.75738266666666665</v>
      </c>
      <c r="Z146" t="e">
        <f>IF(Table13[[#This Row],[Category All]]="Category 3",Table13[[#This Row],[Base Abalone Value]],NA())</f>
        <v>#N/A</v>
      </c>
      <c r="AA146" s="2">
        <f>IF(Table13[[#This Row],[Gender]]="M",Table13[[#This Row],[Whole_weight]],NA())</f>
        <v>0.57550000000000001</v>
      </c>
      <c r="AB146" s="2" t="e">
        <f>IF(Table13[[#This Row],[Gender]]="F",Table13[[#This Row],[Whole_weight]],NA())</f>
        <v>#N/A</v>
      </c>
      <c r="AC146" s="2" t="e">
        <f>IF(Table13[[#This Row],[Gender]]="I",Table13[[#This Row],[Whole_weight]],NA())</f>
        <v>#N/A</v>
      </c>
      <c r="AD146" s="2">
        <f>IF(Table13[[#This Row],[Gender]]="M",Table13[[#This Row],[Diameter]],NA())</f>
        <v>0.35</v>
      </c>
      <c r="AE146" s="2" t="e">
        <f>IF(Table13[[#This Row],[Gender]]="F",Table13[[#This Row],[Diameter]],NA())</f>
        <v>#N/A</v>
      </c>
      <c r="AF146" s="2" t="e">
        <f>IF(Table13[[#This Row],[Gender]]="I",Table13[[#This Row],[Diameter]],NA())</f>
        <v>#N/A</v>
      </c>
    </row>
    <row r="147" spans="1:32" x14ac:dyDescent="0.2">
      <c r="A147">
        <v>2780</v>
      </c>
      <c r="B147" t="s">
        <v>15</v>
      </c>
      <c r="C147">
        <v>0.59</v>
      </c>
      <c r="D147">
        <v>0.47</v>
      </c>
      <c r="E147">
        <v>0.14499999999999999</v>
      </c>
      <c r="F147">
        <v>0.92349999999999999</v>
      </c>
      <c r="G147">
        <v>0.45450000000000002</v>
      </c>
      <c r="H147">
        <v>0.17299999999999999</v>
      </c>
      <c r="I147">
        <v>0.254</v>
      </c>
      <c r="J147">
        <v>9</v>
      </c>
      <c r="K147">
        <v>3</v>
      </c>
      <c r="L147" t="s">
        <v>43</v>
      </c>
      <c r="M147" t="s">
        <v>44</v>
      </c>
      <c r="N147" t="s">
        <v>45</v>
      </c>
      <c r="O147">
        <v>5</v>
      </c>
      <c r="P147" t="s">
        <v>14</v>
      </c>
      <c r="Q147">
        <v>12.8</v>
      </c>
      <c r="R147" t="str" cm="1">
        <f t="array" ref="R1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47" t="e">
        <f>IF(Table13[[#This Row],[Category All]]="Category 1", "Yes",NA())</f>
        <v>#N/A</v>
      </c>
      <c r="T147" t="e">
        <f>IF(Table13[[#This Row],[Category All]]="Category 2", "Yes",NA())</f>
        <v>#N/A</v>
      </c>
      <c r="U147" t="str">
        <f>IF(Table13[[#This Row],[Category All]]="Category 3", "Yes",NA())</f>
        <v>Yes</v>
      </c>
      <c r="V147">
        <f>SUM(1,(1/3)*(Table13[[#This Row],[Length]]-0.5),(1/3)*(Table13[[#This Row],[Diameter]]-0.4),(1/3)*(Table13[[#This Row],[Height]]-0.4)*Table13[[#This Row],[Whole_weight]]*0.5)</f>
        <v>1.0140845833333332</v>
      </c>
      <c r="W147" cm="1">
        <f t="array" ref="W1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1.0140845833333332</v>
      </c>
      <c r="X147" t="e">
        <f>IF(Table13[[#This Row],[Category All]]="Category 1",Table13[[#This Row],[Base Abalone Value]]*1.5,NA())</f>
        <v>#N/A</v>
      </c>
      <c r="Y147" t="e">
        <f>IF(Table13[[#This Row],[Category All]]="Category 2",Table13[[#This Row],[Base Abalone Value]]*0.8,NA())</f>
        <v>#N/A</v>
      </c>
      <c r="Z147">
        <f>IF(Table13[[#This Row],[Category All]]="Category 3",Table13[[#This Row],[Base Abalone Value]],NA())</f>
        <v>1.0140845833333332</v>
      </c>
      <c r="AA147" s="2">
        <f>IF(Table13[[#This Row],[Gender]]="M",Table13[[#This Row],[Whole_weight]],NA())</f>
        <v>0.92349999999999999</v>
      </c>
      <c r="AB147" s="2" t="e">
        <f>IF(Table13[[#This Row],[Gender]]="F",Table13[[#This Row],[Whole_weight]],NA())</f>
        <v>#N/A</v>
      </c>
      <c r="AC147" s="2" t="e">
        <f>IF(Table13[[#This Row],[Gender]]="I",Table13[[#This Row],[Whole_weight]],NA())</f>
        <v>#N/A</v>
      </c>
      <c r="AD147" s="2">
        <f>IF(Table13[[#This Row],[Gender]]="M",Table13[[#This Row],[Diameter]],NA())</f>
        <v>0.47</v>
      </c>
      <c r="AE147" s="2" t="e">
        <f>IF(Table13[[#This Row],[Gender]]="F",Table13[[#This Row],[Diameter]],NA())</f>
        <v>#N/A</v>
      </c>
      <c r="AF147" s="2" t="e">
        <f>IF(Table13[[#This Row],[Gender]]="I",Table13[[#This Row],[Diameter]],NA())</f>
        <v>#N/A</v>
      </c>
    </row>
    <row r="148" spans="1:32" x14ac:dyDescent="0.2">
      <c r="A148">
        <v>3173</v>
      </c>
      <c r="B148" t="s">
        <v>0</v>
      </c>
      <c r="C148">
        <v>0.505</v>
      </c>
      <c r="D148">
        <v>0.40500000000000003</v>
      </c>
      <c r="E148">
        <v>0.18</v>
      </c>
      <c r="F148">
        <v>0.60599999999999998</v>
      </c>
      <c r="G148">
        <v>0.23899999999999999</v>
      </c>
      <c r="H148">
        <v>0.1235</v>
      </c>
      <c r="I148">
        <v>0.18</v>
      </c>
      <c r="J148">
        <v>11</v>
      </c>
      <c r="K148">
        <v>12</v>
      </c>
      <c r="L148" t="s">
        <v>1</v>
      </c>
      <c r="M148" t="s">
        <v>2</v>
      </c>
      <c r="N148" t="s">
        <v>3</v>
      </c>
      <c r="O148">
        <v>9</v>
      </c>
      <c r="P148" t="s">
        <v>46</v>
      </c>
      <c r="Q148">
        <v>1.9</v>
      </c>
      <c r="R148" t="str" cm="1">
        <f t="array" ref="R1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48" t="e">
        <f>IF(Table13[[#This Row],[Category All]]="Category 1", "Yes",NA())</f>
        <v>#N/A</v>
      </c>
      <c r="T148" t="str">
        <f>IF(Table13[[#This Row],[Category All]]="Category 2", "Yes",NA())</f>
        <v>Yes</v>
      </c>
      <c r="U148" t="e">
        <f>IF(Table13[[#This Row],[Category All]]="Category 3", "Yes",NA())</f>
        <v>#N/A</v>
      </c>
      <c r="V148">
        <f>SUM(1,(1/3)*(Table13[[#This Row],[Length]]-0.5),(1/3)*(Table13[[#This Row],[Diameter]]-0.4),(1/3)*(Table13[[#This Row],[Height]]-0.4)*Table13[[#This Row],[Whole_weight]]*0.5)</f>
        <v>0.98111333333333339</v>
      </c>
      <c r="W148" cm="1">
        <f t="array" ref="W1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0.78489066666666674</v>
      </c>
      <c r="X148" t="e">
        <f>IF(Table13[[#This Row],[Category All]]="Category 1",Table13[[#This Row],[Base Abalone Value]]*1.5,NA())</f>
        <v>#N/A</v>
      </c>
      <c r="Y148">
        <f>IF(Table13[[#This Row],[Category All]]="Category 2",Table13[[#This Row],[Base Abalone Value]]*0.8,NA())</f>
        <v>0.78489066666666674</v>
      </c>
      <c r="Z148" t="e">
        <f>IF(Table13[[#This Row],[Category All]]="Category 3",Table13[[#This Row],[Base Abalone Value]],NA())</f>
        <v>#N/A</v>
      </c>
      <c r="AA148" s="2" t="e">
        <f>IF(Table13[[#This Row],[Gender]]="M",Table13[[#This Row],[Whole_weight]],NA())</f>
        <v>#N/A</v>
      </c>
      <c r="AB148" s="2">
        <f>IF(Table13[[#This Row],[Gender]]="F",Table13[[#This Row],[Whole_weight]],NA())</f>
        <v>0.60599999999999998</v>
      </c>
      <c r="AC148" s="2" t="e">
        <f>IF(Table13[[#This Row],[Gender]]="I",Table13[[#This Row],[Whole_weight]],NA())</f>
        <v>#N/A</v>
      </c>
      <c r="AD148" s="2" t="e">
        <f>IF(Table13[[#This Row],[Gender]]="M",Table13[[#This Row],[Diameter]],NA())</f>
        <v>#N/A</v>
      </c>
      <c r="AE148" s="2">
        <f>IF(Table13[[#This Row],[Gender]]="F",Table13[[#This Row],[Diameter]],NA())</f>
        <v>0.40500000000000003</v>
      </c>
      <c r="AF148" s="2" t="e">
        <f>IF(Table13[[#This Row],[Gender]]="I",Table13[[#This Row],[Diameter]],NA())</f>
        <v>#N/A</v>
      </c>
    </row>
    <row r="149" spans="1:32" x14ac:dyDescent="0.2">
      <c r="A149">
        <v>2337</v>
      </c>
      <c r="B149" t="s">
        <v>0</v>
      </c>
      <c r="C149">
        <v>0.56499999999999995</v>
      </c>
      <c r="D149">
        <v>0.48</v>
      </c>
      <c r="E149">
        <v>0.17499999999999999</v>
      </c>
      <c r="F149">
        <v>0.95699999999999996</v>
      </c>
      <c r="G149">
        <v>0.38850000000000001</v>
      </c>
      <c r="H149">
        <v>0.215</v>
      </c>
      <c r="I149">
        <v>0.27500000000000002</v>
      </c>
      <c r="J149">
        <v>18</v>
      </c>
      <c r="K149">
        <v>2</v>
      </c>
      <c r="L149" t="s">
        <v>32</v>
      </c>
      <c r="M149" t="s">
        <v>33</v>
      </c>
      <c r="N149" t="s">
        <v>34</v>
      </c>
      <c r="O149">
        <v>10</v>
      </c>
      <c r="P149" t="s">
        <v>38</v>
      </c>
      <c r="Q149">
        <v>24.1</v>
      </c>
      <c r="R149" t="str" cm="1">
        <f t="array" ref="R1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49" t="e">
        <f>IF(Table13[[#This Row],[Category All]]="Category 1", "Yes",NA())</f>
        <v>#N/A</v>
      </c>
      <c r="T149" t="str">
        <f>IF(Table13[[#This Row],[Category All]]="Category 2", "Yes",NA())</f>
        <v>Yes</v>
      </c>
      <c r="U149" t="e">
        <f>IF(Table13[[#This Row],[Category All]]="Category 3", "Yes",NA())</f>
        <v>#N/A</v>
      </c>
      <c r="V149">
        <f>SUM(1,(1/3)*(Table13[[#This Row],[Length]]-0.5),(1/3)*(Table13[[#This Row],[Diameter]]-0.4),(1/3)*(Table13[[#This Row],[Height]]-0.4)*Table13[[#This Row],[Whole_weight]]*0.5)</f>
        <v>1.0124458333333333</v>
      </c>
      <c r="W149" cm="1">
        <f t="array" ref="W1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0.80995666666666666</v>
      </c>
      <c r="X149" t="e">
        <f>IF(Table13[[#This Row],[Category All]]="Category 1",Table13[[#This Row],[Base Abalone Value]]*1.5,NA())</f>
        <v>#N/A</v>
      </c>
      <c r="Y149">
        <f>IF(Table13[[#This Row],[Category All]]="Category 2",Table13[[#This Row],[Base Abalone Value]]*0.8,NA())</f>
        <v>0.80995666666666666</v>
      </c>
      <c r="Z149" t="e">
        <f>IF(Table13[[#This Row],[Category All]]="Category 3",Table13[[#This Row],[Base Abalone Value]],NA())</f>
        <v>#N/A</v>
      </c>
      <c r="AA149" s="2" t="e">
        <f>IF(Table13[[#This Row],[Gender]]="M",Table13[[#This Row],[Whole_weight]],NA())</f>
        <v>#N/A</v>
      </c>
      <c r="AB149" s="2">
        <f>IF(Table13[[#This Row],[Gender]]="F",Table13[[#This Row],[Whole_weight]],NA())</f>
        <v>0.95699999999999996</v>
      </c>
      <c r="AC149" s="2" t="e">
        <f>IF(Table13[[#This Row],[Gender]]="I",Table13[[#This Row],[Whole_weight]],NA())</f>
        <v>#N/A</v>
      </c>
      <c r="AD149" s="2" t="e">
        <f>IF(Table13[[#This Row],[Gender]]="M",Table13[[#This Row],[Diameter]],NA())</f>
        <v>#N/A</v>
      </c>
      <c r="AE149" s="2">
        <f>IF(Table13[[#This Row],[Gender]]="F",Table13[[#This Row],[Diameter]],NA())</f>
        <v>0.48</v>
      </c>
      <c r="AF149" s="2" t="e">
        <f>IF(Table13[[#This Row],[Gender]]="I",Table13[[#This Row],[Diameter]],NA())</f>
        <v>#N/A</v>
      </c>
    </row>
    <row r="150" spans="1:32" x14ac:dyDescent="0.2">
      <c r="A150">
        <v>3576</v>
      </c>
      <c r="B150" t="s">
        <v>15</v>
      </c>
      <c r="C150">
        <v>0.6</v>
      </c>
      <c r="D150">
        <v>0.47</v>
      </c>
      <c r="E150">
        <v>0.15</v>
      </c>
      <c r="F150">
        <v>0.92800000000000005</v>
      </c>
      <c r="G150">
        <v>0.42249999999999999</v>
      </c>
      <c r="H150">
        <v>0.183</v>
      </c>
      <c r="I150">
        <v>0.27500000000000002</v>
      </c>
      <c r="J150">
        <v>8</v>
      </c>
      <c r="K150">
        <v>2</v>
      </c>
      <c r="L150" t="s">
        <v>32</v>
      </c>
      <c r="M150" t="s">
        <v>33</v>
      </c>
      <c r="N150" t="s">
        <v>34</v>
      </c>
      <c r="O150">
        <v>2</v>
      </c>
      <c r="P150" t="s">
        <v>7</v>
      </c>
      <c r="Q150">
        <v>18</v>
      </c>
      <c r="R150" t="str" cm="1">
        <f t="array" ref="R1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50" t="e">
        <f>IF(Table13[[#This Row],[Category All]]="Category 1", "Yes",NA())</f>
        <v>#N/A</v>
      </c>
      <c r="T150" t="e">
        <f>IF(Table13[[#This Row],[Category All]]="Category 2", "Yes",NA())</f>
        <v>#N/A</v>
      </c>
      <c r="U150" t="str">
        <f>IF(Table13[[#This Row],[Category All]]="Category 3", "Yes",NA())</f>
        <v>Yes</v>
      </c>
      <c r="V150">
        <f>SUM(1,(1/3)*(Table13[[#This Row],[Length]]-0.5),(1/3)*(Table13[[#This Row],[Diameter]]-0.4),(1/3)*(Table13[[#This Row],[Height]]-0.4)*Table13[[#This Row],[Whole_weight]]*0.5)</f>
        <v>1.018</v>
      </c>
      <c r="W150" cm="1">
        <f t="array" ref="W1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1.018</v>
      </c>
      <c r="X150" t="e">
        <f>IF(Table13[[#This Row],[Category All]]="Category 1",Table13[[#This Row],[Base Abalone Value]]*1.5,NA())</f>
        <v>#N/A</v>
      </c>
      <c r="Y150" t="e">
        <f>IF(Table13[[#This Row],[Category All]]="Category 2",Table13[[#This Row],[Base Abalone Value]]*0.8,NA())</f>
        <v>#N/A</v>
      </c>
      <c r="Z150">
        <f>IF(Table13[[#This Row],[Category All]]="Category 3",Table13[[#This Row],[Base Abalone Value]],NA())</f>
        <v>1.018</v>
      </c>
      <c r="AA150" s="2">
        <f>IF(Table13[[#This Row],[Gender]]="M",Table13[[#This Row],[Whole_weight]],NA())</f>
        <v>0.92800000000000005</v>
      </c>
      <c r="AB150" s="2" t="e">
        <f>IF(Table13[[#This Row],[Gender]]="F",Table13[[#This Row],[Whole_weight]],NA())</f>
        <v>#N/A</v>
      </c>
      <c r="AC150" s="2" t="e">
        <f>IF(Table13[[#This Row],[Gender]]="I",Table13[[#This Row],[Whole_weight]],NA())</f>
        <v>#N/A</v>
      </c>
      <c r="AD150" s="2">
        <f>IF(Table13[[#This Row],[Gender]]="M",Table13[[#This Row],[Diameter]],NA())</f>
        <v>0.47</v>
      </c>
      <c r="AE150" s="2" t="e">
        <f>IF(Table13[[#This Row],[Gender]]="F",Table13[[#This Row],[Diameter]],NA())</f>
        <v>#N/A</v>
      </c>
      <c r="AF150" s="2" t="e">
        <f>IF(Table13[[#This Row],[Gender]]="I",Table13[[#This Row],[Diameter]],NA())</f>
        <v>#N/A</v>
      </c>
    </row>
    <row r="151" spans="1:32" x14ac:dyDescent="0.2">
      <c r="A151">
        <v>1045</v>
      </c>
      <c r="B151" t="s">
        <v>15</v>
      </c>
      <c r="C151">
        <v>0.69</v>
      </c>
      <c r="D151">
        <v>0.52500000000000002</v>
      </c>
      <c r="E151">
        <v>0.17499999999999999</v>
      </c>
      <c r="F151">
        <v>1.7004999999999999</v>
      </c>
      <c r="G151">
        <v>0.82550000000000001</v>
      </c>
      <c r="H151">
        <v>0.36199999999999999</v>
      </c>
      <c r="I151">
        <v>0.40500000000000003</v>
      </c>
      <c r="J151">
        <v>8</v>
      </c>
      <c r="K151">
        <v>9</v>
      </c>
      <c r="L151" t="s">
        <v>20</v>
      </c>
      <c r="M151" t="s">
        <v>21</v>
      </c>
      <c r="N151" t="s">
        <v>22</v>
      </c>
      <c r="O151">
        <v>1</v>
      </c>
      <c r="P151" t="s">
        <v>4</v>
      </c>
      <c r="Q151">
        <v>22.1</v>
      </c>
      <c r="R151" t="str" cm="1">
        <f t="array" ref="R1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51" t="e">
        <f>IF(Table13[[#This Row],[Category All]]="Category 1", "Yes",NA())</f>
        <v>#N/A</v>
      </c>
      <c r="T151" t="e">
        <f>IF(Table13[[#This Row],[Category All]]="Category 2", "Yes",NA())</f>
        <v>#N/A</v>
      </c>
      <c r="U151" t="str">
        <f>IF(Table13[[#This Row],[Category All]]="Category 3", "Yes",NA())</f>
        <v>Yes</v>
      </c>
      <c r="V151">
        <f>SUM(1,(1/3)*(Table13[[#This Row],[Length]]-0.5),(1/3)*(Table13[[#This Row],[Diameter]]-0.4),(1/3)*(Table13[[#This Row],[Height]]-0.4)*Table13[[#This Row],[Whole_weight]]*0.5)</f>
        <v>1.0412312500000001</v>
      </c>
      <c r="W151" cm="1">
        <f t="array" ref="W1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1.0412312500000001</v>
      </c>
      <c r="X151" t="e">
        <f>IF(Table13[[#This Row],[Category All]]="Category 1",Table13[[#This Row],[Base Abalone Value]]*1.5,NA())</f>
        <v>#N/A</v>
      </c>
      <c r="Y151" t="e">
        <f>IF(Table13[[#This Row],[Category All]]="Category 2",Table13[[#This Row],[Base Abalone Value]]*0.8,NA())</f>
        <v>#N/A</v>
      </c>
      <c r="Z151">
        <f>IF(Table13[[#This Row],[Category All]]="Category 3",Table13[[#This Row],[Base Abalone Value]],NA())</f>
        <v>1.0412312500000001</v>
      </c>
      <c r="AA151" s="2">
        <f>IF(Table13[[#This Row],[Gender]]="M",Table13[[#This Row],[Whole_weight]],NA())</f>
        <v>1.7004999999999999</v>
      </c>
      <c r="AB151" s="2" t="e">
        <f>IF(Table13[[#This Row],[Gender]]="F",Table13[[#This Row],[Whole_weight]],NA())</f>
        <v>#N/A</v>
      </c>
      <c r="AC151" s="2" t="e">
        <f>IF(Table13[[#This Row],[Gender]]="I",Table13[[#This Row],[Whole_weight]],NA())</f>
        <v>#N/A</v>
      </c>
      <c r="AD151" s="2">
        <f>IF(Table13[[#This Row],[Gender]]="M",Table13[[#This Row],[Diameter]],NA())</f>
        <v>0.52500000000000002</v>
      </c>
      <c r="AE151" s="2" t="e">
        <f>IF(Table13[[#This Row],[Gender]]="F",Table13[[#This Row],[Diameter]],NA())</f>
        <v>#N/A</v>
      </c>
      <c r="AF151" s="2" t="e">
        <f>IF(Table13[[#This Row],[Gender]]="I",Table13[[#This Row],[Diameter]],NA())</f>
        <v>#N/A</v>
      </c>
    </row>
    <row r="152" spans="1:32" x14ac:dyDescent="0.2">
      <c r="A152">
        <v>969</v>
      </c>
      <c r="B152" t="s">
        <v>15</v>
      </c>
      <c r="C152">
        <v>0.51</v>
      </c>
      <c r="D152">
        <v>0.40500000000000003</v>
      </c>
      <c r="E152">
        <v>0.15</v>
      </c>
      <c r="F152">
        <v>0.70350000000000001</v>
      </c>
      <c r="G152">
        <v>0.34699999999999998</v>
      </c>
      <c r="H152">
        <v>0.13400000000000001</v>
      </c>
      <c r="I152">
        <v>0.1885</v>
      </c>
      <c r="J152">
        <v>8</v>
      </c>
      <c r="K152">
        <v>13</v>
      </c>
      <c r="L152" t="s">
        <v>12</v>
      </c>
      <c r="M152" t="s">
        <v>13</v>
      </c>
      <c r="N152" t="s">
        <v>3</v>
      </c>
      <c r="O152">
        <v>7</v>
      </c>
      <c r="P152" t="s">
        <v>42</v>
      </c>
      <c r="Q152">
        <v>2.5</v>
      </c>
      <c r="R152" t="str" cm="1">
        <f t="array" ref="R1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52" t="e">
        <f>IF(Table13[[#This Row],[Category All]]="Category 1", "Yes",NA())</f>
        <v>#N/A</v>
      </c>
      <c r="T152" t="str">
        <f>IF(Table13[[#This Row],[Category All]]="Category 2", "Yes",NA())</f>
        <v>Yes</v>
      </c>
      <c r="U152" t="e">
        <f>IF(Table13[[#This Row],[Category All]]="Category 3", "Yes",NA())</f>
        <v>#N/A</v>
      </c>
      <c r="V152">
        <f>SUM(1,(1/3)*(Table13[[#This Row],[Length]]-0.5),(1/3)*(Table13[[#This Row],[Diameter]]-0.4),(1/3)*(Table13[[#This Row],[Height]]-0.4)*Table13[[#This Row],[Whole_weight]]*0.5)</f>
        <v>0.97568750000000015</v>
      </c>
      <c r="W152" cm="1">
        <f t="array" ref="W1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0.78055000000000019</v>
      </c>
      <c r="X152" t="e">
        <f>IF(Table13[[#This Row],[Category All]]="Category 1",Table13[[#This Row],[Base Abalone Value]]*1.5,NA())</f>
        <v>#N/A</v>
      </c>
      <c r="Y152">
        <f>IF(Table13[[#This Row],[Category All]]="Category 2",Table13[[#This Row],[Base Abalone Value]]*0.8,NA())</f>
        <v>0.78055000000000019</v>
      </c>
      <c r="Z152" t="e">
        <f>IF(Table13[[#This Row],[Category All]]="Category 3",Table13[[#This Row],[Base Abalone Value]],NA())</f>
        <v>#N/A</v>
      </c>
      <c r="AA152" s="2">
        <f>IF(Table13[[#This Row],[Gender]]="M",Table13[[#This Row],[Whole_weight]],NA())</f>
        <v>0.70350000000000001</v>
      </c>
      <c r="AB152" s="2" t="e">
        <f>IF(Table13[[#This Row],[Gender]]="F",Table13[[#This Row],[Whole_weight]],NA())</f>
        <v>#N/A</v>
      </c>
      <c r="AC152" s="2" t="e">
        <f>IF(Table13[[#This Row],[Gender]]="I",Table13[[#This Row],[Whole_weight]],NA())</f>
        <v>#N/A</v>
      </c>
      <c r="AD152" s="2">
        <f>IF(Table13[[#This Row],[Gender]]="M",Table13[[#This Row],[Diameter]],NA())</f>
        <v>0.40500000000000003</v>
      </c>
      <c r="AE152" s="2" t="e">
        <f>IF(Table13[[#This Row],[Gender]]="F",Table13[[#This Row],[Diameter]],NA())</f>
        <v>#N/A</v>
      </c>
      <c r="AF152" s="2" t="e">
        <f>IF(Table13[[#This Row],[Gender]]="I",Table13[[#This Row],[Diameter]],NA())</f>
        <v>#N/A</v>
      </c>
    </row>
    <row r="153" spans="1:32" x14ac:dyDescent="0.2">
      <c r="A153">
        <v>4113</v>
      </c>
      <c r="B153" t="s">
        <v>0</v>
      </c>
      <c r="C153">
        <v>0.56000000000000005</v>
      </c>
      <c r="D153">
        <v>0.42</v>
      </c>
      <c r="E153">
        <v>0.18</v>
      </c>
      <c r="F153">
        <v>1.6645000000000001</v>
      </c>
      <c r="G153">
        <v>0.77549999999999997</v>
      </c>
      <c r="H153">
        <v>0.35</v>
      </c>
      <c r="I153">
        <v>0.45250000000000001</v>
      </c>
      <c r="J153">
        <v>9</v>
      </c>
      <c r="K153">
        <v>6</v>
      </c>
      <c r="L153" t="s">
        <v>39</v>
      </c>
      <c r="M153" t="s">
        <v>40</v>
      </c>
      <c r="N153" t="s">
        <v>41</v>
      </c>
      <c r="O153">
        <v>10</v>
      </c>
      <c r="P153" t="s">
        <v>38</v>
      </c>
      <c r="Q153">
        <v>24.1</v>
      </c>
      <c r="R153" t="str" cm="1">
        <f t="array" ref="R1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53" t="e">
        <f>IF(Table13[[#This Row],[Category All]]="Category 1", "Yes",NA())</f>
        <v>#N/A</v>
      </c>
      <c r="T153" t="e">
        <f>IF(Table13[[#This Row],[Category All]]="Category 2", "Yes",NA())</f>
        <v>#N/A</v>
      </c>
      <c r="U153" t="str">
        <f>IF(Table13[[#This Row],[Category All]]="Category 3", "Yes",NA())</f>
        <v>Yes</v>
      </c>
      <c r="V153">
        <f>SUM(1,(1/3)*(Table13[[#This Row],[Length]]-0.5),(1/3)*(Table13[[#This Row],[Diameter]]-0.4),(1/3)*(Table13[[#This Row],[Height]]-0.4)*Table13[[#This Row],[Whole_weight]]*0.5)</f>
        <v>0.96563499999999991</v>
      </c>
      <c r="W153" cm="1">
        <f t="array" ref="W1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0.96563499999999991</v>
      </c>
      <c r="X153" t="e">
        <f>IF(Table13[[#This Row],[Category All]]="Category 1",Table13[[#This Row],[Base Abalone Value]]*1.5,NA())</f>
        <v>#N/A</v>
      </c>
      <c r="Y153" t="e">
        <f>IF(Table13[[#This Row],[Category All]]="Category 2",Table13[[#This Row],[Base Abalone Value]]*0.8,NA())</f>
        <v>#N/A</v>
      </c>
      <c r="Z153">
        <f>IF(Table13[[#This Row],[Category All]]="Category 3",Table13[[#This Row],[Base Abalone Value]],NA())</f>
        <v>0.96563499999999991</v>
      </c>
      <c r="AA153" s="2" t="e">
        <f>IF(Table13[[#This Row],[Gender]]="M",Table13[[#This Row],[Whole_weight]],NA())</f>
        <v>#N/A</v>
      </c>
      <c r="AB153" s="2">
        <f>IF(Table13[[#This Row],[Gender]]="F",Table13[[#This Row],[Whole_weight]],NA())</f>
        <v>1.6645000000000001</v>
      </c>
      <c r="AC153" s="2" t="e">
        <f>IF(Table13[[#This Row],[Gender]]="I",Table13[[#This Row],[Whole_weight]],NA())</f>
        <v>#N/A</v>
      </c>
      <c r="AD153" s="2" t="e">
        <f>IF(Table13[[#This Row],[Gender]]="M",Table13[[#This Row],[Diameter]],NA())</f>
        <v>#N/A</v>
      </c>
      <c r="AE153" s="2">
        <f>IF(Table13[[#This Row],[Gender]]="F",Table13[[#This Row],[Diameter]],NA())</f>
        <v>0.42</v>
      </c>
      <c r="AF153" s="2" t="e">
        <f>IF(Table13[[#This Row],[Gender]]="I",Table13[[#This Row],[Diameter]],NA())</f>
        <v>#N/A</v>
      </c>
    </row>
    <row r="154" spans="1:32" x14ac:dyDescent="0.2">
      <c r="A154">
        <v>3575</v>
      </c>
      <c r="B154" t="s">
        <v>0</v>
      </c>
      <c r="C154">
        <v>0.6</v>
      </c>
      <c r="D154">
        <v>0.47</v>
      </c>
      <c r="E154">
        <v>0.17</v>
      </c>
      <c r="F154">
        <v>1.0805</v>
      </c>
      <c r="G154">
        <v>0.4995</v>
      </c>
      <c r="H154">
        <v>0.22450000000000001</v>
      </c>
      <c r="I154">
        <v>0.32050000000000001</v>
      </c>
      <c r="J154">
        <v>9</v>
      </c>
      <c r="K154">
        <v>4</v>
      </c>
      <c r="L154" t="s">
        <v>52</v>
      </c>
      <c r="M154" t="s">
        <v>53</v>
      </c>
      <c r="N154" t="s">
        <v>54</v>
      </c>
      <c r="O154">
        <v>10</v>
      </c>
      <c r="P154" t="s">
        <v>38</v>
      </c>
      <c r="Q154">
        <v>24.1</v>
      </c>
      <c r="R154" t="str" cm="1">
        <f t="array" ref="R1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54" t="e">
        <f>IF(Table13[[#This Row],[Category All]]="Category 1", "Yes",NA())</f>
        <v>#N/A</v>
      </c>
      <c r="T154" t="e">
        <f>IF(Table13[[#This Row],[Category All]]="Category 2", "Yes",NA())</f>
        <v>#N/A</v>
      </c>
      <c r="U154" t="str">
        <f>IF(Table13[[#This Row],[Category All]]="Category 3", "Yes",NA())</f>
        <v>Yes</v>
      </c>
      <c r="V154">
        <f>SUM(1,(1/3)*(Table13[[#This Row],[Length]]-0.5),(1/3)*(Table13[[#This Row],[Diameter]]-0.4),(1/3)*(Table13[[#This Row],[Height]]-0.4)*Table13[[#This Row],[Whole_weight]]*0.5)</f>
        <v>1.0152475000000001</v>
      </c>
      <c r="W154" cm="1">
        <f t="array" ref="W1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1.0152475000000001</v>
      </c>
      <c r="X154" t="e">
        <f>IF(Table13[[#This Row],[Category All]]="Category 1",Table13[[#This Row],[Base Abalone Value]]*1.5,NA())</f>
        <v>#N/A</v>
      </c>
      <c r="Y154" t="e">
        <f>IF(Table13[[#This Row],[Category All]]="Category 2",Table13[[#This Row],[Base Abalone Value]]*0.8,NA())</f>
        <v>#N/A</v>
      </c>
      <c r="Z154">
        <f>IF(Table13[[#This Row],[Category All]]="Category 3",Table13[[#This Row],[Base Abalone Value]],NA())</f>
        <v>1.0152475000000001</v>
      </c>
      <c r="AA154" s="2" t="e">
        <f>IF(Table13[[#This Row],[Gender]]="M",Table13[[#This Row],[Whole_weight]],NA())</f>
        <v>#N/A</v>
      </c>
      <c r="AB154" s="2">
        <f>IF(Table13[[#This Row],[Gender]]="F",Table13[[#This Row],[Whole_weight]],NA())</f>
        <v>1.0805</v>
      </c>
      <c r="AC154" s="2" t="e">
        <f>IF(Table13[[#This Row],[Gender]]="I",Table13[[#This Row],[Whole_weight]],NA())</f>
        <v>#N/A</v>
      </c>
      <c r="AD154" s="2" t="e">
        <f>IF(Table13[[#This Row],[Gender]]="M",Table13[[#This Row],[Diameter]],NA())</f>
        <v>#N/A</v>
      </c>
      <c r="AE154" s="2">
        <f>IF(Table13[[#This Row],[Gender]]="F",Table13[[#This Row],[Diameter]],NA())</f>
        <v>0.47</v>
      </c>
      <c r="AF154" s="2" t="e">
        <f>IF(Table13[[#This Row],[Gender]]="I",Table13[[#This Row],[Diameter]],NA())</f>
        <v>#N/A</v>
      </c>
    </row>
    <row r="155" spans="1:32" x14ac:dyDescent="0.2">
      <c r="A155">
        <v>1711</v>
      </c>
      <c r="B155" t="s">
        <v>15</v>
      </c>
      <c r="C155">
        <v>0.64500000000000002</v>
      </c>
      <c r="D155">
        <v>0.51</v>
      </c>
      <c r="E155">
        <v>0.19500000000000001</v>
      </c>
      <c r="F155">
        <v>1.226</v>
      </c>
      <c r="G155">
        <v>0.58850000000000002</v>
      </c>
      <c r="H155">
        <v>0.2215</v>
      </c>
      <c r="I155">
        <v>0.3745</v>
      </c>
      <c r="J155">
        <v>10</v>
      </c>
      <c r="K155">
        <v>6</v>
      </c>
      <c r="L155" t="s">
        <v>39</v>
      </c>
      <c r="M155" t="s">
        <v>40</v>
      </c>
      <c r="N155" t="s">
        <v>41</v>
      </c>
      <c r="O155">
        <v>8</v>
      </c>
      <c r="P155" t="s">
        <v>19</v>
      </c>
      <c r="Q155">
        <v>12.3</v>
      </c>
      <c r="R155" t="str" cm="1">
        <f t="array" ref="R1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55" t="e">
        <f>IF(Table13[[#This Row],[Category All]]="Category 1", "Yes",NA())</f>
        <v>#N/A</v>
      </c>
      <c r="T155" t="e">
        <f>IF(Table13[[#This Row],[Category All]]="Category 2", "Yes",NA())</f>
        <v>#N/A</v>
      </c>
      <c r="U155" t="str">
        <f>IF(Table13[[#This Row],[Category All]]="Category 3", "Yes",NA())</f>
        <v>Yes</v>
      </c>
      <c r="V155">
        <f>SUM(1,(1/3)*(Table13[[#This Row],[Length]]-0.5),(1/3)*(Table13[[#This Row],[Diameter]]-0.4),(1/3)*(Table13[[#This Row],[Height]]-0.4)*Table13[[#This Row],[Whole_weight]]*0.5)</f>
        <v>1.0431116666666667</v>
      </c>
      <c r="W155" cm="1">
        <f t="array" ref="W1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1.0431116666666667</v>
      </c>
      <c r="X155" t="e">
        <f>IF(Table13[[#This Row],[Category All]]="Category 1",Table13[[#This Row],[Base Abalone Value]]*1.5,NA())</f>
        <v>#N/A</v>
      </c>
      <c r="Y155" t="e">
        <f>IF(Table13[[#This Row],[Category All]]="Category 2",Table13[[#This Row],[Base Abalone Value]]*0.8,NA())</f>
        <v>#N/A</v>
      </c>
      <c r="Z155">
        <f>IF(Table13[[#This Row],[Category All]]="Category 3",Table13[[#This Row],[Base Abalone Value]],NA())</f>
        <v>1.0431116666666667</v>
      </c>
      <c r="AA155" s="2">
        <f>IF(Table13[[#This Row],[Gender]]="M",Table13[[#This Row],[Whole_weight]],NA())</f>
        <v>1.226</v>
      </c>
      <c r="AB155" s="2" t="e">
        <f>IF(Table13[[#This Row],[Gender]]="F",Table13[[#This Row],[Whole_weight]],NA())</f>
        <v>#N/A</v>
      </c>
      <c r="AC155" s="2" t="e">
        <f>IF(Table13[[#This Row],[Gender]]="I",Table13[[#This Row],[Whole_weight]],NA())</f>
        <v>#N/A</v>
      </c>
      <c r="AD155" s="2">
        <f>IF(Table13[[#This Row],[Gender]]="M",Table13[[#This Row],[Diameter]],NA())</f>
        <v>0.51</v>
      </c>
      <c r="AE155" s="2" t="e">
        <f>IF(Table13[[#This Row],[Gender]]="F",Table13[[#This Row],[Diameter]],NA())</f>
        <v>#N/A</v>
      </c>
      <c r="AF155" s="2" t="e">
        <f>IF(Table13[[#This Row],[Gender]]="I",Table13[[#This Row],[Diameter]],NA())</f>
        <v>#N/A</v>
      </c>
    </row>
    <row r="156" spans="1:32" x14ac:dyDescent="0.2">
      <c r="A156">
        <v>2072</v>
      </c>
      <c r="B156" t="s">
        <v>0</v>
      </c>
      <c r="C156">
        <v>0.56499999999999995</v>
      </c>
      <c r="D156">
        <v>0.44</v>
      </c>
      <c r="E156">
        <v>0.13500000000000001</v>
      </c>
      <c r="F156">
        <v>0.83</v>
      </c>
      <c r="G156">
        <v>0.39300000000000002</v>
      </c>
      <c r="H156">
        <v>0.17349999999999999</v>
      </c>
      <c r="I156">
        <v>0.23799999999999999</v>
      </c>
      <c r="J156">
        <v>9</v>
      </c>
      <c r="K156">
        <v>6</v>
      </c>
      <c r="L156" t="s">
        <v>39</v>
      </c>
      <c r="M156" t="s">
        <v>40</v>
      </c>
      <c r="N156" t="s">
        <v>41</v>
      </c>
      <c r="O156">
        <v>10</v>
      </c>
      <c r="P156" t="s">
        <v>38</v>
      </c>
      <c r="Q156">
        <v>24.1</v>
      </c>
      <c r="R156" t="str" cm="1">
        <f t="array" ref="R1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56" t="e">
        <f>IF(Table13[[#This Row],[Category All]]="Category 1", "Yes",NA())</f>
        <v>#N/A</v>
      </c>
      <c r="T156" t="str">
        <f>IF(Table13[[#This Row],[Category All]]="Category 2", "Yes",NA())</f>
        <v>Yes</v>
      </c>
      <c r="U156" t="e">
        <f>IF(Table13[[#This Row],[Category All]]="Category 3", "Yes",NA())</f>
        <v>#N/A</v>
      </c>
      <c r="V156">
        <f>SUM(1,(1/3)*(Table13[[#This Row],[Length]]-0.5),(1/3)*(Table13[[#This Row],[Diameter]]-0.4),(1/3)*(Table13[[#This Row],[Height]]-0.4)*Table13[[#This Row],[Whole_weight]]*0.5)</f>
        <v>0.99834166666666679</v>
      </c>
      <c r="W156" cm="1">
        <f t="array" ref="W1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0.79867333333333346</v>
      </c>
      <c r="X156" t="e">
        <f>IF(Table13[[#This Row],[Category All]]="Category 1",Table13[[#This Row],[Base Abalone Value]]*1.5,NA())</f>
        <v>#N/A</v>
      </c>
      <c r="Y156">
        <f>IF(Table13[[#This Row],[Category All]]="Category 2",Table13[[#This Row],[Base Abalone Value]]*0.8,NA())</f>
        <v>0.79867333333333346</v>
      </c>
      <c r="Z156" t="e">
        <f>IF(Table13[[#This Row],[Category All]]="Category 3",Table13[[#This Row],[Base Abalone Value]],NA())</f>
        <v>#N/A</v>
      </c>
      <c r="AA156" s="2" t="e">
        <f>IF(Table13[[#This Row],[Gender]]="M",Table13[[#This Row],[Whole_weight]],NA())</f>
        <v>#N/A</v>
      </c>
      <c r="AB156" s="2">
        <f>IF(Table13[[#This Row],[Gender]]="F",Table13[[#This Row],[Whole_weight]],NA())</f>
        <v>0.83</v>
      </c>
      <c r="AC156" s="2" t="e">
        <f>IF(Table13[[#This Row],[Gender]]="I",Table13[[#This Row],[Whole_weight]],NA())</f>
        <v>#N/A</v>
      </c>
      <c r="AD156" s="2" t="e">
        <f>IF(Table13[[#This Row],[Gender]]="M",Table13[[#This Row],[Diameter]],NA())</f>
        <v>#N/A</v>
      </c>
      <c r="AE156" s="2">
        <f>IF(Table13[[#This Row],[Gender]]="F",Table13[[#This Row],[Diameter]],NA())</f>
        <v>0.44</v>
      </c>
      <c r="AF156" s="2" t="e">
        <f>IF(Table13[[#This Row],[Gender]]="I",Table13[[#This Row],[Diameter]],NA())</f>
        <v>#N/A</v>
      </c>
    </row>
    <row r="157" spans="1:32" x14ac:dyDescent="0.2">
      <c r="A157">
        <v>68</v>
      </c>
      <c r="B157" t="s">
        <v>0</v>
      </c>
      <c r="C157">
        <v>0.59499999999999997</v>
      </c>
      <c r="D157">
        <v>0.495</v>
      </c>
      <c r="E157">
        <v>0.185</v>
      </c>
      <c r="F157">
        <v>1.2849999999999999</v>
      </c>
      <c r="G157">
        <v>0.41599999999999998</v>
      </c>
      <c r="H157">
        <v>0.224</v>
      </c>
      <c r="I157">
        <v>0.48499999999999999</v>
      </c>
      <c r="J157">
        <v>13</v>
      </c>
      <c r="K157">
        <v>7</v>
      </c>
      <c r="L157" t="s">
        <v>35</v>
      </c>
      <c r="M157" t="s">
        <v>36</v>
      </c>
      <c r="N157" t="s">
        <v>37</v>
      </c>
      <c r="O157">
        <v>10</v>
      </c>
      <c r="P157" t="s">
        <v>38</v>
      </c>
      <c r="Q157">
        <v>24.1</v>
      </c>
      <c r="R157" t="str" cm="1">
        <f t="array" ref="R1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57" t="e">
        <f>IF(Table13[[#This Row],[Category All]]="Category 1", "Yes",NA())</f>
        <v>#N/A</v>
      </c>
      <c r="T157" t="e">
        <f>IF(Table13[[#This Row],[Category All]]="Category 2", "Yes",NA())</f>
        <v>#N/A</v>
      </c>
      <c r="U157" t="str">
        <f>IF(Table13[[#This Row],[Category All]]="Category 3", "Yes",NA())</f>
        <v>Yes</v>
      </c>
      <c r="V157">
        <f>SUM(1,(1/3)*(Table13[[#This Row],[Length]]-0.5),(1/3)*(Table13[[#This Row],[Diameter]]-0.4),(1/3)*(Table13[[#This Row],[Height]]-0.4)*Table13[[#This Row],[Whole_weight]]*0.5)</f>
        <v>1.0172875000000001</v>
      </c>
      <c r="W157" cm="1">
        <f t="array" ref="W1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1.0172875000000001</v>
      </c>
      <c r="X157" t="e">
        <f>IF(Table13[[#This Row],[Category All]]="Category 1",Table13[[#This Row],[Base Abalone Value]]*1.5,NA())</f>
        <v>#N/A</v>
      </c>
      <c r="Y157" t="e">
        <f>IF(Table13[[#This Row],[Category All]]="Category 2",Table13[[#This Row],[Base Abalone Value]]*0.8,NA())</f>
        <v>#N/A</v>
      </c>
      <c r="Z157">
        <f>IF(Table13[[#This Row],[Category All]]="Category 3",Table13[[#This Row],[Base Abalone Value]],NA())</f>
        <v>1.0172875000000001</v>
      </c>
      <c r="AA157" s="2" t="e">
        <f>IF(Table13[[#This Row],[Gender]]="M",Table13[[#This Row],[Whole_weight]],NA())</f>
        <v>#N/A</v>
      </c>
      <c r="AB157" s="2">
        <f>IF(Table13[[#This Row],[Gender]]="F",Table13[[#This Row],[Whole_weight]],NA())</f>
        <v>1.2849999999999999</v>
      </c>
      <c r="AC157" s="2" t="e">
        <f>IF(Table13[[#This Row],[Gender]]="I",Table13[[#This Row],[Whole_weight]],NA())</f>
        <v>#N/A</v>
      </c>
      <c r="AD157" s="2" t="e">
        <f>IF(Table13[[#This Row],[Gender]]="M",Table13[[#This Row],[Diameter]],NA())</f>
        <v>#N/A</v>
      </c>
      <c r="AE157" s="2">
        <f>IF(Table13[[#This Row],[Gender]]="F",Table13[[#This Row],[Diameter]],NA())</f>
        <v>0.495</v>
      </c>
      <c r="AF157" s="2" t="e">
        <f>IF(Table13[[#This Row],[Gender]]="I",Table13[[#This Row],[Diameter]],NA())</f>
        <v>#N/A</v>
      </c>
    </row>
    <row r="158" spans="1:32" x14ac:dyDescent="0.2">
      <c r="A158">
        <v>2914</v>
      </c>
      <c r="B158" t="s">
        <v>15</v>
      </c>
      <c r="C158">
        <v>0.59</v>
      </c>
      <c r="D158">
        <v>0.5</v>
      </c>
      <c r="E158">
        <v>0.15</v>
      </c>
      <c r="F158">
        <v>1.1419999999999999</v>
      </c>
      <c r="G158">
        <v>0.48499999999999999</v>
      </c>
      <c r="H158">
        <v>0.26500000000000001</v>
      </c>
      <c r="I158">
        <v>0.34499999999999997</v>
      </c>
      <c r="J158">
        <v>9</v>
      </c>
      <c r="K158">
        <v>12</v>
      </c>
      <c r="L158" t="s">
        <v>1</v>
      </c>
      <c r="M158" t="s">
        <v>2</v>
      </c>
      <c r="N158" t="s">
        <v>3</v>
      </c>
      <c r="O158">
        <v>2</v>
      </c>
      <c r="P158" t="s">
        <v>7</v>
      </c>
      <c r="Q158">
        <v>18</v>
      </c>
      <c r="R158" t="str" cm="1">
        <f t="array" ref="R1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58" t="e">
        <f>IF(Table13[[#This Row],[Category All]]="Category 1", "Yes",NA())</f>
        <v>#N/A</v>
      </c>
      <c r="T158" t="e">
        <f>IF(Table13[[#This Row],[Category All]]="Category 2", "Yes",NA())</f>
        <v>#N/A</v>
      </c>
      <c r="U158" t="str">
        <f>IF(Table13[[#This Row],[Category All]]="Category 3", "Yes",NA())</f>
        <v>Yes</v>
      </c>
      <c r="V158">
        <f>SUM(1,(1/3)*(Table13[[#This Row],[Length]]-0.5),(1/3)*(Table13[[#This Row],[Diameter]]-0.4),(1/3)*(Table13[[#This Row],[Height]]-0.4)*Table13[[#This Row],[Whole_weight]]*0.5)</f>
        <v>1.0157500000000002</v>
      </c>
      <c r="W158" cm="1">
        <f t="array" ref="W1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1.0157500000000002</v>
      </c>
      <c r="X158" t="e">
        <f>IF(Table13[[#This Row],[Category All]]="Category 1",Table13[[#This Row],[Base Abalone Value]]*1.5,NA())</f>
        <v>#N/A</v>
      </c>
      <c r="Y158" t="e">
        <f>IF(Table13[[#This Row],[Category All]]="Category 2",Table13[[#This Row],[Base Abalone Value]]*0.8,NA())</f>
        <v>#N/A</v>
      </c>
      <c r="Z158">
        <f>IF(Table13[[#This Row],[Category All]]="Category 3",Table13[[#This Row],[Base Abalone Value]],NA())</f>
        <v>1.0157500000000002</v>
      </c>
      <c r="AA158" s="2">
        <f>IF(Table13[[#This Row],[Gender]]="M",Table13[[#This Row],[Whole_weight]],NA())</f>
        <v>1.1419999999999999</v>
      </c>
      <c r="AB158" s="2" t="e">
        <f>IF(Table13[[#This Row],[Gender]]="F",Table13[[#This Row],[Whole_weight]],NA())</f>
        <v>#N/A</v>
      </c>
      <c r="AC158" s="2" t="e">
        <f>IF(Table13[[#This Row],[Gender]]="I",Table13[[#This Row],[Whole_weight]],NA())</f>
        <v>#N/A</v>
      </c>
      <c r="AD158" s="2">
        <f>IF(Table13[[#This Row],[Gender]]="M",Table13[[#This Row],[Diameter]],NA())</f>
        <v>0.5</v>
      </c>
      <c r="AE158" s="2" t="e">
        <f>IF(Table13[[#This Row],[Gender]]="F",Table13[[#This Row],[Diameter]],NA())</f>
        <v>#N/A</v>
      </c>
      <c r="AF158" s="2" t="e">
        <f>IF(Table13[[#This Row],[Gender]]="I",Table13[[#This Row],[Diameter]],NA())</f>
        <v>#N/A</v>
      </c>
    </row>
    <row r="159" spans="1:32" x14ac:dyDescent="0.2">
      <c r="A159">
        <v>3437</v>
      </c>
      <c r="B159" t="s">
        <v>11</v>
      </c>
      <c r="C159">
        <v>0.38</v>
      </c>
      <c r="D159">
        <v>0.27500000000000002</v>
      </c>
      <c r="E159">
        <v>9.5000000000000001E-2</v>
      </c>
      <c r="F159">
        <v>0.2505</v>
      </c>
      <c r="G159">
        <v>9.4500000000000001E-2</v>
      </c>
      <c r="H159">
        <v>6.5500000000000003E-2</v>
      </c>
      <c r="I159">
        <v>7.4999999999999997E-2</v>
      </c>
      <c r="J159">
        <v>6</v>
      </c>
      <c r="K159">
        <v>13</v>
      </c>
      <c r="L159" t="s">
        <v>12</v>
      </c>
      <c r="M159" t="s">
        <v>13</v>
      </c>
      <c r="N159" t="s">
        <v>3</v>
      </c>
      <c r="O159">
        <v>6</v>
      </c>
      <c r="P159" t="s">
        <v>47</v>
      </c>
      <c r="Q159">
        <v>14.1</v>
      </c>
      <c r="R159" t="str" cm="1">
        <f t="array" ref="R1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59" t="e">
        <f>IF(Table13[[#This Row],[Category All]]="Category 1", "Yes",NA())</f>
        <v>#N/A</v>
      </c>
      <c r="T159" t="str">
        <f>IF(Table13[[#This Row],[Category All]]="Category 2", "Yes",NA())</f>
        <v>Yes</v>
      </c>
      <c r="U159" t="e">
        <f>IF(Table13[[#This Row],[Category All]]="Category 3", "Yes",NA())</f>
        <v>#N/A</v>
      </c>
      <c r="V159">
        <f>SUM(1,(1/3)*(Table13[[#This Row],[Length]]-0.5),(1/3)*(Table13[[#This Row],[Diameter]]-0.4),(1/3)*(Table13[[#This Row],[Height]]-0.4)*Table13[[#This Row],[Whole_weight]]*0.5)</f>
        <v>0.90559958333333335</v>
      </c>
      <c r="W159" cm="1">
        <f t="array" ref="W1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0.72447966666666674</v>
      </c>
      <c r="X159" t="e">
        <f>IF(Table13[[#This Row],[Category All]]="Category 1",Table13[[#This Row],[Base Abalone Value]]*1.5,NA())</f>
        <v>#N/A</v>
      </c>
      <c r="Y159">
        <f>IF(Table13[[#This Row],[Category All]]="Category 2",Table13[[#This Row],[Base Abalone Value]]*0.8,NA())</f>
        <v>0.72447966666666674</v>
      </c>
      <c r="Z159" t="e">
        <f>IF(Table13[[#This Row],[Category All]]="Category 3",Table13[[#This Row],[Base Abalone Value]],NA())</f>
        <v>#N/A</v>
      </c>
      <c r="AA159" s="2" t="e">
        <f>IF(Table13[[#This Row],[Gender]]="M",Table13[[#This Row],[Whole_weight]],NA())</f>
        <v>#N/A</v>
      </c>
      <c r="AB159" s="2" t="e">
        <f>IF(Table13[[#This Row],[Gender]]="F",Table13[[#This Row],[Whole_weight]],NA())</f>
        <v>#N/A</v>
      </c>
      <c r="AC159" s="2">
        <f>IF(Table13[[#This Row],[Gender]]="I",Table13[[#This Row],[Whole_weight]],NA())</f>
        <v>0.2505</v>
      </c>
      <c r="AD159" s="2" t="e">
        <f>IF(Table13[[#This Row],[Gender]]="M",Table13[[#This Row],[Diameter]],NA())</f>
        <v>#N/A</v>
      </c>
      <c r="AE159" s="2" t="e">
        <f>IF(Table13[[#This Row],[Gender]]="F",Table13[[#This Row],[Diameter]],NA())</f>
        <v>#N/A</v>
      </c>
      <c r="AF159" s="2">
        <f>IF(Table13[[#This Row],[Gender]]="I",Table13[[#This Row],[Diameter]],NA())</f>
        <v>0.27500000000000002</v>
      </c>
    </row>
    <row r="160" spans="1:32" x14ac:dyDescent="0.2">
      <c r="A160">
        <v>1113</v>
      </c>
      <c r="B160" t="s">
        <v>0</v>
      </c>
      <c r="C160">
        <v>0.52</v>
      </c>
      <c r="D160">
        <v>0.46</v>
      </c>
      <c r="E160">
        <v>0.15</v>
      </c>
      <c r="F160">
        <v>1.0189999999999999</v>
      </c>
      <c r="G160">
        <v>0.52300000000000002</v>
      </c>
      <c r="H160">
        <v>0.19850000000000001</v>
      </c>
      <c r="I160">
        <v>0.254</v>
      </c>
      <c r="J160">
        <v>7</v>
      </c>
      <c r="K160">
        <v>8</v>
      </c>
      <c r="L160" t="s">
        <v>29</v>
      </c>
      <c r="M160" t="s">
        <v>30</v>
      </c>
      <c r="N160" t="s">
        <v>31</v>
      </c>
      <c r="O160">
        <v>7</v>
      </c>
      <c r="P160" t="s">
        <v>42</v>
      </c>
      <c r="Q160">
        <v>2.5</v>
      </c>
      <c r="R160" t="str" cm="1">
        <f t="array" ref="R1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60" t="e">
        <f>IF(Table13[[#This Row],[Category All]]="Category 1", "Yes",NA())</f>
        <v>#N/A</v>
      </c>
      <c r="T160" t="e">
        <f>IF(Table13[[#This Row],[Category All]]="Category 2", "Yes",NA())</f>
        <v>#N/A</v>
      </c>
      <c r="U160" t="str">
        <f>IF(Table13[[#This Row],[Category All]]="Category 3", "Yes",NA())</f>
        <v>Yes</v>
      </c>
      <c r="V160">
        <f>SUM(1,(1/3)*(Table13[[#This Row],[Length]]-0.5),(1/3)*(Table13[[#This Row],[Diameter]]-0.4),(1/3)*(Table13[[#This Row],[Height]]-0.4)*Table13[[#This Row],[Whole_weight]]*0.5)</f>
        <v>0.98420833333333324</v>
      </c>
      <c r="W160" cm="1">
        <f t="array" ref="W1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0.98420833333333324</v>
      </c>
      <c r="X160" t="e">
        <f>IF(Table13[[#This Row],[Category All]]="Category 1",Table13[[#This Row],[Base Abalone Value]]*1.5,NA())</f>
        <v>#N/A</v>
      </c>
      <c r="Y160" t="e">
        <f>IF(Table13[[#This Row],[Category All]]="Category 2",Table13[[#This Row],[Base Abalone Value]]*0.8,NA())</f>
        <v>#N/A</v>
      </c>
      <c r="Z160">
        <f>IF(Table13[[#This Row],[Category All]]="Category 3",Table13[[#This Row],[Base Abalone Value]],NA())</f>
        <v>0.98420833333333324</v>
      </c>
      <c r="AA160" s="2" t="e">
        <f>IF(Table13[[#This Row],[Gender]]="M",Table13[[#This Row],[Whole_weight]],NA())</f>
        <v>#N/A</v>
      </c>
      <c r="AB160" s="2">
        <f>IF(Table13[[#This Row],[Gender]]="F",Table13[[#This Row],[Whole_weight]],NA())</f>
        <v>1.0189999999999999</v>
      </c>
      <c r="AC160" s="2" t="e">
        <f>IF(Table13[[#This Row],[Gender]]="I",Table13[[#This Row],[Whole_weight]],NA())</f>
        <v>#N/A</v>
      </c>
      <c r="AD160" s="2" t="e">
        <f>IF(Table13[[#This Row],[Gender]]="M",Table13[[#This Row],[Diameter]],NA())</f>
        <v>#N/A</v>
      </c>
      <c r="AE160" s="2">
        <f>IF(Table13[[#This Row],[Gender]]="F",Table13[[#This Row],[Diameter]],NA())</f>
        <v>0.46</v>
      </c>
      <c r="AF160" s="2" t="e">
        <f>IF(Table13[[#This Row],[Gender]]="I",Table13[[#This Row],[Diameter]],NA())</f>
        <v>#N/A</v>
      </c>
    </row>
    <row r="161" spans="1:32" x14ac:dyDescent="0.2">
      <c r="A161">
        <v>1878</v>
      </c>
      <c r="B161" t="s">
        <v>11</v>
      </c>
      <c r="C161">
        <v>0.54</v>
      </c>
      <c r="D161">
        <v>0.39</v>
      </c>
      <c r="E161">
        <v>0.125</v>
      </c>
      <c r="F161">
        <v>0.62549999999999994</v>
      </c>
      <c r="G161">
        <v>0.2525</v>
      </c>
      <c r="H161">
        <v>0.158</v>
      </c>
      <c r="I161">
        <v>0.19</v>
      </c>
      <c r="J161">
        <v>8</v>
      </c>
      <c r="K161">
        <v>7</v>
      </c>
      <c r="L161" t="s">
        <v>35</v>
      </c>
      <c r="M161" t="s">
        <v>36</v>
      </c>
      <c r="N161" t="s">
        <v>37</v>
      </c>
      <c r="O161">
        <v>10</v>
      </c>
      <c r="P161" t="s">
        <v>38</v>
      </c>
      <c r="Q161">
        <v>24.1</v>
      </c>
      <c r="R161" t="str" cm="1">
        <f t="array" ref="R1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61" t="e">
        <f>IF(Table13[[#This Row],[Category All]]="Category 1", "Yes",NA())</f>
        <v>#N/A</v>
      </c>
      <c r="T161" t="str">
        <f>IF(Table13[[#This Row],[Category All]]="Category 2", "Yes",NA())</f>
        <v>Yes</v>
      </c>
      <c r="U161" t="e">
        <f>IF(Table13[[#This Row],[Category All]]="Category 3", "Yes",NA())</f>
        <v>#N/A</v>
      </c>
      <c r="V161">
        <f>SUM(1,(1/3)*(Table13[[#This Row],[Length]]-0.5),(1/3)*(Table13[[#This Row],[Diameter]]-0.4),(1/3)*(Table13[[#This Row],[Height]]-0.4)*Table13[[#This Row],[Whole_weight]]*0.5)</f>
        <v>0.98133124999999999</v>
      </c>
      <c r="W161" cm="1">
        <f t="array" ref="W1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0.78506500000000001</v>
      </c>
      <c r="X161" t="e">
        <f>IF(Table13[[#This Row],[Category All]]="Category 1",Table13[[#This Row],[Base Abalone Value]]*1.5,NA())</f>
        <v>#N/A</v>
      </c>
      <c r="Y161">
        <f>IF(Table13[[#This Row],[Category All]]="Category 2",Table13[[#This Row],[Base Abalone Value]]*0.8,NA())</f>
        <v>0.78506500000000001</v>
      </c>
      <c r="Z161" t="e">
        <f>IF(Table13[[#This Row],[Category All]]="Category 3",Table13[[#This Row],[Base Abalone Value]],NA())</f>
        <v>#N/A</v>
      </c>
      <c r="AA161" s="2" t="e">
        <f>IF(Table13[[#This Row],[Gender]]="M",Table13[[#This Row],[Whole_weight]],NA())</f>
        <v>#N/A</v>
      </c>
      <c r="AB161" s="2" t="e">
        <f>IF(Table13[[#This Row],[Gender]]="F",Table13[[#This Row],[Whole_weight]],NA())</f>
        <v>#N/A</v>
      </c>
      <c r="AC161" s="2">
        <f>IF(Table13[[#This Row],[Gender]]="I",Table13[[#This Row],[Whole_weight]],NA())</f>
        <v>0.62549999999999994</v>
      </c>
      <c r="AD161" s="2" t="e">
        <f>IF(Table13[[#This Row],[Gender]]="M",Table13[[#This Row],[Diameter]],NA())</f>
        <v>#N/A</v>
      </c>
      <c r="AE161" s="2" t="e">
        <f>IF(Table13[[#This Row],[Gender]]="F",Table13[[#This Row],[Diameter]],NA())</f>
        <v>#N/A</v>
      </c>
      <c r="AF161" s="2">
        <f>IF(Table13[[#This Row],[Gender]]="I",Table13[[#This Row],[Diameter]],NA())</f>
        <v>0.39</v>
      </c>
    </row>
    <row r="162" spans="1:32" x14ac:dyDescent="0.2">
      <c r="A162">
        <v>1809</v>
      </c>
      <c r="B162" t="s">
        <v>0</v>
      </c>
      <c r="C162">
        <v>0.63500000000000001</v>
      </c>
      <c r="D162">
        <v>0.47499999999999998</v>
      </c>
      <c r="E162">
        <v>0.15</v>
      </c>
      <c r="F162">
        <v>1.1845000000000001</v>
      </c>
      <c r="G162">
        <v>0.53300000000000003</v>
      </c>
      <c r="H162">
        <v>0.307</v>
      </c>
      <c r="I162">
        <v>0.29099999999999998</v>
      </c>
      <c r="J162">
        <v>10</v>
      </c>
      <c r="K162">
        <v>13</v>
      </c>
      <c r="L162" t="s">
        <v>12</v>
      </c>
      <c r="M162" t="s">
        <v>13</v>
      </c>
      <c r="N162" t="s">
        <v>3</v>
      </c>
      <c r="O162">
        <v>1</v>
      </c>
      <c r="P162" t="s">
        <v>4</v>
      </c>
      <c r="Q162">
        <v>22.1</v>
      </c>
      <c r="R162" t="str" cm="1">
        <f t="array" ref="R1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62" t="e">
        <f>IF(Table13[[#This Row],[Category All]]="Category 1", "Yes",NA())</f>
        <v>#N/A</v>
      </c>
      <c r="T162" t="e">
        <f>IF(Table13[[#This Row],[Category All]]="Category 2", "Yes",NA())</f>
        <v>#N/A</v>
      </c>
      <c r="U162" t="str">
        <f>IF(Table13[[#This Row],[Category All]]="Category 3", "Yes",NA())</f>
        <v>Yes</v>
      </c>
      <c r="V162">
        <f>SUM(1,(1/3)*(Table13[[#This Row],[Length]]-0.5),(1/3)*(Table13[[#This Row],[Diameter]]-0.4),(1/3)*(Table13[[#This Row],[Height]]-0.4)*Table13[[#This Row],[Whole_weight]]*0.5)</f>
        <v>1.0206458333333333</v>
      </c>
      <c r="W162" cm="1">
        <f t="array" ref="W1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1.0206458333333333</v>
      </c>
      <c r="X162" t="e">
        <f>IF(Table13[[#This Row],[Category All]]="Category 1",Table13[[#This Row],[Base Abalone Value]]*1.5,NA())</f>
        <v>#N/A</v>
      </c>
      <c r="Y162" t="e">
        <f>IF(Table13[[#This Row],[Category All]]="Category 2",Table13[[#This Row],[Base Abalone Value]]*0.8,NA())</f>
        <v>#N/A</v>
      </c>
      <c r="Z162">
        <f>IF(Table13[[#This Row],[Category All]]="Category 3",Table13[[#This Row],[Base Abalone Value]],NA())</f>
        <v>1.0206458333333333</v>
      </c>
      <c r="AA162" s="2" t="e">
        <f>IF(Table13[[#This Row],[Gender]]="M",Table13[[#This Row],[Whole_weight]],NA())</f>
        <v>#N/A</v>
      </c>
      <c r="AB162" s="2">
        <f>IF(Table13[[#This Row],[Gender]]="F",Table13[[#This Row],[Whole_weight]],NA())</f>
        <v>1.1845000000000001</v>
      </c>
      <c r="AC162" s="2" t="e">
        <f>IF(Table13[[#This Row],[Gender]]="I",Table13[[#This Row],[Whole_weight]],NA())</f>
        <v>#N/A</v>
      </c>
      <c r="AD162" s="2" t="e">
        <f>IF(Table13[[#This Row],[Gender]]="M",Table13[[#This Row],[Diameter]],NA())</f>
        <v>#N/A</v>
      </c>
      <c r="AE162" s="2">
        <f>IF(Table13[[#This Row],[Gender]]="F",Table13[[#This Row],[Diameter]],NA())</f>
        <v>0.47499999999999998</v>
      </c>
      <c r="AF162" s="2" t="e">
        <f>IF(Table13[[#This Row],[Gender]]="I",Table13[[#This Row],[Diameter]],NA())</f>
        <v>#N/A</v>
      </c>
    </row>
    <row r="163" spans="1:32" x14ac:dyDescent="0.2">
      <c r="A163">
        <v>3596</v>
      </c>
      <c r="B163" t="s">
        <v>15</v>
      </c>
      <c r="C163">
        <v>0.66</v>
      </c>
      <c r="D163">
        <v>0.51500000000000001</v>
      </c>
      <c r="E163">
        <v>0.2</v>
      </c>
      <c r="F163">
        <v>1.6465000000000001</v>
      </c>
      <c r="G163">
        <v>0.749</v>
      </c>
      <c r="H163">
        <v>0.42199999999999999</v>
      </c>
      <c r="I163">
        <v>0.40100000000000002</v>
      </c>
      <c r="J163">
        <v>11</v>
      </c>
      <c r="K163">
        <v>11</v>
      </c>
      <c r="L163" t="s">
        <v>5</v>
      </c>
      <c r="M163" t="s">
        <v>6</v>
      </c>
      <c r="N163" t="s">
        <v>3</v>
      </c>
      <c r="O163">
        <v>7</v>
      </c>
      <c r="P163" t="s">
        <v>42</v>
      </c>
      <c r="Q163">
        <v>2.5</v>
      </c>
      <c r="R163" t="str" cm="1">
        <f t="array" ref="R1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63" t="e">
        <f>IF(Table13[[#This Row],[Category All]]="Category 1", "Yes",NA())</f>
        <v>#N/A</v>
      </c>
      <c r="T163" t="e">
        <f>IF(Table13[[#This Row],[Category All]]="Category 2", "Yes",NA())</f>
        <v>#N/A</v>
      </c>
      <c r="U163" t="str">
        <f>IF(Table13[[#This Row],[Category All]]="Category 3", "Yes",NA())</f>
        <v>Yes</v>
      </c>
      <c r="V163">
        <f>SUM(1,(1/3)*(Table13[[#This Row],[Length]]-0.5),(1/3)*(Table13[[#This Row],[Diameter]]-0.4),(1/3)*(Table13[[#This Row],[Height]]-0.4)*Table13[[#This Row],[Whole_weight]]*0.5)</f>
        <v>1.0367833333333332</v>
      </c>
      <c r="W163" cm="1">
        <f t="array" ref="W1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1.0367833333333332</v>
      </c>
      <c r="X163" t="e">
        <f>IF(Table13[[#This Row],[Category All]]="Category 1",Table13[[#This Row],[Base Abalone Value]]*1.5,NA())</f>
        <v>#N/A</v>
      </c>
      <c r="Y163" t="e">
        <f>IF(Table13[[#This Row],[Category All]]="Category 2",Table13[[#This Row],[Base Abalone Value]]*0.8,NA())</f>
        <v>#N/A</v>
      </c>
      <c r="Z163">
        <f>IF(Table13[[#This Row],[Category All]]="Category 3",Table13[[#This Row],[Base Abalone Value]],NA())</f>
        <v>1.0367833333333332</v>
      </c>
      <c r="AA163" s="2">
        <f>IF(Table13[[#This Row],[Gender]]="M",Table13[[#This Row],[Whole_weight]],NA())</f>
        <v>1.6465000000000001</v>
      </c>
      <c r="AB163" s="2" t="e">
        <f>IF(Table13[[#This Row],[Gender]]="F",Table13[[#This Row],[Whole_weight]],NA())</f>
        <v>#N/A</v>
      </c>
      <c r="AC163" s="2" t="e">
        <f>IF(Table13[[#This Row],[Gender]]="I",Table13[[#This Row],[Whole_weight]],NA())</f>
        <v>#N/A</v>
      </c>
      <c r="AD163" s="2">
        <f>IF(Table13[[#This Row],[Gender]]="M",Table13[[#This Row],[Diameter]],NA())</f>
        <v>0.51500000000000001</v>
      </c>
      <c r="AE163" s="2" t="e">
        <f>IF(Table13[[#This Row],[Gender]]="F",Table13[[#This Row],[Diameter]],NA())</f>
        <v>#N/A</v>
      </c>
      <c r="AF163" s="2" t="e">
        <f>IF(Table13[[#This Row],[Gender]]="I",Table13[[#This Row],[Diameter]],NA())</f>
        <v>#N/A</v>
      </c>
    </row>
    <row r="164" spans="1:32" x14ac:dyDescent="0.2">
      <c r="A164">
        <v>1599</v>
      </c>
      <c r="B164" t="s">
        <v>11</v>
      </c>
      <c r="C164">
        <v>0.53</v>
      </c>
      <c r="D164">
        <v>0.4</v>
      </c>
      <c r="E164">
        <v>0.14499999999999999</v>
      </c>
      <c r="F164">
        <v>0.55500000000000005</v>
      </c>
      <c r="G164">
        <v>0.19350000000000001</v>
      </c>
      <c r="H164">
        <v>0.1305</v>
      </c>
      <c r="I164">
        <v>0.19500000000000001</v>
      </c>
      <c r="J164">
        <v>9</v>
      </c>
      <c r="K164">
        <v>14</v>
      </c>
      <c r="L164" t="s">
        <v>23</v>
      </c>
      <c r="M164" t="s">
        <v>24</v>
      </c>
      <c r="N164" t="s">
        <v>25</v>
      </c>
      <c r="O164">
        <v>3</v>
      </c>
      <c r="P164" t="s">
        <v>48</v>
      </c>
      <c r="Q164">
        <v>3.6</v>
      </c>
      <c r="R164" t="str" cm="1">
        <f t="array" ref="R1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64" t="e">
        <f>IF(Table13[[#This Row],[Category All]]="Category 1", "Yes",NA())</f>
        <v>#N/A</v>
      </c>
      <c r="T164" t="str">
        <f>IF(Table13[[#This Row],[Category All]]="Category 2", "Yes",NA())</f>
        <v>Yes</v>
      </c>
      <c r="U164" t="e">
        <f>IF(Table13[[#This Row],[Category All]]="Category 3", "Yes",NA())</f>
        <v>#N/A</v>
      </c>
      <c r="V164">
        <f>SUM(1,(1/3)*(Table13[[#This Row],[Length]]-0.5),(1/3)*(Table13[[#This Row],[Diameter]]-0.4),(1/3)*(Table13[[#This Row],[Height]]-0.4)*Table13[[#This Row],[Whole_weight]]*0.5)</f>
        <v>0.98641250000000003</v>
      </c>
      <c r="W164" cm="1">
        <f t="array" ref="W1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0.78913000000000011</v>
      </c>
      <c r="X164" t="e">
        <f>IF(Table13[[#This Row],[Category All]]="Category 1",Table13[[#This Row],[Base Abalone Value]]*1.5,NA())</f>
        <v>#N/A</v>
      </c>
      <c r="Y164">
        <f>IF(Table13[[#This Row],[Category All]]="Category 2",Table13[[#This Row],[Base Abalone Value]]*0.8,NA())</f>
        <v>0.78913000000000011</v>
      </c>
      <c r="Z164" t="e">
        <f>IF(Table13[[#This Row],[Category All]]="Category 3",Table13[[#This Row],[Base Abalone Value]],NA())</f>
        <v>#N/A</v>
      </c>
      <c r="AA164" s="2" t="e">
        <f>IF(Table13[[#This Row],[Gender]]="M",Table13[[#This Row],[Whole_weight]],NA())</f>
        <v>#N/A</v>
      </c>
      <c r="AB164" s="2" t="e">
        <f>IF(Table13[[#This Row],[Gender]]="F",Table13[[#This Row],[Whole_weight]],NA())</f>
        <v>#N/A</v>
      </c>
      <c r="AC164" s="2">
        <f>IF(Table13[[#This Row],[Gender]]="I",Table13[[#This Row],[Whole_weight]],NA())</f>
        <v>0.55500000000000005</v>
      </c>
      <c r="AD164" s="2" t="e">
        <f>IF(Table13[[#This Row],[Gender]]="M",Table13[[#This Row],[Diameter]],NA())</f>
        <v>#N/A</v>
      </c>
      <c r="AE164" s="2" t="e">
        <f>IF(Table13[[#This Row],[Gender]]="F",Table13[[#This Row],[Diameter]],NA())</f>
        <v>#N/A</v>
      </c>
      <c r="AF164" s="2">
        <f>IF(Table13[[#This Row],[Gender]]="I",Table13[[#This Row],[Diameter]],NA())</f>
        <v>0.4</v>
      </c>
    </row>
    <row r="165" spans="1:32" x14ac:dyDescent="0.2">
      <c r="A165">
        <v>3271</v>
      </c>
      <c r="B165" t="s">
        <v>0</v>
      </c>
      <c r="C165">
        <v>0.625</v>
      </c>
      <c r="D165">
        <v>0.47499999999999998</v>
      </c>
      <c r="E165">
        <v>0.13</v>
      </c>
      <c r="F165">
        <v>0.85950000000000004</v>
      </c>
      <c r="G165">
        <v>0.31950000000000001</v>
      </c>
      <c r="H165">
        <v>0.17749999999999999</v>
      </c>
      <c r="I165">
        <v>0.24</v>
      </c>
      <c r="J165">
        <v>13</v>
      </c>
      <c r="K165">
        <v>3</v>
      </c>
      <c r="L165" t="s">
        <v>43</v>
      </c>
      <c r="M165" t="s">
        <v>44</v>
      </c>
      <c r="N165" t="s">
        <v>45</v>
      </c>
      <c r="O165">
        <v>9</v>
      </c>
      <c r="P165" t="s">
        <v>46</v>
      </c>
      <c r="Q165">
        <v>1.9</v>
      </c>
      <c r="R165" t="str" cm="1">
        <f t="array" ref="R1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65" t="e">
        <f>IF(Table13[[#This Row],[Category All]]="Category 1", "Yes",NA())</f>
        <v>#N/A</v>
      </c>
      <c r="T165" t="str">
        <f>IF(Table13[[#This Row],[Category All]]="Category 2", "Yes",NA())</f>
        <v>Yes</v>
      </c>
      <c r="U165" t="e">
        <f>IF(Table13[[#This Row],[Category All]]="Category 3", "Yes",NA())</f>
        <v>#N/A</v>
      </c>
      <c r="V165">
        <f>SUM(1,(1/3)*(Table13[[#This Row],[Length]]-0.5),(1/3)*(Table13[[#This Row],[Diameter]]-0.4),(1/3)*(Table13[[#This Row],[Height]]-0.4)*Table13[[#This Row],[Whole_weight]]*0.5)</f>
        <v>1.0279891666666667</v>
      </c>
      <c r="W165" cm="1">
        <f t="array" ref="W1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0.82239133333333347</v>
      </c>
      <c r="X165" t="e">
        <f>IF(Table13[[#This Row],[Category All]]="Category 1",Table13[[#This Row],[Base Abalone Value]]*1.5,NA())</f>
        <v>#N/A</v>
      </c>
      <c r="Y165">
        <f>IF(Table13[[#This Row],[Category All]]="Category 2",Table13[[#This Row],[Base Abalone Value]]*0.8,NA())</f>
        <v>0.82239133333333347</v>
      </c>
      <c r="Z165" t="e">
        <f>IF(Table13[[#This Row],[Category All]]="Category 3",Table13[[#This Row],[Base Abalone Value]],NA())</f>
        <v>#N/A</v>
      </c>
      <c r="AA165" s="2" t="e">
        <f>IF(Table13[[#This Row],[Gender]]="M",Table13[[#This Row],[Whole_weight]],NA())</f>
        <v>#N/A</v>
      </c>
      <c r="AB165" s="2">
        <f>IF(Table13[[#This Row],[Gender]]="F",Table13[[#This Row],[Whole_weight]],NA())</f>
        <v>0.85950000000000004</v>
      </c>
      <c r="AC165" s="2" t="e">
        <f>IF(Table13[[#This Row],[Gender]]="I",Table13[[#This Row],[Whole_weight]],NA())</f>
        <v>#N/A</v>
      </c>
      <c r="AD165" s="2" t="e">
        <f>IF(Table13[[#This Row],[Gender]]="M",Table13[[#This Row],[Diameter]],NA())</f>
        <v>#N/A</v>
      </c>
      <c r="AE165" s="2">
        <f>IF(Table13[[#This Row],[Gender]]="F",Table13[[#This Row],[Diameter]],NA())</f>
        <v>0.47499999999999998</v>
      </c>
      <c r="AF165" s="2" t="e">
        <f>IF(Table13[[#This Row],[Gender]]="I",Table13[[#This Row],[Diameter]],NA())</f>
        <v>#N/A</v>
      </c>
    </row>
    <row r="166" spans="1:32" x14ac:dyDescent="0.2">
      <c r="A166">
        <v>3079</v>
      </c>
      <c r="B166" t="s">
        <v>0</v>
      </c>
      <c r="C166">
        <v>0.69499999999999995</v>
      </c>
      <c r="D166">
        <v>0.53500000000000003</v>
      </c>
      <c r="E166">
        <v>0.2</v>
      </c>
      <c r="F166">
        <v>1.5854999999999999</v>
      </c>
      <c r="G166">
        <v>0.66700000000000004</v>
      </c>
      <c r="H166">
        <v>0.33400000000000002</v>
      </c>
      <c r="I166">
        <v>0.47099999999999997</v>
      </c>
      <c r="J166">
        <v>11</v>
      </c>
      <c r="K166">
        <v>14</v>
      </c>
      <c r="L166" t="s">
        <v>23</v>
      </c>
      <c r="M166" t="s">
        <v>24</v>
      </c>
      <c r="N166" t="s">
        <v>25</v>
      </c>
      <c r="O166">
        <v>4</v>
      </c>
      <c r="P166" t="s">
        <v>10</v>
      </c>
      <c r="Q166">
        <v>6.1</v>
      </c>
      <c r="R166" t="str" cm="1">
        <f t="array" ref="R1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66" t="e">
        <f>IF(Table13[[#This Row],[Category All]]="Category 1", "Yes",NA())</f>
        <v>#N/A</v>
      </c>
      <c r="T166" t="e">
        <f>IF(Table13[[#This Row],[Category All]]="Category 2", "Yes",NA())</f>
        <v>#N/A</v>
      </c>
      <c r="U166" t="str">
        <f>IF(Table13[[#This Row],[Category All]]="Category 3", "Yes",NA())</f>
        <v>Yes</v>
      </c>
      <c r="V166">
        <f>SUM(1,(1/3)*(Table13[[#This Row],[Length]]-0.5),(1/3)*(Table13[[#This Row],[Diameter]]-0.4),(1/3)*(Table13[[#This Row],[Height]]-0.4)*Table13[[#This Row],[Whole_weight]]*0.5)</f>
        <v>1.0571499999999998</v>
      </c>
      <c r="W166" cm="1">
        <f t="array" ref="W1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1.0571499999999998</v>
      </c>
      <c r="X166" t="e">
        <f>IF(Table13[[#This Row],[Category All]]="Category 1",Table13[[#This Row],[Base Abalone Value]]*1.5,NA())</f>
        <v>#N/A</v>
      </c>
      <c r="Y166" t="e">
        <f>IF(Table13[[#This Row],[Category All]]="Category 2",Table13[[#This Row],[Base Abalone Value]]*0.8,NA())</f>
        <v>#N/A</v>
      </c>
      <c r="Z166">
        <f>IF(Table13[[#This Row],[Category All]]="Category 3",Table13[[#This Row],[Base Abalone Value]],NA())</f>
        <v>1.0571499999999998</v>
      </c>
      <c r="AA166" s="2" t="e">
        <f>IF(Table13[[#This Row],[Gender]]="M",Table13[[#This Row],[Whole_weight]],NA())</f>
        <v>#N/A</v>
      </c>
      <c r="AB166" s="2">
        <f>IF(Table13[[#This Row],[Gender]]="F",Table13[[#This Row],[Whole_weight]],NA())</f>
        <v>1.5854999999999999</v>
      </c>
      <c r="AC166" s="2" t="e">
        <f>IF(Table13[[#This Row],[Gender]]="I",Table13[[#This Row],[Whole_weight]],NA())</f>
        <v>#N/A</v>
      </c>
      <c r="AD166" s="2" t="e">
        <f>IF(Table13[[#This Row],[Gender]]="M",Table13[[#This Row],[Diameter]],NA())</f>
        <v>#N/A</v>
      </c>
      <c r="AE166" s="2">
        <f>IF(Table13[[#This Row],[Gender]]="F",Table13[[#This Row],[Diameter]],NA())</f>
        <v>0.53500000000000003</v>
      </c>
      <c r="AF166" s="2" t="e">
        <f>IF(Table13[[#This Row],[Gender]]="I",Table13[[#This Row],[Diameter]],NA())</f>
        <v>#N/A</v>
      </c>
    </row>
    <row r="167" spans="1:32" x14ac:dyDescent="0.2">
      <c r="A167">
        <v>23</v>
      </c>
      <c r="B167" t="s">
        <v>0</v>
      </c>
      <c r="C167">
        <v>0.56499999999999995</v>
      </c>
      <c r="D167">
        <v>0.44</v>
      </c>
      <c r="E167">
        <v>0.155</v>
      </c>
      <c r="F167">
        <v>0.9395</v>
      </c>
      <c r="G167">
        <v>0.42749999999999999</v>
      </c>
      <c r="H167">
        <v>0.214</v>
      </c>
      <c r="I167">
        <v>0.27</v>
      </c>
      <c r="J167">
        <v>12</v>
      </c>
      <c r="K167">
        <v>8</v>
      </c>
      <c r="L167" t="s">
        <v>29</v>
      </c>
      <c r="M167" t="s">
        <v>30</v>
      </c>
      <c r="N167" t="s">
        <v>31</v>
      </c>
      <c r="O167">
        <v>8</v>
      </c>
      <c r="P167" t="s">
        <v>19</v>
      </c>
      <c r="Q167">
        <v>12.3</v>
      </c>
      <c r="R167" t="str" cm="1">
        <f t="array" ref="R1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67" t="e">
        <f>IF(Table13[[#This Row],[Category All]]="Category 1", "Yes",NA())</f>
        <v>#N/A</v>
      </c>
      <c r="T167" t="e">
        <f>IF(Table13[[#This Row],[Category All]]="Category 2", "Yes",NA())</f>
        <v>#N/A</v>
      </c>
      <c r="U167" t="str">
        <f>IF(Table13[[#This Row],[Category All]]="Category 3", "Yes",NA())</f>
        <v>Yes</v>
      </c>
      <c r="V167">
        <f>SUM(1,(1/3)*(Table13[[#This Row],[Length]]-0.5),(1/3)*(Table13[[#This Row],[Diameter]]-0.4),(1/3)*(Table13[[#This Row],[Height]]-0.4)*Table13[[#This Row],[Whole_weight]]*0.5)</f>
        <v>0.99663708333333345</v>
      </c>
      <c r="W167" cm="1">
        <f t="array" ref="W1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0.99663708333333345</v>
      </c>
      <c r="X167" t="e">
        <f>IF(Table13[[#This Row],[Category All]]="Category 1",Table13[[#This Row],[Base Abalone Value]]*1.5,NA())</f>
        <v>#N/A</v>
      </c>
      <c r="Y167" t="e">
        <f>IF(Table13[[#This Row],[Category All]]="Category 2",Table13[[#This Row],[Base Abalone Value]]*0.8,NA())</f>
        <v>#N/A</v>
      </c>
      <c r="Z167">
        <f>IF(Table13[[#This Row],[Category All]]="Category 3",Table13[[#This Row],[Base Abalone Value]],NA())</f>
        <v>0.99663708333333345</v>
      </c>
      <c r="AA167" s="2" t="e">
        <f>IF(Table13[[#This Row],[Gender]]="M",Table13[[#This Row],[Whole_weight]],NA())</f>
        <v>#N/A</v>
      </c>
      <c r="AB167" s="2">
        <f>IF(Table13[[#This Row],[Gender]]="F",Table13[[#This Row],[Whole_weight]],NA())</f>
        <v>0.9395</v>
      </c>
      <c r="AC167" s="2" t="e">
        <f>IF(Table13[[#This Row],[Gender]]="I",Table13[[#This Row],[Whole_weight]],NA())</f>
        <v>#N/A</v>
      </c>
      <c r="AD167" s="2" t="e">
        <f>IF(Table13[[#This Row],[Gender]]="M",Table13[[#This Row],[Diameter]],NA())</f>
        <v>#N/A</v>
      </c>
      <c r="AE167" s="2">
        <f>IF(Table13[[#This Row],[Gender]]="F",Table13[[#This Row],[Diameter]],NA())</f>
        <v>0.44</v>
      </c>
      <c r="AF167" s="2" t="e">
        <f>IF(Table13[[#This Row],[Gender]]="I",Table13[[#This Row],[Diameter]],NA())</f>
        <v>#N/A</v>
      </c>
    </row>
    <row r="168" spans="1:32" x14ac:dyDescent="0.2">
      <c r="A168">
        <v>2254</v>
      </c>
      <c r="B168" t="s">
        <v>0</v>
      </c>
      <c r="C168">
        <v>0.64500000000000002</v>
      </c>
      <c r="D168">
        <v>0.5</v>
      </c>
      <c r="E168">
        <v>0.2</v>
      </c>
      <c r="F168">
        <v>1.4285000000000001</v>
      </c>
      <c r="G168">
        <v>0.63900000000000001</v>
      </c>
      <c r="H168">
        <v>0.30499999999999999</v>
      </c>
      <c r="I168">
        <v>0.36</v>
      </c>
      <c r="J168">
        <v>11</v>
      </c>
      <c r="K168">
        <v>4</v>
      </c>
      <c r="L168" t="s">
        <v>52</v>
      </c>
      <c r="M168" t="s">
        <v>53</v>
      </c>
      <c r="N168" t="s">
        <v>54</v>
      </c>
      <c r="O168">
        <v>8</v>
      </c>
      <c r="P168" t="s">
        <v>19</v>
      </c>
      <c r="Q168">
        <v>12.3</v>
      </c>
      <c r="R168" t="str" cm="1">
        <f t="array" ref="R1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68" t="e">
        <f>IF(Table13[[#This Row],[Category All]]="Category 1", "Yes",NA())</f>
        <v>#N/A</v>
      </c>
      <c r="T168" t="e">
        <f>IF(Table13[[#This Row],[Category All]]="Category 2", "Yes",NA())</f>
        <v>#N/A</v>
      </c>
      <c r="U168" t="str">
        <f>IF(Table13[[#This Row],[Category All]]="Category 3", "Yes",NA())</f>
        <v>Yes</v>
      </c>
      <c r="V168">
        <f>SUM(1,(1/3)*(Table13[[#This Row],[Length]]-0.5),(1/3)*(Table13[[#This Row],[Diameter]]-0.4),(1/3)*(Table13[[#This Row],[Height]]-0.4)*Table13[[#This Row],[Whole_weight]]*0.5)</f>
        <v>1.0340499999999999</v>
      </c>
      <c r="W168" cm="1">
        <f t="array" ref="W1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1.0340499999999999</v>
      </c>
      <c r="X168" t="e">
        <f>IF(Table13[[#This Row],[Category All]]="Category 1",Table13[[#This Row],[Base Abalone Value]]*1.5,NA())</f>
        <v>#N/A</v>
      </c>
      <c r="Y168" t="e">
        <f>IF(Table13[[#This Row],[Category All]]="Category 2",Table13[[#This Row],[Base Abalone Value]]*0.8,NA())</f>
        <v>#N/A</v>
      </c>
      <c r="Z168">
        <f>IF(Table13[[#This Row],[Category All]]="Category 3",Table13[[#This Row],[Base Abalone Value]],NA())</f>
        <v>1.0340499999999999</v>
      </c>
      <c r="AA168" s="2" t="e">
        <f>IF(Table13[[#This Row],[Gender]]="M",Table13[[#This Row],[Whole_weight]],NA())</f>
        <v>#N/A</v>
      </c>
      <c r="AB168" s="2">
        <f>IF(Table13[[#This Row],[Gender]]="F",Table13[[#This Row],[Whole_weight]],NA())</f>
        <v>1.4285000000000001</v>
      </c>
      <c r="AC168" s="2" t="e">
        <f>IF(Table13[[#This Row],[Gender]]="I",Table13[[#This Row],[Whole_weight]],NA())</f>
        <v>#N/A</v>
      </c>
      <c r="AD168" s="2" t="e">
        <f>IF(Table13[[#This Row],[Gender]]="M",Table13[[#This Row],[Diameter]],NA())</f>
        <v>#N/A</v>
      </c>
      <c r="AE168" s="2">
        <f>IF(Table13[[#This Row],[Gender]]="F",Table13[[#This Row],[Diameter]],NA())</f>
        <v>0.5</v>
      </c>
      <c r="AF168" s="2" t="e">
        <f>IF(Table13[[#This Row],[Gender]]="I",Table13[[#This Row],[Diameter]],NA())</f>
        <v>#N/A</v>
      </c>
    </row>
    <row r="169" spans="1:32" x14ac:dyDescent="0.2">
      <c r="A169">
        <v>262</v>
      </c>
      <c r="B169" t="s">
        <v>0</v>
      </c>
      <c r="C169">
        <v>0.56999999999999995</v>
      </c>
      <c r="D169">
        <v>0.44</v>
      </c>
      <c r="E169">
        <v>0.125</v>
      </c>
      <c r="F169">
        <v>0.86499999999999999</v>
      </c>
      <c r="G169">
        <v>0.36749999999999999</v>
      </c>
      <c r="H169">
        <v>0.17249999999999999</v>
      </c>
      <c r="I169">
        <v>0.27</v>
      </c>
      <c r="J169">
        <v>12</v>
      </c>
      <c r="K169">
        <v>15</v>
      </c>
      <c r="L169" t="s">
        <v>49</v>
      </c>
      <c r="M169" t="s">
        <v>50</v>
      </c>
      <c r="N169" t="s">
        <v>3</v>
      </c>
      <c r="O169">
        <v>7</v>
      </c>
      <c r="P169" t="s">
        <v>42</v>
      </c>
      <c r="Q169">
        <v>2.5</v>
      </c>
      <c r="R169" t="str" cm="1">
        <f t="array" ref="R1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69" t="e">
        <f>IF(Table13[[#This Row],[Category All]]="Category 1", "Yes",NA())</f>
        <v>#N/A</v>
      </c>
      <c r="T169" t="str">
        <f>IF(Table13[[#This Row],[Category All]]="Category 2", "Yes",NA())</f>
        <v>Yes</v>
      </c>
      <c r="U169" t="e">
        <f>IF(Table13[[#This Row],[Category All]]="Category 3", "Yes",NA())</f>
        <v>#N/A</v>
      </c>
      <c r="V169">
        <f>SUM(1,(1/3)*(Table13[[#This Row],[Length]]-0.5),(1/3)*(Table13[[#This Row],[Diameter]]-0.4),(1/3)*(Table13[[#This Row],[Height]]-0.4)*Table13[[#This Row],[Whole_weight]]*0.5)</f>
        <v>0.99702083333333347</v>
      </c>
      <c r="W169" cm="1">
        <f t="array" ref="W1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0.79761666666666686</v>
      </c>
      <c r="X169" t="e">
        <f>IF(Table13[[#This Row],[Category All]]="Category 1",Table13[[#This Row],[Base Abalone Value]]*1.5,NA())</f>
        <v>#N/A</v>
      </c>
      <c r="Y169">
        <f>IF(Table13[[#This Row],[Category All]]="Category 2",Table13[[#This Row],[Base Abalone Value]]*0.8,NA())</f>
        <v>0.79761666666666686</v>
      </c>
      <c r="Z169" t="e">
        <f>IF(Table13[[#This Row],[Category All]]="Category 3",Table13[[#This Row],[Base Abalone Value]],NA())</f>
        <v>#N/A</v>
      </c>
      <c r="AA169" s="2" t="e">
        <f>IF(Table13[[#This Row],[Gender]]="M",Table13[[#This Row],[Whole_weight]],NA())</f>
        <v>#N/A</v>
      </c>
      <c r="AB169" s="2">
        <f>IF(Table13[[#This Row],[Gender]]="F",Table13[[#This Row],[Whole_weight]],NA())</f>
        <v>0.86499999999999999</v>
      </c>
      <c r="AC169" s="2" t="e">
        <f>IF(Table13[[#This Row],[Gender]]="I",Table13[[#This Row],[Whole_weight]],NA())</f>
        <v>#N/A</v>
      </c>
      <c r="AD169" s="2" t="e">
        <f>IF(Table13[[#This Row],[Gender]]="M",Table13[[#This Row],[Diameter]],NA())</f>
        <v>#N/A</v>
      </c>
      <c r="AE169" s="2">
        <f>IF(Table13[[#This Row],[Gender]]="F",Table13[[#This Row],[Diameter]],NA())</f>
        <v>0.44</v>
      </c>
      <c r="AF169" s="2" t="e">
        <f>IF(Table13[[#This Row],[Gender]]="I",Table13[[#This Row],[Diameter]],NA())</f>
        <v>#N/A</v>
      </c>
    </row>
    <row r="170" spans="1:32" x14ac:dyDescent="0.2">
      <c r="A170">
        <v>3906</v>
      </c>
      <c r="B170" t="s">
        <v>15</v>
      </c>
      <c r="C170">
        <v>0.38</v>
      </c>
      <c r="D170">
        <v>0.27</v>
      </c>
      <c r="E170">
        <v>9.5000000000000001E-2</v>
      </c>
      <c r="F170">
        <v>0.219</v>
      </c>
      <c r="G170">
        <v>8.3500000000000005E-2</v>
      </c>
      <c r="H170">
        <v>5.1499999999999997E-2</v>
      </c>
      <c r="I170">
        <v>7.0000000000000007E-2</v>
      </c>
      <c r="J170">
        <v>6</v>
      </c>
      <c r="K170">
        <v>8</v>
      </c>
      <c r="L170" t="s">
        <v>29</v>
      </c>
      <c r="M170" t="s">
        <v>30</v>
      </c>
      <c r="N170" t="s">
        <v>31</v>
      </c>
      <c r="O170">
        <v>4</v>
      </c>
      <c r="P170" t="s">
        <v>10</v>
      </c>
      <c r="Q170">
        <v>6.1</v>
      </c>
      <c r="R170" t="str" cm="1">
        <f t="array" ref="R1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70" t="e">
        <f>IF(Table13[[#This Row],[Category All]]="Category 1", "Yes",NA())</f>
        <v>#N/A</v>
      </c>
      <c r="T170" t="str">
        <f>IF(Table13[[#This Row],[Category All]]="Category 2", "Yes",NA())</f>
        <v>Yes</v>
      </c>
      <c r="U170" t="e">
        <f>IF(Table13[[#This Row],[Category All]]="Category 3", "Yes",NA())</f>
        <v>#N/A</v>
      </c>
      <c r="V170">
        <f>SUM(1,(1/3)*(Table13[[#This Row],[Length]]-0.5),(1/3)*(Table13[[#This Row],[Diameter]]-0.4),(1/3)*(Table13[[#This Row],[Height]]-0.4)*Table13[[#This Row],[Whole_weight]]*0.5)</f>
        <v>0.90553416666666664</v>
      </c>
      <c r="W170" cm="1">
        <f t="array" ref="W1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0.72442733333333331</v>
      </c>
      <c r="X170" t="e">
        <f>IF(Table13[[#This Row],[Category All]]="Category 1",Table13[[#This Row],[Base Abalone Value]]*1.5,NA())</f>
        <v>#N/A</v>
      </c>
      <c r="Y170">
        <f>IF(Table13[[#This Row],[Category All]]="Category 2",Table13[[#This Row],[Base Abalone Value]]*0.8,NA())</f>
        <v>0.72442733333333331</v>
      </c>
      <c r="Z170" t="e">
        <f>IF(Table13[[#This Row],[Category All]]="Category 3",Table13[[#This Row],[Base Abalone Value]],NA())</f>
        <v>#N/A</v>
      </c>
      <c r="AA170" s="2">
        <f>IF(Table13[[#This Row],[Gender]]="M",Table13[[#This Row],[Whole_weight]],NA())</f>
        <v>0.219</v>
      </c>
      <c r="AB170" s="2" t="e">
        <f>IF(Table13[[#This Row],[Gender]]="F",Table13[[#This Row],[Whole_weight]],NA())</f>
        <v>#N/A</v>
      </c>
      <c r="AC170" s="2" t="e">
        <f>IF(Table13[[#This Row],[Gender]]="I",Table13[[#This Row],[Whole_weight]],NA())</f>
        <v>#N/A</v>
      </c>
      <c r="AD170" s="2">
        <f>IF(Table13[[#This Row],[Gender]]="M",Table13[[#This Row],[Diameter]],NA())</f>
        <v>0.27</v>
      </c>
      <c r="AE170" s="2" t="e">
        <f>IF(Table13[[#This Row],[Gender]]="F",Table13[[#This Row],[Diameter]],NA())</f>
        <v>#N/A</v>
      </c>
      <c r="AF170" s="2" t="e">
        <f>IF(Table13[[#This Row],[Gender]]="I",Table13[[#This Row],[Diameter]],NA())</f>
        <v>#N/A</v>
      </c>
    </row>
    <row r="171" spans="1:32" x14ac:dyDescent="0.2">
      <c r="A171">
        <v>1351</v>
      </c>
      <c r="B171" t="s">
        <v>0</v>
      </c>
      <c r="C171">
        <v>0.59499999999999997</v>
      </c>
      <c r="D171">
        <v>0.46500000000000002</v>
      </c>
      <c r="E171">
        <v>0.15</v>
      </c>
      <c r="F171">
        <v>0.98</v>
      </c>
      <c r="G171">
        <v>0.41149999999999998</v>
      </c>
      <c r="H171">
        <v>0.19600000000000001</v>
      </c>
      <c r="I171">
        <v>0.22550000000000001</v>
      </c>
      <c r="J171">
        <v>10</v>
      </c>
      <c r="K171">
        <v>15</v>
      </c>
      <c r="L171" t="s">
        <v>49</v>
      </c>
      <c r="M171" t="s">
        <v>50</v>
      </c>
      <c r="N171" t="s">
        <v>3</v>
      </c>
      <c r="O171">
        <v>4</v>
      </c>
      <c r="P171" t="s">
        <v>10</v>
      </c>
      <c r="Q171">
        <v>6.1</v>
      </c>
      <c r="R171" t="str" cm="1">
        <f t="array" ref="R1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71" t="e">
        <f>IF(Table13[[#This Row],[Category All]]="Category 1", "Yes",NA())</f>
        <v>#N/A</v>
      </c>
      <c r="T171" t="e">
        <f>IF(Table13[[#This Row],[Category All]]="Category 2", "Yes",NA())</f>
        <v>#N/A</v>
      </c>
      <c r="U171" t="str">
        <f>IF(Table13[[#This Row],[Category All]]="Category 3", "Yes",NA())</f>
        <v>Yes</v>
      </c>
      <c r="V171">
        <f>SUM(1,(1/3)*(Table13[[#This Row],[Length]]-0.5),(1/3)*(Table13[[#This Row],[Diameter]]-0.4),(1/3)*(Table13[[#This Row],[Height]]-0.4)*Table13[[#This Row],[Whole_weight]]*0.5)</f>
        <v>1.0125000000000002</v>
      </c>
      <c r="W171" cm="1">
        <f t="array" ref="W1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1.0125000000000002</v>
      </c>
      <c r="X171" t="e">
        <f>IF(Table13[[#This Row],[Category All]]="Category 1",Table13[[#This Row],[Base Abalone Value]]*1.5,NA())</f>
        <v>#N/A</v>
      </c>
      <c r="Y171" t="e">
        <f>IF(Table13[[#This Row],[Category All]]="Category 2",Table13[[#This Row],[Base Abalone Value]]*0.8,NA())</f>
        <v>#N/A</v>
      </c>
      <c r="Z171">
        <f>IF(Table13[[#This Row],[Category All]]="Category 3",Table13[[#This Row],[Base Abalone Value]],NA())</f>
        <v>1.0125000000000002</v>
      </c>
      <c r="AA171" s="2" t="e">
        <f>IF(Table13[[#This Row],[Gender]]="M",Table13[[#This Row],[Whole_weight]],NA())</f>
        <v>#N/A</v>
      </c>
      <c r="AB171" s="2">
        <f>IF(Table13[[#This Row],[Gender]]="F",Table13[[#This Row],[Whole_weight]],NA())</f>
        <v>0.98</v>
      </c>
      <c r="AC171" s="2" t="e">
        <f>IF(Table13[[#This Row],[Gender]]="I",Table13[[#This Row],[Whole_weight]],NA())</f>
        <v>#N/A</v>
      </c>
      <c r="AD171" s="2" t="e">
        <f>IF(Table13[[#This Row],[Gender]]="M",Table13[[#This Row],[Diameter]],NA())</f>
        <v>#N/A</v>
      </c>
      <c r="AE171" s="2">
        <f>IF(Table13[[#This Row],[Gender]]="F",Table13[[#This Row],[Diameter]],NA())</f>
        <v>0.46500000000000002</v>
      </c>
      <c r="AF171" s="2" t="e">
        <f>IF(Table13[[#This Row],[Gender]]="I",Table13[[#This Row],[Diameter]],NA())</f>
        <v>#N/A</v>
      </c>
    </row>
    <row r="172" spans="1:32" x14ac:dyDescent="0.2">
      <c r="A172">
        <v>3868</v>
      </c>
      <c r="B172" t="s">
        <v>0</v>
      </c>
      <c r="C172">
        <v>0.5</v>
      </c>
      <c r="D172">
        <v>0.39</v>
      </c>
      <c r="E172">
        <v>0.13</v>
      </c>
      <c r="F172">
        <v>0.63549999999999995</v>
      </c>
      <c r="G172">
        <v>0.2505</v>
      </c>
      <c r="H172">
        <v>0.16350000000000001</v>
      </c>
      <c r="I172">
        <v>0.19500000000000001</v>
      </c>
      <c r="J172">
        <v>15</v>
      </c>
      <c r="K172">
        <v>6</v>
      </c>
      <c r="L172" t="s">
        <v>39</v>
      </c>
      <c r="M172" t="s">
        <v>40</v>
      </c>
      <c r="N172" t="s">
        <v>41</v>
      </c>
      <c r="O172">
        <v>10</v>
      </c>
      <c r="P172" t="s">
        <v>38</v>
      </c>
      <c r="Q172">
        <v>24.1</v>
      </c>
      <c r="R172" t="str" cm="1">
        <f t="array" ref="R1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72" t="e">
        <f>IF(Table13[[#This Row],[Category All]]="Category 1", "Yes",NA())</f>
        <v>#N/A</v>
      </c>
      <c r="T172" t="str">
        <f>IF(Table13[[#This Row],[Category All]]="Category 2", "Yes",NA())</f>
        <v>Yes</v>
      </c>
      <c r="U172" t="e">
        <f>IF(Table13[[#This Row],[Category All]]="Category 3", "Yes",NA())</f>
        <v>#N/A</v>
      </c>
      <c r="V172">
        <f>SUM(1,(1/3)*(Table13[[#This Row],[Length]]-0.5),(1/3)*(Table13[[#This Row],[Diameter]]-0.4),(1/3)*(Table13[[#This Row],[Height]]-0.4)*Table13[[#This Row],[Whole_weight]]*0.5)</f>
        <v>0.96806916666666676</v>
      </c>
      <c r="W172" cm="1">
        <f t="array" ref="W1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0.7744553333333335</v>
      </c>
      <c r="X172" t="e">
        <f>IF(Table13[[#This Row],[Category All]]="Category 1",Table13[[#This Row],[Base Abalone Value]]*1.5,NA())</f>
        <v>#N/A</v>
      </c>
      <c r="Y172">
        <f>IF(Table13[[#This Row],[Category All]]="Category 2",Table13[[#This Row],[Base Abalone Value]]*0.8,NA())</f>
        <v>0.7744553333333335</v>
      </c>
      <c r="Z172" t="e">
        <f>IF(Table13[[#This Row],[Category All]]="Category 3",Table13[[#This Row],[Base Abalone Value]],NA())</f>
        <v>#N/A</v>
      </c>
      <c r="AA172" s="2" t="e">
        <f>IF(Table13[[#This Row],[Gender]]="M",Table13[[#This Row],[Whole_weight]],NA())</f>
        <v>#N/A</v>
      </c>
      <c r="AB172" s="2">
        <f>IF(Table13[[#This Row],[Gender]]="F",Table13[[#This Row],[Whole_weight]],NA())</f>
        <v>0.63549999999999995</v>
      </c>
      <c r="AC172" s="2" t="e">
        <f>IF(Table13[[#This Row],[Gender]]="I",Table13[[#This Row],[Whole_weight]],NA())</f>
        <v>#N/A</v>
      </c>
      <c r="AD172" s="2" t="e">
        <f>IF(Table13[[#This Row],[Gender]]="M",Table13[[#This Row],[Diameter]],NA())</f>
        <v>#N/A</v>
      </c>
      <c r="AE172" s="2">
        <f>IF(Table13[[#This Row],[Gender]]="F",Table13[[#This Row],[Diameter]],NA())</f>
        <v>0.39</v>
      </c>
      <c r="AF172" s="2" t="e">
        <f>IF(Table13[[#This Row],[Gender]]="I",Table13[[#This Row],[Diameter]],NA())</f>
        <v>#N/A</v>
      </c>
    </row>
    <row r="173" spans="1:32" x14ac:dyDescent="0.2">
      <c r="A173">
        <v>2896</v>
      </c>
      <c r="B173" t="s">
        <v>11</v>
      </c>
      <c r="C173">
        <v>0.54</v>
      </c>
      <c r="D173">
        <v>0.41499999999999998</v>
      </c>
      <c r="E173">
        <v>0.11</v>
      </c>
      <c r="F173">
        <v>0.61899999999999999</v>
      </c>
      <c r="G173">
        <v>0.27550000000000002</v>
      </c>
      <c r="H173">
        <v>0.15</v>
      </c>
      <c r="I173">
        <v>0.17649999999999999</v>
      </c>
      <c r="J173">
        <v>10</v>
      </c>
      <c r="K173">
        <v>1</v>
      </c>
      <c r="L173" t="s">
        <v>8</v>
      </c>
      <c r="M173" t="s">
        <v>9</v>
      </c>
      <c r="N173" t="s">
        <v>3</v>
      </c>
      <c r="O173">
        <v>9</v>
      </c>
      <c r="P173" t="s">
        <v>46</v>
      </c>
      <c r="Q173">
        <v>1.9</v>
      </c>
      <c r="R173" t="str" cm="1">
        <f t="array" ref="R1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73" t="e">
        <f>IF(Table13[[#This Row],[Category All]]="Category 1", "Yes",NA())</f>
        <v>#N/A</v>
      </c>
      <c r="T173" t="str">
        <f>IF(Table13[[#This Row],[Category All]]="Category 2", "Yes",NA())</f>
        <v>Yes</v>
      </c>
      <c r="U173" t="e">
        <f>IF(Table13[[#This Row],[Category All]]="Category 3", "Yes",NA())</f>
        <v>#N/A</v>
      </c>
      <c r="V173">
        <f>SUM(1,(1/3)*(Table13[[#This Row],[Length]]-0.5),(1/3)*(Table13[[#This Row],[Diameter]]-0.4),(1/3)*(Table13[[#This Row],[Height]]-0.4)*Table13[[#This Row],[Whole_weight]]*0.5)</f>
        <v>0.98841499999999993</v>
      </c>
      <c r="W173" cm="1">
        <f t="array" ref="W1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0.79073199999999999</v>
      </c>
      <c r="X173" t="e">
        <f>IF(Table13[[#This Row],[Category All]]="Category 1",Table13[[#This Row],[Base Abalone Value]]*1.5,NA())</f>
        <v>#N/A</v>
      </c>
      <c r="Y173">
        <f>IF(Table13[[#This Row],[Category All]]="Category 2",Table13[[#This Row],[Base Abalone Value]]*0.8,NA())</f>
        <v>0.79073199999999999</v>
      </c>
      <c r="Z173" t="e">
        <f>IF(Table13[[#This Row],[Category All]]="Category 3",Table13[[#This Row],[Base Abalone Value]],NA())</f>
        <v>#N/A</v>
      </c>
      <c r="AA173" s="2" t="e">
        <f>IF(Table13[[#This Row],[Gender]]="M",Table13[[#This Row],[Whole_weight]],NA())</f>
        <v>#N/A</v>
      </c>
      <c r="AB173" s="2" t="e">
        <f>IF(Table13[[#This Row],[Gender]]="F",Table13[[#This Row],[Whole_weight]],NA())</f>
        <v>#N/A</v>
      </c>
      <c r="AC173" s="2">
        <f>IF(Table13[[#This Row],[Gender]]="I",Table13[[#This Row],[Whole_weight]],NA())</f>
        <v>0.61899999999999999</v>
      </c>
      <c r="AD173" s="2" t="e">
        <f>IF(Table13[[#This Row],[Gender]]="M",Table13[[#This Row],[Diameter]],NA())</f>
        <v>#N/A</v>
      </c>
      <c r="AE173" s="2" t="e">
        <f>IF(Table13[[#This Row],[Gender]]="F",Table13[[#This Row],[Diameter]],NA())</f>
        <v>#N/A</v>
      </c>
      <c r="AF173" s="2">
        <f>IF(Table13[[#This Row],[Gender]]="I",Table13[[#This Row],[Diameter]],NA())</f>
        <v>0.41499999999999998</v>
      </c>
    </row>
    <row r="174" spans="1:32" x14ac:dyDescent="0.2">
      <c r="A174">
        <v>2290</v>
      </c>
      <c r="B174" t="s">
        <v>0</v>
      </c>
      <c r="C174">
        <v>0.57999999999999996</v>
      </c>
      <c r="D174">
        <v>0.47499999999999998</v>
      </c>
      <c r="E174">
        <v>0.155</v>
      </c>
      <c r="F174">
        <v>0.97399999999999998</v>
      </c>
      <c r="G174">
        <v>0.43049999999999999</v>
      </c>
      <c r="H174">
        <v>0.23</v>
      </c>
      <c r="I174">
        <v>0.28499999999999998</v>
      </c>
      <c r="J174">
        <v>10</v>
      </c>
      <c r="K174">
        <v>11</v>
      </c>
      <c r="L174" t="s">
        <v>5</v>
      </c>
      <c r="M174" t="s">
        <v>6</v>
      </c>
      <c r="N174" t="s">
        <v>3</v>
      </c>
      <c r="O174">
        <v>7</v>
      </c>
      <c r="P174" t="s">
        <v>42</v>
      </c>
      <c r="Q174">
        <v>2.5</v>
      </c>
      <c r="R174" t="str" cm="1">
        <f t="array" ref="R1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74" t="e">
        <f>IF(Table13[[#This Row],[Category All]]="Category 1", "Yes",NA())</f>
        <v>#N/A</v>
      </c>
      <c r="T174" t="e">
        <f>IF(Table13[[#This Row],[Category All]]="Category 2", "Yes",NA())</f>
        <v>#N/A</v>
      </c>
      <c r="U174" t="str">
        <f>IF(Table13[[#This Row],[Category All]]="Category 3", "Yes",NA())</f>
        <v>Yes</v>
      </c>
      <c r="V174">
        <f>SUM(1,(1/3)*(Table13[[#This Row],[Length]]-0.5),(1/3)*(Table13[[#This Row],[Diameter]]-0.4),(1/3)*(Table13[[#This Row],[Height]]-0.4)*Table13[[#This Row],[Whole_weight]]*0.5)</f>
        <v>1.0118949999999998</v>
      </c>
      <c r="W174" cm="1">
        <f t="array" ref="W1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1.0118949999999998</v>
      </c>
      <c r="X174" t="e">
        <f>IF(Table13[[#This Row],[Category All]]="Category 1",Table13[[#This Row],[Base Abalone Value]]*1.5,NA())</f>
        <v>#N/A</v>
      </c>
      <c r="Y174" t="e">
        <f>IF(Table13[[#This Row],[Category All]]="Category 2",Table13[[#This Row],[Base Abalone Value]]*0.8,NA())</f>
        <v>#N/A</v>
      </c>
      <c r="Z174">
        <f>IF(Table13[[#This Row],[Category All]]="Category 3",Table13[[#This Row],[Base Abalone Value]],NA())</f>
        <v>1.0118949999999998</v>
      </c>
      <c r="AA174" s="2" t="e">
        <f>IF(Table13[[#This Row],[Gender]]="M",Table13[[#This Row],[Whole_weight]],NA())</f>
        <v>#N/A</v>
      </c>
      <c r="AB174" s="2">
        <f>IF(Table13[[#This Row],[Gender]]="F",Table13[[#This Row],[Whole_weight]],NA())</f>
        <v>0.97399999999999998</v>
      </c>
      <c r="AC174" s="2" t="e">
        <f>IF(Table13[[#This Row],[Gender]]="I",Table13[[#This Row],[Whole_weight]],NA())</f>
        <v>#N/A</v>
      </c>
      <c r="AD174" s="2" t="e">
        <f>IF(Table13[[#This Row],[Gender]]="M",Table13[[#This Row],[Diameter]],NA())</f>
        <v>#N/A</v>
      </c>
      <c r="AE174" s="2">
        <f>IF(Table13[[#This Row],[Gender]]="F",Table13[[#This Row],[Diameter]],NA())</f>
        <v>0.47499999999999998</v>
      </c>
      <c r="AF174" s="2" t="e">
        <f>IF(Table13[[#This Row],[Gender]]="I",Table13[[#This Row],[Diameter]],NA())</f>
        <v>#N/A</v>
      </c>
    </row>
    <row r="175" spans="1:32" x14ac:dyDescent="0.2">
      <c r="A175">
        <v>114</v>
      </c>
      <c r="B175" t="s">
        <v>15</v>
      </c>
      <c r="C175">
        <v>0.42499999999999999</v>
      </c>
      <c r="D175">
        <v>0.35</v>
      </c>
      <c r="E175">
        <v>0.105</v>
      </c>
      <c r="F175">
        <v>0.39300000000000002</v>
      </c>
      <c r="G175">
        <v>0.13</v>
      </c>
      <c r="H175">
        <v>6.3E-2</v>
      </c>
      <c r="I175">
        <v>0.16500000000000001</v>
      </c>
      <c r="J175">
        <v>9</v>
      </c>
      <c r="K175">
        <v>10</v>
      </c>
      <c r="L175" t="s">
        <v>16</v>
      </c>
      <c r="M175" t="s">
        <v>17</v>
      </c>
      <c r="N175" t="s">
        <v>18</v>
      </c>
      <c r="O175">
        <v>7</v>
      </c>
      <c r="P175" t="s">
        <v>42</v>
      </c>
      <c r="Q175">
        <v>2.5</v>
      </c>
      <c r="R175" t="str" cm="1">
        <f t="array" ref="R1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75" t="e">
        <f>IF(Table13[[#This Row],[Category All]]="Category 1", "Yes",NA())</f>
        <v>#N/A</v>
      </c>
      <c r="T175" t="str">
        <f>IF(Table13[[#This Row],[Category All]]="Category 2", "Yes",NA())</f>
        <v>Yes</v>
      </c>
      <c r="U175" t="e">
        <f>IF(Table13[[#This Row],[Category All]]="Category 3", "Yes",NA())</f>
        <v>#N/A</v>
      </c>
      <c r="V175">
        <f>SUM(1,(1/3)*(Table13[[#This Row],[Length]]-0.5),(1/3)*(Table13[[#This Row],[Diameter]]-0.4),(1/3)*(Table13[[#This Row],[Height]]-0.4)*Table13[[#This Row],[Whole_weight]]*0.5)</f>
        <v>0.93901083333333324</v>
      </c>
      <c r="W175" cm="1">
        <f t="array" ref="W1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0.75120866666666664</v>
      </c>
      <c r="X175" t="e">
        <f>IF(Table13[[#This Row],[Category All]]="Category 1",Table13[[#This Row],[Base Abalone Value]]*1.5,NA())</f>
        <v>#N/A</v>
      </c>
      <c r="Y175">
        <f>IF(Table13[[#This Row],[Category All]]="Category 2",Table13[[#This Row],[Base Abalone Value]]*0.8,NA())</f>
        <v>0.75120866666666664</v>
      </c>
      <c r="Z175" t="e">
        <f>IF(Table13[[#This Row],[Category All]]="Category 3",Table13[[#This Row],[Base Abalone Value]],NA())</f>
        <v>#N/A</v>
      </c>
      <c r="AA175" s="2">
        <f>IF(Table13[[#This Row],[Gender]]="M",Table13[[#This Row],[Whole_weight]],NA())</f>
        <v>0.39300000000000002</v>
      </c>
      <c r="AB175" s="2" t="e">
        <f>IF(Table13[[#This Row],[Gender]]="F",Table13[[#This Row],[Whole_weight]],NA())</f>
        <v>#N/A</v>
      </c>
      <c r="AC175" s="2" t="e">
        <f>IF(Table13[[#This Row],[Gender]]="I",Table13[[#This Row],[Whole_weight]],NA())</f>
        <v>#N/A</v>
      </c>
      <c r="AD175" s="2">
        <f>IF(Table13[[#This Row],[Gender]]="M",Table13[[#This Row],[Diameter]],NA())</f>
        <v>0.35</v>
      </c>
      <c r="AE175" s="2" t="e">
        <f>IF(Table13[[#This Row],[Gender]]="F",Table13[[#This Row],[Diameter]],NA())</f>
        <v>#N/A</v>
      </c>
      <c r="AF175" s="2" t="e">
        <f>IF(Table13[[#This Row],[Gender]]="I",Table13[[#This Row],[Diameter]],NA())</f>
        <v>#N/A</v>
      </c>
    </row>
    <row r="176" spans="1:32" x14ac:dyDescent="0.2">
      <c r="A176">
        <v>3584</v>
      </c>
      <c r="B176" t="s">
        <v>0</v>
      </c>
      <c r="C176">
        <v>0.625</v>
      </c>
      <c r="D176">
        <v>0.5</v>
      </c>
      <c r="E176">
        <v>0.17499999999999999</v>
      </c>
      <c r="F176">
        <v>1.2729999999999999</v>
      </c>
      <c r="G176">
        <v>0.56399999999999995</v>
      </c>
      <c r="H176">
        <v>0.30199999999999999</v>
      </c>
      <c r="I176">
        <v>0.374</v>
      </c>
      <c r="J176">
        <v>9</v>
      </c>
      <c r="K176">
        <v>5</v>
      </c>
      <c r="L176" t="s">
        <v>26</v>
      </c>
      <c r="M176" t="s">
        <v>27</v>
      </c>
      <c r="N176" t="s">
        <v>28</v>
      </c>
      <c r="O176">
        <v>5</v>
      </c>
      <c r="P176" t="s">
        <v>14</v>
      </c>
      <c r="Q176">
        <v>12.8</v>
      </c>
      <c r="R176" t="str" cm="1">
        <f t="array" ref="R1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76" t="e">
        <f>IF(Table13[[#This Row],[Category All]]="Category 1", "Yes",NA())</f>
        <v>#N/A</v>
      </c>
      <c r="T176" t="e">
        <f>IF(Table13[[#This Row],[Category All]]="Category 2", "Yes",NA())</f>
        <v>#N/A</v>
      </c>
      <c r="U176" t="str">
        <f>IF(Table13[[#This Row],[Category All]]="Category 3", "Yes",NA())</f>
        <v>Yes</v>
      </c>
      <c r="V176">
        <f>SUM(1,(1/3)*(Table13[[#This Row],[Length]]-0.5),(1/3)*(Table13[[#This Row],[Diameter]]-0.4),(1/3)*(Table13[[#This Row],[Height]]-0.4)*Table13[[#This Row],[Whole_weight]]*0.5)</f>
        <v>1.0272625000000002</v>
      </c>
      <c r="W176" cm="1">
        <f t="array" ref="W1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1.0272625000000002</v>
      </c>
      <c r="X176" t="e">
        <f>IF(Table13[[#This Row],[Category All]]="Category 1",Table13[[#This Row],[Base Abalone Value]]*1.5,NA())</f>
        <v>#N/A</v>
      </c>
      <c r="Y176" t="e">
        <f>IF(Table13[[#This Row],[Category All]]="Category 2",Table13[[#This Row],[Base Abalone Value]]*0.8,NA())</f>
        <v>#N/A</v>
      </c>
      <c r="Z176">
        <f>IF(Table13[[#This Row],[Category All]]="Category 3",Table13[[#This Row],[Base Abalone Value]],NA())</f>
        <v>1.0272625000000002</v>
      </c>
      <c r="AA176" s="2" t="e">
        <f>IF(Table13[[#This Row],[Gender]]="M",Table13[[#This Row],[Whole_weight]],NA())</f>
        <v>#N/A</v>
      </c>
      <c r="AB176" s="2">
        <f>IF(Table13[[#This Row],[Gender]]="F",Table13[[#This Row],[Whole_weight]],NA())</f>
        <v>1.2729999999999999</v>
      </c>
      <c r="AC176" s="2" t="e">
        <f>IF(Table13[[#This Row],[Gender]]="I",Table13[[#This Row],[Whole_weight]],NA())</f>
        <v>#N/A</v>
      </c>
      <c r="AD176" s="2" t="e">
        <f>IF(Table13[[#This Row],[Gender]]="M",Table13[[#This Row],[Diameter]],NA())</f>
        <v>#N/A</v>
      </c>
      <c r="AE176" s="2">
        <f>IF(Table13[[#This Row],[Gender]]="F",Table13[[#This Row],[Diameter]],NA())</f>
        <v>0.5</v>
      </c>
      <c r="AF176" s="2" t="e">
        <f>IF(Table13[[#This Row],[Gender]]="I",Table13[[#This Row],[Diameter]],NA())</f>
        <v>#N/A</v>
      </c>
    </row>
    <row r="177" spans="1:32" x14ac:dyDescent="0.2">
      <c r="A177">
        <v>1180</v>
      </c>
      <c r="B177" t="s">
        <v>15</v>
      </c>
      <c r="C177">
        <v>0.65</v>
      </c>
      <c r="D177">
        <v>0.5</v>
      </c>
      <c r="E177">
        <v>0.155</v>
      </c>
      <c r="F177">
        <v>1.202</v>
      </c>
      <c r="G177">
        <v>0.56499999999999995</v>
      </c>
      <c r="H177">
        <v>0.3135</v>
      </c>
      <c r="I177">
        <v>0.29399999999999998</v>
      </c>
      <c r="J177">
        <v>11</v>
      </c>
      <c r="K177">
        <v>4</v>
      </c>
      <c r="L177" t="s">
        <v>52</v>
      </c>
      <c r="M177" t="s">
        <v>53</v>
      </c>
      <c r="N177" t="s">
        <v>54</v>
      </c>
      <c r="O177">
        <v>4</v>
      </c>
      <c r="P177" t="s">
        <v>10</v>
      </c>
      <c r="Q177">
        <v>6.1</v>
      </c>
      <c r="R177" t="str" cm="1">
        <f t="array" ref="R1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77" t="e">
        <f>IF(Table13[[#This Row],[Category All]]="Category 1", "Yes",NA())</f>
        <v>#N/A</v>
      </c>
      <c r="T177" t="e">
        <f>IF(Table13[[#This Row],[Category All]]="Category 2", "Yes",NA())</f>
        <v>#N/A</v>
      </c>
      <c r="U177" t="str">
        <f>IF(Table13[[#This Row],[Category All]]="Category 3", "Yes",NA())</f>
        <v>Yes</v>
      </c>
      <c r="V177">
        <f>SUM(1,(1/3)*(Table13[[#This Row],[Length]]-0.5),(1/3)*(Table13[[#This Row],[Diameter]]-0.4),(1/3)*(Table13[[#This Row],[Height]]-0.4)*Table13[[#This Row],[Whole_weight]]*0.5)</f>
        <v>1.0342516666666668</v>
      </c>
      <c r="W177" cm="1">
        <f t="array" ref="W1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1.0342516666666668</v>
      </c>
      <c r="X177" t="e">
        <f>IF(Table13[[#This Row],[Category All]]="Category 1",Table13[[#This Row],[Base Abalone Value]]*1.5,NA())</f>
        <v>#N/A</v>
      </c>
      <c r="Y177" t="e">
        <f>IF(Table13[[#This Row],[Category All]]="Category 2",Table13[[#This Row],[Base Abalone Value]]*0.8,NA())</f>
        <v>#N/A</v>
      </c>
      <c r="Z177">
        <f>IF(Table13[[#This Row],[Category All]]="Category 3",Table13[[#This Row],[Base Abalone Value]],NA())</f>
        <v>1.0342516666666668</v>
      </c>
      <c r="AA177" s="2">
        <f>IF(Table13[[#This Row],[Gender]]="M",Table13[[#This Row],[Whole_weight]],NA())</f>
        <v>1.202</v>
      </c>
      <c r="AB177" s="2" t="e">
        <f>IF(Table13[[#This Row],[Gender]]="F",Table13[[#This Row],[Whole_weight]],NA())</f>
        <v>#N/A</v>
      </c>
      <c r="AC177" s="2" t="e">
        <f>IF(Table13[[#This Row],[Gender]]="I",Table13[[#This Row],[Whole_weight]],NA())</f>
        <v>#N/A</v>
      </c>
      <c r="AD177" s="2">
        <f>IF(Table13[[#This Row],[Gender]]="M",Table13[[#This Row],[Diameter]],NA())</f>
        <v>0.5</v>
      </c>
      <c r="AE177" s="2" t="e">
        <f>IF(Table13[[#This Row],[Gender]]="F",Table13[[#This Row],[Diameter]],NA())</f>
        <v>#N/A</v>
      </c>
      <c r="AF177" s="2" t="e">
        <f>IF(Table13[[#This Row],[Gender]]="I",Table13[[#This Row],[Diameter]],NA())</f>
        <v>#N/A</v>
      </c>
    </row>
    <row r="178" spans="1:32" x14ac:dyDescent="0.2">
      <c r="A178">
        <v>976</v>
      </c>
      <c r="B178" t="s">
        <v>0</v>
      </c>
      <c r="C178">
        <v>0.53</v>
      </c>
      <c r="D178">
        <v>0.42499999999999999</v>
      </c>
      <c r="E178">
        <v>0.15</v>
      </c>
      <c r="F178">
        <v>0.84950000000000003</v>
      </c>
      <c r="G178">
        <v>0.32800000000000001</v>
      </c>
      <c r="H178">
        <v>0.23200000000000001</v>
      </c>
      <c r="I178">
        <v>0.20200000000000001</v>
      </c>
      <c r="J178">
        <v>8</v>
      </c>
      <c r="K178">
        <v>14</v>
      </c>
      <c r="L178" t="s">
        <v>23</v>
      </c>
      <c r="M178" t="s">
        <v>24</v>
      </c>
      <c r="N178" t="s">
        <v>25</v>
      </c>
      <c r="O178">
        <v>9</v>
      </c>
      <c r="P178" t="s">
        <v>46</v>
      </c>
      <c r="Q178">
        <v>1.9</v>
      </c>
      <c r="R178" t="str" cm="1">
        <f t="array" ref="R1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78" t="e">
        <f>IF(Table13[[#This Row],[Category All]]="Category 1", "Yes",NA())</f>
        <v>#N/A</v>
      </c>
      <c r="T178" t="str">
        <f>IF(Table13[[#This Row],[Category All]]="Category 2", "Yes",NA())</f>
        <v>Yes</v>
      </c>
      <c r="U178" t="e">
        <f>IF(Table13[[#This Row],[Category All]]="Category 3", "Yes",NA())</f>
        <v>#N/A</v>
      </c>
      <c r="V178">
        <f>SUM(1,(1/3)*(Table13[[#This Row],[Length]]-0.5),(1/3)*(Table13[[#This Row],[Diameter]]-0.4),(1/3)*(Table13[[#This Row],[Height]]-0.4)*Table13[[#This Row],[Whole_weight]]*0.5)</f>
        <v>0.98293750000000002</v>
      </c>
      <c r="W178" cm="1">
        <f t="array" ref="W1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0.7863500000000001</v>
      </c>
      <c r="X178" t="e">
        <f>IF(Table13[[#This Row],[Category All]]="Category 1",Table13[[#This Row],[Base Abalone Value]]*1.5,NA())</f>
        <v>#N/A</v>
      </c>
      <c r="Y178">
        <f>IF(Table13[[#This Row],[Category All]]="Category 2",Table13[[#This Row],[Base Abalone Value]]*0.8,NA())</f>
        <v>0.7863500000000001</v>
      </c>
      <c r="Z178" t="e">
        <f>IF(Table13[[#This Row],[Category All]]="Category 3",Table13[[#This Row],[Base Abalone Value]],NA())</f>
        <v>#N/A</v>
      </c>
      <c r="AA178" s="2" t="e">
        <f>IF(Table13[[#This Row],[Gender]]="M",Table13[[#This Row],[Whole_weight]],NA())</f>
        <v>#N/A</v>
      </c>
      <c r="AB178" s="2">
        <f>IF(Table13[[#This Row],[Gender]]="F",Table13[[#This Row],[Whole_weight]],NA())</f>
        <v>0.84950000000000003</v>
      </c>
      <c r="AC178" s="2" t="e">
        <f>IF(Table13[[#This Row],[Gender]]="I",Table13[[#This Row],[Whole_weight]],NA())</f>
        <v>#N/A</v>
      </c>
      <c r="AD178" s="2" t="e">
        <f>IF(Table13[[#This Row],[Gender]]="M",Table13[[#This Row],[Diameter]],NA())</f>
        <v>#N/A</v>
      </c>
      <c r="AE178" s="2">
        <f>IF(Table13[[#This Row],[Gender]]="F",Table13[[#This Row],[Diameter]],NA())</f>
        <v>0.42499999999999999</v>
      </c>
      <c r="AF178" s="2" t="e">
        <f>IF(Table13[[#This Row],[Gender]]="I",Table13[[#This Row],[Diameter]],NA())</f>
        <v>#N/A</v>
      </c>
    </row>
    <row r="179" spans="1:32" x14ac:dyDescent="0.2">
      <c r="A179">
        <v>1631</v>
      </c>
      <c r="B179" t="s">
        <v>11</v>
      </c>
      <c r="C179">
        <v>0.56999999999999995</v>
      </c>
      <c r="D179">
        <v>0.44500000000000001</v>
      </c>
      <c r="E179">
        <v>0.155</v>
      </c>
      <c r="F179">
        <v>0.86699999999999999</v>
      </c>
      <c r="G179">
        <v>0.3705</v>
      </c>
      <c r="H179">
        <v>0.17050000000000001</v>
      </c>
      <c r="I179">
        <v>0.28000000000000003</v>
      </c>
      <c r="J179">
        <v>9</v>
      </c>
      <c r="K179">
        <v>14</v>
      </c>
      <c r="L179" t="s">
        <v>23</v>
      </c>
      <c r="M179" t="s">
        <v>24</v>
      </c>
      <c r="N179" t="s">
        <v>25</v>
      </c>
      <c r="O179">
        <v>8</v>
      </c>
      <c r="P179" t="s">
        <v>19</v>
      </c>
      <c r="Q179">
        <v>12.3</v>
      </c>
      <c r="R179" t="str" cm="1">
        <f t="array" ref="R1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79" t="e">
        <f>IF(Table13[[#This Row],[Category All]]="Category 1", "Yes",NA())</f>
        <v>#N/A</v>
      </c>
      <c r="T179" t="str">
        <f>IF(Table13[[#This Row],[Category All]]="Category 2", "Yes",NA())</f>
        <v>Yes</v>
      </c>
      <c r="U179" t="e">
        <f>IF(Table13[[#This Row],[Category All]]="Category 3", "Yes",NA())</f>
        <v>#N/A</v>
      </c>
      <c r="V179">
        <f>SUM(1,(1/3)*(Table13[[#This Row],[Length]]-0.5),(1/3)*(Table13[[#This Row],[Diameter]]-0.4),(1/3)*(Table13[[#This Row],[Height]]-0.4)*Table13[[#This Row],[Whole_weight]]*0.5)</f>
        <v>1.0029308333333333</v>
      </c>
      <c r="W179" cm="1">
        <f t="array" ref="W1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0.80234466666666671</v>
      </c>
      <c r="X179" t="e">
        <f>IF(Table13[[#This Row],[Category All]]="Category 1",Table13[[#This Row],[Base Abalone Value]]*1.5,NA())</f>
        <v>#N/A</v>
      </c>
      <c r="Y179">
        <f>IF(Table13[[#This Row],[Category All]]="Category 2",Table13[[#This Row],[Base Abalone Value]]*0.8,NA())</f>
        <v>0.80234466666666671</v>
      </c>
      <c r="Z179" t="e">
        <f>IF(Table13[[#This Row],[Category All]]="Category 3",Table13[[#This Row],[Base Abalone Value]],NA())</f>
        <v>#N/A</v>
      </c>
      <c r="AA179" s="2" t="e">
        <f>IF(Table13[[#This Row],[Gender]]="M",Table13[[#This Row],[Whole_weight]],NA())</f>
        <v>#N/A</v>
      </c>
      <c r="AB179" s="2" t="e">
        <f>IF(Table13[[#This Row],[Gender]]="F",Table13[[#This Row],[Whole_weight]],NA())</f>
        <v>#N/A</v>
      </c>
      <c r="AC179" s="2">
        <f>IF(Table13[[#This Row],[Gender]]="I",Table13[[#This Row],[Whole_weight]],NA())</f>
        <v>0.86699999999999999</v>
      </c>
      <c r="AD179" s="2" t="e">
        <f>IF(Table13[[#This Row],[Gender]]="M",Table13[[#This Row],[Diameter]],NA())</f>
        <v>#N/A</v>
      </c>
      <c r="AE179" s="2" t="e">
        <f>IF(Table13[[#This Row],[Gender]]="F",Table13[[#This Row],[Diameter]],NA())</f>
        <v>#N/A</v>
      </c>
      <c r="AF179" s="2">
        <f>IF(Table13[[#This Row],[Gender]]="I",Table13[[#This Row],[Diameter]],NA())</f>
        <v>0.44500000000000001</v>
      </c>
    </row>
    <row r="180" spans="1:32" x14ac:dyDescent="0.2">
      <c r="A180">
        <v>1794</v>
      </c>
      <c r="B180" t="s">
        <v>15</v>
      </c>
      <c r="C180">
        <v>0.57499999999999996</v>
      </c>
      <c r="D180">
        <v>0.44</v>
      </c>
      <c r="E180">
        <v>0.185</v>
      </c>
      <c r="F180">
        <v>1.0249999999999999</v>
      </c>
      <c r="G180">
        <v>0.50749999999999995</v>
      </c>
      <c r="H180">
        <v>0.22450000000000001</v>
      </c>
      <c r="I180">
        <v>0.2485</v>
      </c>
      <c r="J180">
        <v>10</v>
      </c>
      <c r="K180">
        <v>2</v>
      </c>
      <c r="L180" t="s">
        <v>32</v>
      </c>
      <c r="M180" t="s">
        <v>33</v>
      </c>
      <c r="N180" t="s">
        <v>34</v>
      </c>
      <c r="O180">
        <v>9</v>
      </c>
      <c r="P180" t="s">
        <v>46</v>
      </c>
      <c r="Q180">
        <v>1.9</v>
      </c>
      <c r="R180" t="str" cm="1">
        <f t="array" ref="R1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80" t="e">
        <f>IF(Table13[[#This Row],[Category All]]="Category 1", "Yes",NA())</f>
        <v>#N/A</v>
      </c>
      <c r="T180" t="e">
        <f>IF(Table13[[#This Row],[Category All]]="Category 2", "Yes",NA())</f>
        <v>#N/A</v>
      </c>
      <c r="U180" t="str">
        <f>IF(Table13[[#This Row],[Category All]]="Category 3", "Yes",NA())</f>
        <v>Yes</v>
      </c>
      <c r="V180">
        <f>SUM(1,(1/3)*(Table13[[#This Row],[Length]]-0.5),(1/3)*(Table13[[#This Row],[Diameter]]-0.4),(1/3)*(Table13[[#This Row],[Height]]-0.4)*Table13[[#This Row],[Whole_weight]]*0.5)</f>
        <v>1.0016041666666666</v>
      </c>
      <c r="W180" cm="1">
        <f t="array" ref="W1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1.0016041666666666</v>
      </c>
      <c r="X180" t="e">
        <f>IF(Table13[[#This Row],[Category All]]="Category 1",Table13[[#This Row],[Base Abalone Value]]*1.5,NA())</f>
        <v>#N/A</v>
      </c>
      <c r="Y180" t="e">
        <f>IF(Table13[[#This Row],[Category All]]="Category 2",Table13[[#This Row],[Base Abalone Value]]*0.8,NA())</f>
        <v>#N/A</v>
      </c>
      <c r="Z180">
        <f>IF(Table13[[#This Row],[Category All]]="Category 3",Table13[[#This Row],[Base Abalone Value]],NA())</f>
        <v>1.0016041666666666</v>
      </c>
      <c r="AA180" s="2">
        <f>IF(Table13[[#This Row],[Gender]]="M",Table13[[#This Row],[Whole_weight]],NA())</f>
        <v>1.0249999999999999</v>
      </c>
      <c r="AB180" s="2" t="e">
        <f>IF(Table13[[#This Row],[Gender]]="F",Table13[[#This Row],[Whole_weight]],NA())</f>
        <v>#N/A</v>
      </c>
      <c r="AC180" s="2" t="e">
        <f>IF(Table13[[#This Row],[Gender]]="I",Table13[[#This Row],[Whole_weight]],NA())</f>
        <v>#N/A</v>
      </c>
      <c r="AD180" s="2">
        <f>IF(Table13[[#This Row],[Gender]]="M",Table13[[#This Row],[Diameter]],NA())</f>
        <v>0.44</v>
      </c>
      <c r="AE180" s="2" t="e">
        <f>IF(Table13[[#This Row],[Gender]]="F",Table13[[#This Row],[Diameter]],NA())</f>
        <v>#N/A</v>
      </c>
      <c r="AF180" s="2" t="e">
        <f>IF(Table13[[#This Row],[Gender]]="I",Table13[[#This Row],[Diameter]],NA())</f>
        <v>#N/A</v>
      </c>
    </row>
    <row r="181" spans="1:32" x14ac:dyDescent="0.2">
      <c r="A181">
        <v>108</v>
      </c>
      <c r="B181" t="s">
        <v>0</v>
      </c>
      <c r="C181">
        <v>0.5</v>
      </c>
      <c r="D181">
        <v>0.4</v>
      </c>
      <c r="E181">
        <v>0.125</v>
      </c>
      <c r="F181">
        <v>0.66749999999999998</v>
      </c>
      <c r="G181">
        <v>0.26100000000000001</v>
      </c>
      <c r="H181">
        <v>0.13150000000000001</v>
      </c>
      <c r="I181">
        <v>0.22</v>
      </c>
      <c r="J181">
        <v>10</v>
      </c>
      <c r="K181">
        <v>14</v>
      </c>
      <c r="L181" t="s">
        <v>23</v>
      </c>
      <c r="M181" t="s">
        <v>24</v>
      </c>
      <c r="N181" t="s">
        <v>25</v>
      </c>
      <c r="O181">
        <v>2</v>
      </c>
      <c r="P181" t="s">
        <v>7</v>
      </c>
      <c r="Q181">
        <v>18</v>
      </c>
      <c r="R181" t="str" cm="1">
        <f t="array" ref="R1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81" t="e">
        <f>IF(Table13[[#This Row],[Category All]]="Category 1", "Yes",NA())</f>
        <v>#N/A</v>
      </c>
      <c r="T181" t="str">
        <f>IF(Table13[[#This Row],[Category All]]="Category 2", "Yes",NA())</f>
        <v>Yes</v>
      </c>
      <c r="U181" t="e">
        <f>IF(Table13[[#This Row],[Category All]]="Category 3", "Yes",NA())</f>
        <v>#N/A</v>
      </c>
      <c r="V181">
        <f>SUM(1,(1/3)*(Table13[[#This Row],[Length]]-0.5),(1/3)*(Table13[[#This Row],[Diameter]]-0.4),(1/3)*(Table13[[#This Row],[Height]]-0.4)*Table13[[#This Row],[Whole_weight]]*0.5)</f>
        <v>0.96940625000000002</v>
      </c>
      <c r="W181" cm="1">
        <f t="array" ref="W1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0.77552500000000002</v>
      </c>
      <c r="X181" t="e">
        <f>IF(Table13[[#This Row],[Category All]]="Category 1",Table13[[#This Row],[Base Abalone Value]]*1.5,NA())</f>
        <v>#N/A</v>
      </c>
      <c r="Y181">
        <f>IF(Table13[[#This Row],[Category All]]="Category 2",Table13[[#This Row],[Base Abalone Value]]*0.8,NA())</f>
        <v>0.77552500000000002</v>
      </c>
      <c r="Z181" t="e">
        <f>IF(Table13[[#This Row],[Category All]]="Category 3",Table13[[#This Row],[Base Abalone Value]],NA())</f>
        <v>#N/A</v>
      </c>
      <c r="AA181" s="2" t="e">
        <f>IF(Table13[[#This Row],[Gender]]="M",Table13[[#This Row],[Whole_weight]],NA())</f>
        <v>#N/A</v>
      </c>
      <c r="AB181" s="2">
        <f>IF(Table13[[#This Row],[Gender]]="F",Table13[[#This Row],[Whole_weight]],NA())</f>
        <v>0.66749999999999998</v>
      </c>
      <c r="AC181" s="2" t="e">
        <f>IF(Table13[[#This Row],[Gender]]="I",Table13[[#This Row],[Whole_weight]],NA())</f>
        <v>#N/A</v>
      </c>
      <c r="AD181" s="2" t="e">
        <f>IF(Table13[[#This Row],[Gender]]="M",Table13[[#This Row],[Diameter]],NA())</f>
        <v>#N/A</v>
      </c>
      <c r="AE181" s="2">
        <f>IF(Table13[[#This Row],[Gender]]="F",Table13[[#This Row],[Diameter]],NA())</f>
        <v>0.4</v>
      </c>
      <c r="AF181" s="2" t="e">
        <f>IF(Table13[[#This Row],[Gender]]="I",Table13[[#This Row],[Diameter]],NA())</f>
        <v>#N/A</v>
      </c>
    </row>
    <row r="182" spans="1:32" x14ac:dyDescent="0.2">
      <c r="A182">
        <v>470</v>
      </c>
      <c r="B182" t="s">
        <v>15</v>
      </c>
      <c r="C182">
        <v>0.67500000000000004</v>
      </c>
      <c r="D182">
        <v>0.55500000000000005</v>
      </c>
      <c r="E182">
        <v>0.2</v>
      </c>
      <c r="F182">
        <v>1.4384999999999999</v>
      </c>
      <c r="G182">
        <v>0.54500000000000004</v>
      </c>
      <c r="H182">
        <v>0.26650000000000001</v>
      </c>
      <c r="I182">
        <v>0.46500000000000002</v>
      </c>
      <c r="J182">
        <v>21</v>
      </c>
      <c r="K182">
        <v>3</v>
      </c>
      <c r="L182" t="s">
        <v>43</v>
      </c>
      <c r="M182" t="s">
        <v>44</v>
      </c>
      <c r="N182" t="s">
        <v>45</v>
      </c>
      <c r="O182">
        <v>9</v>
      </c>
      <c r="P182" t="s">
        <v>46</v>
      </c>
      <c r="Q182">
        <v>1.9</v>
      </c>
      <c r="R182" t="str" cm="1">
        <f t="array" ref="R1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82" t="e">
        <f>IF(Table13[[#This Row],[Category All]]="Category 1", "Yes",NA())</f>
        <v>#N/A</v>
      </c>
      <c r="T182" t="str">
        <f>IF(Table13[[#This Row],[Category All]]="Category 2", "Yes",NA())</f>
        <v>Yes</v>
      </c>
      <c r="U182" t="e">
        <f>IF(Table13[[#This Row],[Category All]]="Category 3", "Yes",NA())</f>
        <v>#N/A</v>
      </c>
      <c r="V182">
        <f>SUM(1,(1/3)*(Table13[[#This Row],[Length]]-0.5),(1/3)*(Table13[[#This Row],[Diameter]]-0.4),(1/3)*(Table13[[#This Row],[Height]]-0.4)*Table13[[#This Row],[Whole_weight]]*0.5)</f>
        <v>1.0620500000000002</v>
      </c>
      <c r="W182" cm="1">
        <f t="array" ref="W1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0.84964000000000017</v>
      </c>
      <c r="X182" t="e">
        <f>IF(Table13[[#This Row],[Category All]]="Category 1",Table13[[#This Row],[Base Abalone Value]]*1.5,NA())</f>
        <v>#N/A</v>
      </c>
      <c r="Y182">
        <f>IF(Table13[[#This Row],[Category All]]="Category 2",Table13[[#This Row],[Base Abalone Value]]*0.8,NA())</f>
        <v>0.84964000000000017</v>
      </c>
      <c r="Z182" t="e">
        <f>IF(Table13[[#This Row],[Category All]]="Category 3",Table13[[#This Row],[Base Abalone Value]],NA())</f>
        <v>#N/A</v>
      </c>
      <c r="AA182" s="2">
        <f>IF(Table13[[#This Row],[Gender]]="M",Table13[[#This Row],[Whole_weight]],NA())</f>
        <v>1.4384999999999999</v>
      </c>
      <c r="AB182" s="2" t="e">
        <f>IF(Table13[[#This Row],[Gender]]="F",Table13[[#This Row],[Whole_weight]],NA())</f>
        <v>#N/A</v>
      </c>
      <c r="AC182" s="2" t="e">
        <f>IF(Table13[[#This Row],[Gender]]="I",Table13[[#This Row],[Whole_weight]],NA())</f>
        <v>#N/A</v>
      </c>
      <c r="AD182" s="2">
        <f>IF(Table13[[#This Row],[Gender]]="M",Table13[[#This Row],[Diameter]],NA())</f>
        <v>0.55500000000000005</v>
      </c>
      <c r="AE182" s="2" t="e">
        <f>IF(Table13[[#This Row],[Gender]]="F",Table13[[#This Row],[Diameter]],NA())</f>
        <v>#N/A</v>
      </c>
      <c r="AF182" s="2" t="e">
        <f>IF(Table13[[#This Row],[Gender]]="I",Table13[[#This Row],[Diameter]],NA())</f>
        <v>#N/A</v>
      </c>
    </row>
    <row r="183" spans="1:32" x14ac:dyDescent="0.2">
      <c r="A183">
        <v>3244</v>
      </c>
      <c r="B183" t="s">
        <v>0</v>
      </c>
      <c r="C183">
        <v>0.65500000000000003</v>
      </c>
      <c r="D183">
        <v>0.51</v>
      </c>
      <c r="E183">
        <v>0.16</v>
      </c>
      <c r="F183">
        <v>1.0920000000000001</v>
      </c>
      <c r="G183">
        <v>0.39600000000000002</v>
      </c>
      <c r="H183">
        <v>0.28249999999999997</v>
      </c>
      <c r="I183">
        <v>0.37</v>
      </c>
      <c r="J183">
        <v>14</v>
      </c>
      <c r="K183">
        <v>14</v>
      </c>
      <c r="L183" t="s">
        <v>23</v>
      </c>
      <c r="M183" t="s">
        <v>24</v>
      </c>
      <c r="N183" t="s">
        <v>25</v>
      </c>
      <c r="O183">
        <v>5</v>
      </c>
      <c r="P183" t="s">
        <v>14</v>
      </c>
      <c r="Q183">
        <v>12.8</v>
      </c>
      <c r="R183" t="str" cm="1">
        <f t="array" ref="R1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83" t="e">
        <f>IF(Table13[[#This Row],[Category All]]="Category 1", "Yes",NA())</f>
        <v>#N/A</v>
      </c>
      <c r="T183" t="str">
        <f>IF(Table13[[#This Row],[Category All]]="Category 2", "Yes",NA())</f>
        <v>Yes</v>
      </c>
      <c r="U183" t="e">
        <f>IF(Table13[[#This Row],[Category All]]="Category 3", "Yes",NA())</f>
        <v>#N/A</v>
      </c>
      <c r="V183">
        <f>SUM(1,(1/3)*(Table13[[#This Row],[Length]]-0.5),(1/3)*(Table13[[#This Row],[Diameter]]-0.4),(1/3)*(Table13[[#This Row],[Height]]-0.4)*Table13[[#This Row],[Whole_weight]]*0.5)</f>
        <v>1.0446533333333334</v>
      </c>
      <c r="W183" cm="1">
        <f t="array" ref="W1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0.83572266666666684</v>
      </c>
      <c r="X183" t="e">
        <f>IF(Table13[[#This Row],[Category All]]="Category 1",Table13[[#This Row],[Base Abalone Value]]*1.5,NA())</f>
        <v>#N/A</v>
      </c>
      <c r="Y183">
        <f>IF(Table13[[#This Row],[Category All]]="Category 2",Table13[[#This Row],[Base Abalone Value]]*0.8,NA())</f>
        <v>0.83572266666666684</v>
      </c>
      <c r="Z183" t="e">
        <f>IF(Table13[[#This Row],[Category All]]="Category 3",Table13[[#This Row],[Base Abalone Value]],NA())</f>
        <v>#N/A</v>
      </c>
      <c r="AA183" s="2" t="e">
        <f>IF(Table13[[#This Row],[Gender]]="M",Table13[[#This Row],[Whole_weight]],NA())</f>
        <v>#N/A</v>
      </c>
      <c r="AB183" s="2">
        <f>IF(Table13[[#This Row],[Gender]]="F",Table13[[#This Row],[Whole_weight]],NA())</f>
        <v>1.0920000000000001</v>
      </c>
      <c r="AC183" s="2" t="e">
        <f>IF(Table13[[#This Row],[Gender]]="I",Table13[[#This Row],[Whole_weight]],NA())</f>
        <v>#N/A</v>
      </c>
      <c r="AD183" s="2" t="e">
        <f>IF(Table13[[#This Row],[Gender]]="M",Table13[[#This Row],[Diameter]],NA())</f>
        <v>#N/A</v>
      </c>
      <c r="AE183" s="2">
        <f>IF(Table13[[#This Row],[Gender]]="F",Table13[[#This Row],[Diameter]],NA())</f>
        <v>0.51</v>
      </c>
      <c r="AF183" s="2" t="e">
        <f>IF(Table13[[#This Row],[Gender]]="I",Table13[[#This Row],[Diameter]],NA())</f>
        <v>#N/A</v>
      </c>
    </row>
    <row r="184" spans="1:32" x14ac:dyDescent="0.2">
      <c r="A184">
        <v>1557</v>
      </c>
      <c r="B184" t="s">
        <v>11</v>
      </c>
      <c r="C184">
        <v>0.41499999999999998</v>
      </c>
      <c r="D184">
        <v>0.32500000000000001</v>
      </c>
      <c r="E184">
        <v>0.1</v>
      </c>
      <c r="F184">
        <v>0.313</v>
      </c>
      <c r="G184">
        <v>0.13900000000000001</v>
      </c>
      <c r="H184">
        <v>6.25E-2</v>
      </c>
      <c r="I184">
        <v>9.6500000000000002E-2</v>
      </c>
      <c r="J184">
        <v>7</v>
      </c>
      <c r="K184">
        <v>10</v>
      </c>
      <c r="L184" t="s">
        <v>16</v>
      </c>
      <c r="M184" t="s">
        <v>17</v>
      </c>
      <c r="N184" t="s">
        <v>18</v>
      </c>
      <c r="O184">
        <v>2</v>
      </c>
      <c r="P184" t="s">
        <v>7</v>
      </c>
      <c r="Q184">
        <v>18</v>
      </c>
      <c r="R184" t="str" cm="1">
        <f t="array" ref="R1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84" t="e">
        <f>IF(Table13[[#This Row],[Category All]]="Category 1", "Yes",NA())</f>
        <v>#N/A</v>
      </c>
      <c r="T184" t="str">
        <f>IF(Table13[[#This Row],[Category All]]="Category 2", "Yes",NA())</f>
        <v>Yes</v>
      </c>
      <c r="U184" t="e">
        <f>IF(Table13[[#This Row],[Category All]]="Category 3", "Yes",NA())</f>
        <v>#N/A</v>
      </c>
      <c r="V184">
        <f>SUM(1,(1/3)*(Table13[[#This Row],[Length]]-0.5),(1/3)*(Table13[[#This Row],[Diameter]]-0.4),(1/3)*(Table13[[#This Row],[Height]]-0.4)*Table13[[#This Row],[Whole_weight]]*0.5)</f>
        <v>0.9310166666666666</v>
      </c>
      <c r="W184" cm="1">
        <f t="array" ref="W1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0.74481333333333333</v>
      </c>
      <c r="X184" t="e">
        <f>IF(Table13[[#This Row],[Category All]]="Category 1",Table13[[#This Row],[Base Abalone Value]]*1.5,NA())</f>
        <v>#N/A</v>
      </c>
      <c r="Y184">
        <f>IF(Table13[[#This Row],[Category All]]="Category 2",Table13[[#This Row],[Base Abalone Value]]*0.8,NA())</f>
        <v>0.74481333333333333</v>
      </c>
      <c r="Z184" t="e">
        <f>IF(Table13[[#This Row],[Category All]]="Category 3",Table13[[#This Row],[Base Abalone Value]],NA())</f>
        <v>#N/A</v>
      </c>
      <c r="AA184" s="2" t="e">
        <f>IF(Table13[[#This Row],[Gender]]="M",Table13[[#This Row],[Whole_weight]],NA())</f>
        <v>#N/A</v>
      </c>
      <c r="AB184" s="2" t="e">
        <f>IF(Table13[[#This Row],[Gender]]="F",Table13[[#This Row],[Whole_weight]],NA())</f>
        <v>#N/A</v>
      </c>
      <c r="AC184" s="2">
        <f>IF(Table13[[#This Row],[Gender]]="I",Table13[[#This Row],[Whole_weight]],NA())</f>
        <v>0.313</v>
      </c>
      <c r="AD184" s="2" t="e">
        <f>IF(Table13[[#This Row],[Gender]]="M",Table13[[#This Row],[Diameter]],NA())</f>
        <v>#N/A</v>
      </c>
      <c r="AE184" s="2" t="e">
        <f>IF(Table13[[#This Row],[Gender]]="F",Table13[[#This Row],[Diameter]],NA())</f>
        <v>#N/A</v>
      </c>
      <c r="AF184" s="2">
        <f>IF(Table13[[#This Row],[Gender]]="I",Table13[[#This Row],[Diameter]],NA())</f>
        <v>0.32500000000000001</v>
      </c>
    </row>
    <row r="185" spans="1:32" x14ac:dyDescent="0.2">
      <c r="A185">
        <v>2371</v>
      </c>
      <c r="B185" t="s">
        <v>11</v>
      </c>
      <c r="C185">
        <v>0.42</v>
      </c>
      <c r="D185">
        <v>0.32500000000000001</v>
      </c>
      <c r="E185">
        <v>0.115</v>
      </c>
      <c r="F185">
        <v>0.35399999999999998</v>
      </c>
      <c r="G185">
        <v>0.16250000000000001</v>
      </c>
      <c r="H185">
        <v>6.4000000000000001E-2</v>
      </c>
      <c r="I185">
        <v>0.105</v>
      </c>
      <c r="J185">
        <v>8</v>
      </c>
      <c r="K185">
        <v>14</v>
      </c>
      <c r="L185" t="s">
        <v>23</v>
      </c>
      <c r="M185" t="s">
        <v>24</v>
      </c>
      <c r="N185" t="s">
        <v>25</v>
      </c>
      <c r="O185">
        <v>6</v>
      </c>
      <c r="P185" t="s">
        <v>47</v>
      </c>
      <c r="Q185">
        <v>14.1</v>
      </c>
      <c r="R185" t="str" cm="1">
        <f t="array" ref="R1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85" t="e">
        <f>IF(Table13[[#This Row],[Category All]]="Category 1", "Yes",NA())</f>
        <v>#N/A</v>
      </c>
      <c r="T185" t="str">
        <f>IF(Table13[[#This Row],[Category All]]="Category 2", "Yes",NA())</f>
        <v>Yes</v>
      </c>
      <c r="U185" t="e">
        <f>IF(Table13[[#This Row],[Category All]]="Category 3", "Yes",NA())</f>
        <v>#N/A</v>
      </c>
      <c r="V185">
        <f>SUM(1,(1/3)*(Table13[[#This Row],[Length]]-0.5),(1/3)*(Table13[[#This Row],[Diameter]]-0.4),(1/3)*(Table13[[#This Row],[Height]]-0.4)*Table13[[#This Row],[Whole_weight]]*0.5)</f>
        <v>0.93151833333333334</v>
      </c>
      <c r="W185" cm="1">
        <f t="array" ref="W1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0.74521466666666669</v>
      </c>
      <c r="X185" t="e">
        <f>IF(Table13[[#This Row],[Category All]]="Category 1",Table13[[#This Row],[Base Abalone Value]]*1.5,NA())</f>
        <v>#N/A</v>
      </c>
      <c r="Y185">
        <f>IF(Table13[[#This Row],[Category All]]="Category 2",Table13[[#This Row],[Base Abalone Value]]*0.8,NA())</f>
        <v>0.74521466666666669</v>
      </c>
      <c r="Z185" t="e">
        <f>IF(Table13[[#This Row],[Category All]]="Category 3",Table13[[#This Row],[Base Abalone Value]],NA())</f>
        <v>#N/A</v>
      </c>
      <c r="AA185" s="2" t="e">
        <f>IF(Table13[[#This Row],[Gender]]="M",Table13[[#This Row],[Whole_weight]],NA())</f>
        <v>#N/A</v>
      </c>
      <c r="AB185" s="2" t="e">
        <f>IF(Table13[[#This Row],[Gender]]="F",Table13[[#This Row],[Whole_weight]],NA())</f>
        <v>#N/A</v>
      </c>
      <c r="AC185" s="2">
        <f>IF(Table13[[#This Row],[Gender]]="I",Table13[[#This Row],[Whole_weight]],NA())</f>
        <v>0.35399999999999998</v>
      </c>
      <c r="AD185" s="2" t="e">
        <f>IF(Table13[[#This Row],[Gender]]="M",Table13[[#This Row],[Diameter]],NA())</f>
        <v>#N/A</v>
      </c>
      <c r="AE185" s="2" t="e">
        <f>IF(Table13[[#This Row],[Gender]]="F",Table13[[#This Row],[Diameter]],NA())</f>
        <v>#N/A</v>
      </c>
      <c r="AF185" s="2">
        <f>IF(Table13[[#This Row],[Gender]]="I",Table13[[#This Row],[Diameter]],NA())</f>
        <v>0.32500000000000001</v>
      </c>
    </row>
    <row r="186" spans="1:32" x14ac:dyDescent="0.2">
      <c r="A186">
        <v>1170</v>
      </c>
      <c r="B186" t="s">
        <v>0</v>
      </c>
      <c r="C186">
        <v>0.62</v>
      </c>
      <c r="D186">
        <v>0.48</v>
      </c>
      <c r="E186">
        <v>0.16</v>
      </c>
      <c r="F186">
        <v>1.1125</v>
      </c>
      <c r="G186">
        <v>0.5635</v>
      </c>
      <c r="H186">
        <v>0.2445</v>
      </c>
      <c r="I186">
        <v>0.28100000000000003</v>
      </c>
      <c r="J186">
        <v>8</v>
      </c>
      <c r="K186">
        <v>3</v>
      </c>
      <c r="L186" t="s">
        <v>43</v>
      </c>
      <c r="M186" t="s">
        <v>44</v>
      </c>
      <c r="N186" t="s">
        <v>45</v>
      </c>
      <c r="O186">
        <v>9</v>
      </c>
      <c r="P186" t="s">
        <v>46</v>
      </c>
      <c r="Q186">
        <v>1.9</v>
      </c>
      <c r="R186" t="str" cm="1">
        <f t="array" ref="R1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86" t="e">
        <f>IF(Table13[[#This Row],[Category All]]="Category 1", "Yes",NA())</f>
        <v>#N/A</v>
      </c>
      <c r="T186" t="e">
        <f>IF(Table13[[#This Row],[Category All]]="Category 2", "Yes",NA())</f>
        <v>#N/A</v>
      </c>
      <c r="U186" t="str">
        <f>IF(Table13[[#This Row],[Category All]]="Category 3", "Yes",NA())</f>
        <v>Yes</v>
      </c>
      <c r="V186">
        <f>SUM(1,(1/3)*(Table13[[#This Row],[Length]]-0.5),(1/3)*(Table13[[#This Row],[Diameter]]-0.4),(1/3)*(Table13[[#This Row],[Height]]-0.4)*Table13[[#This Row],[Whole_weight]]*0.5)</f>
        <v>1.0221666666666667</v>
      </c>
      <c r="W186" cm="1">
        <f t="array" ref="W1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1.0221666666666667</v>
      </c>
      <c r="X186" t="e">
        <f>IF(Table13[[#This Row],[Category All]]="Category 1",Table13[[#This Row],[Base Abalone Value]]*1.5,NA())</f>
        <v>#N/A</v>
      </c>
      <c r="Y186" t="e">
        <f>IF(Table13[[#This Row],[Category All]]="Category 2",Table13[[#This Row],[Base Abalone Value]]*0.8,NA())</f>
        <v>#N/A</v>
      </c>
      <c r="Z186">
        <f>IF(Table13[[#This Row],[Category All]]="Category 3",Table13[[#This Row],[Base Abalone Value]],NA())</f>
        <v>1.0221666666666667</v>
      </c>
      <c r="AA186" s="2" t="e">
        <f>IF(Table13[[#This Row],[Gender]]="M",Table13[[#This Row],[Whole_weight]],NA())</f>
        <v>#N/A</v>
      </c>
      <c r="AB186" s="2">
        <f>IF(Table13[[#This Row],[Gender]]="F",Table13[[#This Row],[Whole_weight]],NA())</f>
        <v>1.1125</v>
      </c>
      <c r="AC186" s="2" t="e">
        <f>IF(Table13[[#This Row],[Gender]]="I",Table13[[#This Row],[Whole_weight]],NA())</f>
        <v>#N/A</v>
      </c>
      <c r="AD186" s="2" t="e">
        <f>IF(Table13[[#This Row],[Gender]]="M",Table13[[#This Row],[Diameter]],NA())</f>
        <v>#N/A</v>
      </c>
      <c r="AE186" s="2">
        <f>IF(Table13[[#This Row],[Gender]]="F",Table13[[#This Row],[Diameter]],NA())</f>
        <v>0.48</v>
      </c>
      <c r="AF186" s="2" t="e">
        <f>IF(Table13[[#This Row],[Gender]]="I",Table13[[#This Row],[Diameter]],NA())</f>
        <v>#N/A</v>
      </c>
    </row>
    <row r="187" spans="1:32" x14ac:dyDescent="0.2">
      <c r="A187">
        <v>1596</v>
      </c>
      <c r="B187" t="s">
        <v>15</v>
      </c>
      <c r="C187">
        <v>0.52500000000000002</v>
      </c>
      <c r="D187">
        <v>0.4</v>
      </c>
      <c r="E187">
        <v>0.155</v>
      </c>
      <c r="F187">
        <v>0.70699999999999996</v>
      </c>
      <c r="G187">
        <v>0.28199999999999997</v>
      </c>
      <c r="H187">
        <v>0.1605</v>
      </c>
      <c r="I187">
        <v>0.22500000000000001</v>
      </c>
      <c r="J187">
        <v>9</v>
      </c>
      <c r="K187">
        <v>3</v>
      </c>
      <c r="L187" t="s">
        <v>43</v>
      </c>
      <c r="M187" t="s">
        <v>44</v>
      </c>
      <c r="N187" t="s">
        <v>45</v>
      </c>
      <c r="O187">
        <v>7</v>
      </c>
      <c r="P187" t="s">
        <v>42</v>
      </c>
      <c r="Q187">
        <v>2.5</v>
      </c>
      <c r="R187" t="str" cm="1">
        <f t="array" ref="R1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87" t="e">
        <f>IF(Table13[[#This Row],[Category All]]="Category 1", "Yes",NA())</f>
        <v>#N/A</v>
      </c>
      <c r="T187" t="str">
        <f>IF(Table13[[#This Row],[Category All]]="Category 2", "Yes",NA())</f>
        <v>Yes</v>
      </c>
      <c r="U187" t="e">
        <f>IF(Table13[[#This Row],[Category All]]="Category 3", "Yes",NA())</f>
        <v>#N/A</v>
      </c>
      <c r="V187">
        <f>SUM(1,(1/3)*(Table13[[#This Row],[Length]]-0.5),(1/3)*(Table13[[#This Row],[Diameter]]-0.4),(1/3)*(Table13[[#This Row],[Height]]-0.4)*Table13[[#This Row],[Whole_weight]]*0.5)</f>
        <v>0.97946416666666669</v>
      </c>
      <c r="W187" cm="1">
        <f t="array" ref="W1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0.7835713333333334</v>
      </c>
      <c r="X187" t="e">
        <f>IF(Table13[[#This Row],[Category All]]="Category 1",Table13[[#This Row],[Base Abalone Value]]*1.5,NA())</f>
        <v>#N/A</v>
      </c>
      <c r="Y187">
        <f>IF(Table13[[#This Row],[Category All]]="Category 2",Table13[[#This Row],[Base Abalone Value]]*0.8,NA())</f>
        <v>0.7835713333333334</v>
      </c>
      <c r="Z187" t="e">
        <f>IF(Table13[[#This Row],[Category All]]="Category 3",Table13[[#This Row],[Base Abalone Value]],NA())</f>
        <v>#N/A</v>
      </c>
      <c r="AA187" s="2">
        <f>IF(Table13[[#This Row],[Gender]]="M",Table13[[#This Row],[Whole_weight]],NA())</f>
        <v>0.70699999999999996</v>
      </c>
      <c r="AB187" s="2" t="e">
        <f>IF(Table13[[#This Row],[Gender]]="F",Table13[[#This Row],[Whole_weight]],NA())</f>
        <v>#N/A</v>
      </c>
      <c r="AC187" s="2" t="e">
        <f>IF(Table13[[#This Row],[Gender]]="I",Table13[[#This Row],[Whole_weight]],NA())</f>
        <v>#N/A</v>
      </c>
      <c r="AD187" s="2">
        <f>IF(Table13[[#This Row],[Gender]]="M",Table13[[#This Row],[Diameter]],NA())</f>
        <v>0.4</v>
      </c>
      <c r="AE187" s="2" t="e">
        <f>IF(Table13[[#This Row],[Gender]]="F",Table13[[#This Row],[Diameter]],NA())</f>
        <v>#N/A</v>
      </c>
      <c r="AF187" s="2" t="e">
        <f>IF(Table13[[#This Row],[Gender]]="I",Table13[[#This Row],[Diameter]],NA())</f>
        <v>#N/A</v>
      </c>
    </row>
    <row r="188" spans="1:32" x14ac:dyDescent="0.2">
      <c r="A188">
        <v>3682</v>
      </c>
      <c r="B188" t="s">
        <v>15</v>
      </c>
      <c r="C188">
        <v>0.61499999999999999</v>
      </c>
      <c r="D188">
        <v>0.47</v>
      </c>
      <c r="E188">
        <v>0.17499999999999999</v>
      </c>
      <c r="F188">
        <v>1.242</v>
      </c>
      <c r="G188">
        <v>0.5675</v>
      </c>
      <c r="H188">
        <v>0.28699999999999998</v>
      </c>
      <c r="I188">
        <v>0.317</v>
      </c>
      <c r="J188">
        <v>11</v>
      </c>
      <c r="K188">
        <v>12</v>
      </c>
      <c r="L188" t="s">
        <v>1</v>
      </c>
      <c r="M188" t="s">
        <v>2</v>
      </c>
      <c r="N188" t="s">
        <v>3</v>
      </c>
      <c r="O188">
        <v>2</v>
      </c>
      <c r="P188" t="s">
        <v>7</v>
      </c>
      <c r="Q188">
        <v>18</v>
      </c>
      <c r="R188" t="str" cm="1">
        <f t="array" ref="R1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88" t="e">
        <f>IF(Table13[[#This Row],[Category All]]="Category 1", "Yes",NA())</f>
        <v>#N/A</v>
      </c>
      <c r="T188" t="e">
        <f>IF(Table13[[#This Row],[Category All]]="Category 2", "Yes",NA())</f>
        <v>#N/A</v>
      </c>
      <c r="U188" t="str">
        <f>IF(Table13[[#This Row],[Category All]]="Category 3", "Yes",NA())</f>
        <v>Yes</v>
      </c>
      <c r="V188">
        <f>SUM(1,(1/3)*(Table13[[#This Row],[Length]]-0.5),(1/3)*(Table13[[#This Row],[Diameter]]-0.4),(1/3)*(Table13[[#This Row],[Height]]-0.4)*Table13[[#This Row],[Whole_weight]]*0.5)</f>
        <v>1.0150916666666665</v>
      </c>
      <c r="W188" cm="1">
        <f t="array" ref="W1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1.0150916666666665</v>
      </c>
      <c r="X188" t="e">
        <f>IF(Table13[[#This Row],[Category All]]="Category 1",Table13[[#This Row],[Base Abalone Value]]*1.5,NA())</f>
        <v>#N/A</v>
      </c>
      <c r="Y188" t="e">
        <f>IF(Table13[[#This Row],[Category All]]="Category 2",Table13[[#This Row],[Base Abalone Value]]*0.8,NA())</f>
        <v>#N/A</v>
      </c>
      <c r="Z188">
        <f>IF(Table13[[#This Row],[Category All]]="Category 3",Table13[[#This Row],[Base Abalone Value]],NA())</f>
        <v>1.0150916666666665</v>
      </c>
      <c r="AA188" s="2">
        <f>IF(Table13[[#This Row],[Gender]]="M",Table13[[#This Row],[Whole_weight]],NA())</f>
        <v>1.242</v>
      </c>
      <c r="AB188" s="2" t="e">
        <f>IF(Table13[[#This Row],[Gender]]="F",Table13[[#This Row],[Whole_weight]],NA())</f>
        <v>#N/A</v>
      </c>
      <c r="AC188" s="2" t="e">
        <f>IF(Table13[[#This Row],[Gender]]="I",Table13[[#This Row],[Whole_weight]],NA())</f>
        <v>#N/A</v>
      </c>
      <c r="AD188" s="2">
        <f>IF(Table13[[#This Row],[Gender]]="M",Table13[[#This Row],[Diameter]],NA())</f>
        <v>0.47</v>
      </c>
      <c r="AE188" s="2" t="e">
        <f>IF(Table13[[#This Row],[Gender]]="F",Table13[[#This Row],[Diameter]],NA())</f>
        <v>#N/A</v>
      </c>
      <c r="AF188" s="2" t="e">
        <f>IF(Table13[[#This Row],[Gender]]="I",Table13[[#This Row],[Diameter]],NA())</f>
        <v>#N/A</v>
      </c>
    </row>
    <row r="189" spans="1:32" x14ac:dyDescent="0.2">
      <c r="A189">
        <v>3678</v>
      </c>
      <c r="B189" t="s">
        <v>15</v>
      </c>
      <c r="C189">
        <v>0.60499999999999998</v>
      </c>
      <c r="D189">
        <v>0.49</v>
      </c>
      <c r="E189">
        <v>0.16500000000000001</v>
      </c>
      <c r="F189">
        <v>1.1245000000000001</v>
      </c>
      <c r="G189">
        <v>0.49199999999999999</v>
      </c>
      <c r="H189">
        <v>0.222</v>
      </c>
      <c r="I189">
        <v>0.35549999999999998</v>
      </c>
      <c r="J189">
        <v>11</v>
      </c>
      <c r="K189">
        <v>1</v>
      </c>
      <c r="L189" t="s">
        <v>8</v>
      </c>
      <c r="M189" t="s">
        <v>9</v>
      </c>
      <c r="N189" t="s">
        <v>3</v>
      </c>
      <c r="O189">
        <v>5</v>
      </c>
      <c r="P189" t="s">
        <v>14</v>
      </c>
      <c r="Q189">
        <v>12.8</v>
      </c>
      <c r="R189" t="str" cm="1">
        <f t="array" ref="R1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89" t="e">
        <f>IF(Table13[[#This Row],[Category All]]="Category 1", "Yes",NA())</f>
        <v>#N/A</v>
      </c>
      <c r="T189" t="e">
        <f>IF(Table13[[#This Row],[Category All]]="Category 2", "Yes",NA())</f>
        <v>#N/A</v>
      </c>
      <c r="U189" t="str">
        <f>IF(Table13[[#This Row],[Category All]]="Category 3", "Yes",NA())</f>
        <v>Yes</v>
      </c>
      <c r="V189">
        <f>SUM(1,(1/3)*(Table13[[#This Row],[Length]]-0.5),(1/3)*(Table13[[#This Row],[Diameter]]-0.4),(1/3)*(Table13[[#This Row],[Height]]-0.4)*Table13[[#This Row],[Whole_weight]]*0.5)</f>
        <v>1.0209570833333332</v>
      </c>
      <c r="W189" cm="1">
        <f t="array" ref="W1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1.0209570833333332</v>
      </c>
      <c r="X189" t="e">
        <f>IF(Table13[[#This Row],[Category All]]="Category 1",Table13[[#This Row],[Base Abalone Value]]*1.5,NA())</f>
        <v>#N/A</v>
      </c>
      <c r="Y189" t="e">
        <f>IF(Table13[[#This Row],[Category All]]="Category 2",Table13[[#This Row],[Base Abalone Value]]*0.8,NA())</f>
        <v>#N/A</v>
      </c>
      <c r="Z189">
        <f>IF(Table13[[#This Row],[Category All]]="Category 3",Table13[[#This Row],[Base Abalone Value]],NA())</f>
        <v>1.0209570833333332</v>
      </c>
      <c r="AA189" s="2">
        <f>IF(Table13[[#This Row],[Gender]]="M",Table13[[#This Row],[Whole_weight]],NA())</f>
        <v>1.1245000000000001</v>
      </c>
      <c r="AB189" s="2" t="e">
        <f>IF(Table13[[#This Row],[Gender]]="F",Table13[[#This Row],[Whole_weight]],NA())</f>
        <v>#N/A</v>
      </c>
      <c r="AC189" s="2" t="e">
        <f>IF(Table13[[#This Row],[Gender]]="I",Table13[[#This Row],[Whole_weight]],NA())</f>
        <v>#N/A</v>
      </c>
      <c r="AD189" s="2">
        <f>IF(Table13[[#This Row],[Gender]]="M",Table13[[#This Row],[Diameter]],NA())</f>
        <v>0.49</v>
      </c>
      <c r="AE189" s="2" t="e">
        <f>IF(Table13[[#This Row],[Gender]]="F",Table13[[#This Row],[Diameter]],NA())</f>
        <v>#N/A</v>
      </c>
      <c r="AF189" s="2" t="e">
        <f>IF(Table13[[#This Row],[Gender]]="I",Table13[[#This Row],[Diameter]],NA())</f>
        <v>#N/A</v>
      </c>
    </row>
    <row r="190" spans="1:32" x14ac:dyDescent="0.2">
      <c r="A190">
        <v>2115</v>
      </c>
      <c r="B190" t="s">
        <v>11</v>
      </c>
      <c r="C190">
        <v>0.13</v>
      </c>
      <c r="D190">
        <v>9.5000000000000001E-2</v>
      </c>
      <c r="E190">
        <v>3.5000000000000003E-2</v>
      </c>
      <c r="F190">
        <v>1.0500000000000001E-2</v>
      </c>
      <c r="G190">
        <v>5.0000000000000001E-3</v>
      </c>
      <c r="H190">
        <v>6.4999999999999997E-3</v>
      </c>
      <c r="I190">
        <v>3.5000000000000001E-3</v>
      </c>
      <c r="J190">
        <v>4</v>
      </c>
      <c r="K190">
        <v>6</v>
      </c>
      <c r="L190" t="s">
        <v>39</v>
      </c>
      <c r="M190" t="s">
        <v>40</v>
      </c>
      <c r="N190" t="s">
        <v>41</v>
      </c>
      <c r="O190">
        <v>6</v>
      </c>
      <c r="P190" t="s">
        <v>47</v>
      </c>
      <c r="Q190">
        <v>14.1</v>
      </c>
      <c r="R190" t="str" cm="1">
        <f t="array" ref="R1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90" t="e">
        <f>IF(Table13[[#This Row],[Category All]]="Category 1", "Yes",NA())</f>
        <v>#N/A</v>
      </c>
      <c r="T190" t="str">
        <f>IF(Table13[[#This Row],[Category All]]="Category 2", "Yes",NA())</f>
        <v>Yes</v>
      </c>
      <c r="U190" t="e">
        <f>IF(Table13[[#This Row],[Category All]]="Category 3", "Yes",NA())</f>
        <v>#N/A</v>
      </c>
      <c r="V190">
        <f>SUM(1,(1/3)*(Table13[[#This Row],[Length]]-0.5),(1/3)*(Table13[[#This Row],[Diameter]]-0.4),(1/3)*(Table13[[#This Row],[Height]]-0.4)*Table13[[#This Row],[Whole_weight]]*0.5)</f>
        <v>0.77436125</v>
      </c>
      <c r="W190" cm="1">
        <f t="array" ref="W1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0.61948900000000007</v>
      </c>
      <c r="X190" t="e">
        <f>IF(Table13[[#This Row],[Category All]]="Category 1",Table13[[#This Row],[Base Abalone Value]]*1.5,NA())</f>
        <v>#N/A</v>
      </c>
      <c r="Y190">
        <f>IF(Table13[[#This Row],[Category All]]="Category 2",Table13[[#This Row],[Base Abalone Value]]*0.8,NA())</f>
        <v>0.61948900000000007</v>
      </c>
      <c r="Z190" t="e">
        <f>IF(Table13[[#This Row],[Category All]]="Category 3",Table13[[#This Row],[Base Abalone Value]],NA())</f>
        <v>#N/A</v>
      </c>
      <c r="AA190" s="2" t="e">
        <f>IF(Table13[[#This Row],[Gender]]="M",Table13[[#This Row],[Whole_weight]],NA())</f>
        <v>#N/A</v>
      </c>
      <c r="AB190" s="2" t="e">
        <f>IF(Table13[[#This Row],[Gender]]="F",Table13[[#This Row],[Whole_weight]],NA())</f>
        <v>#N/A</v>
      </c>
      <c r="AC190" s="2">
        <f>IF(Table13[[#This Row],[Gender]]="I",Table13[[#This Row],[Whole_weight]],NA())</f>
        <v>1.0500000000000001E-2</v>
      </c>
      <c r="AD190" s="2" t="e">
        <f>IF(Table13[[#This Row],[Gender]]="M",Table13[[#This Row],[Diameter]],NA())</f>
        <v>#N/A</v>
      </c>
      <c r="AE190" s="2" t="e">
        <f>IF(Table13[[#This Row],[Gender]]="F",Table13[[#This Row],[Diameter]],NA())</f>
        <v>#N/A</v>
      </c>
      <c r="AF190" s="2">
        <f>IF(Table13[[#This Row],[Gender]]="I",Table13[[#This Row],[Diameter]],NA())</f>
        <v>9.5000000000000001E-2</v>
      </c>
    </row>
    <row r="191" spans="1:32" x14ac:dyDescent="0.2">
      <c r="A191">
        <v>3859</v>
      </c>
      <c r="B191" t="s">
        <v>0</v>
      </c>
      <c r="C191">
        <v>0.56499999999999995</v>
      </c>
      <c r="D191">
        <v>0.45</v>
      </c>
      <c r="E191">
        <v>0.16500000000000001</v>
      </c>
      <c r="F191">
        <v>0.97650000000000003</v>
      </c>
      <c r="G191">
        <v>0.32200000000000001</v>
      </c>
      <c r="H191">
        <v>0.24399999999999999</v>
      </c>
      <c r="I191">
        <v>0.37</v>
      </c>
      <c r="J191">
        <v>12</v>
      </c>
      <c r="K191">
        <v>1</v>
      </c>
      <c r="L191" t="s">
        <v>8</v>
      </c>
      <c r="M191" t="s">
        <v>9</v>
      </c>
      <c r="N191" t="s">
        <v>3</v>
      </c>
      <c r="O191">
        <v>10</v>
      </c>
      <c r="P191" t="s">
        <v>38</v>
      </c>
      <c r="Q191">
        <v>24.1</v>
      </c>
      <c r="R191" t="str" cm="1">
        <f t="array" ref="R1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91" t="e">
        <f>IF(Table13[[#This Row],[Category All]]="Category 1", "Yes",NA())</f>
        <v>#N/A</v>
      </c>
      <c r="T191" t="str">
        <f>IF(Table13[[#This Row],[Category All]]="Category 2", "Yes",NA())</f>
        <v>Yes</v>
      </c>
      <c r="U191" t="e">
        <f>IF(Table13[[#This Row],[Category All]]="Category 3", "Yes",NA())</f>
        <v>#N/A</v>
      </c>
      <c r="V191">
        <f>SUM(1,(1/3)*(Table13[[#This Row],[Length]]-0.5),(1/3)*(Table13[[#This Row],[Diameter]]-0.4),(1/3)*(Table13[[#This Row],[Height]]-0.4)*Table13[[#This Row],[Whole_weight]]*0.5)</f>
        <v>1.0000870833333333</v>
      </c>
      <c r="W191" cm="1">
        <f t="array" ref="W1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0.80006966666666668</v>
      </c>
      <c r="X191" t="e">
        <f>IF(Table13[[#This Row],[Category All]]="Category 1",Table13[[#This Row],[Base Abalone Value]]*1.5,NA())</f>
        <v>#N/A</v>
      </c>
      <c r="Y191">
        <f>IF(Table13[[#This Row],[Category All]]="Category 2",Table13[[#This Row],[Base Abalone Value]]*0.8,NA())</f>
        <v>0.80006966666666668</v>
      </c>
      <c r="Z191" t="e">
        <f>IF(Table13[[#This Row],[Category All]]="Category 3",Table13[[#This Row],[Base Abalone Value]],NA())</f>
        <v>#N/A</v>
      </c>
      <c r="AA191" s="2" t="e">
        <f>IF(Table13[[#This Row],[Gender]]="M",Table13[[#This Row],[Whole_weight]],NA())</f>
        <v>#N/A</v>
      </c>
      <c r="AB191" s="2">
        <f>IF(Table13[[#This Row],[Gender]]="F",Table13[[#This Row],[Whole_weight]],NA())</f>
        <v>0.97650000000000003</v>
      </c>
      <c r="AC191" s="2" t="e">
        <f>IF(Table13[[#This Row],[Gender]]="I",Table13[[#This Row],[Whole_weight]],NA())</f>
        <v>#N/A</v>
      </c>
      <c r="AD191" s="2" t="e">
        <f>IF(Table13[[#This Row],[Gender]]="M",Table13[[#This Row],[Diameter]],NA())</f>
        <v>#N/A</v>
      </c>
      <c r="AE191" s="2">
        <f>IF(Table13[[#This Row],[Gender]]="F",Table13[[#This Row],[Diameter]],NA())</f>
        <v>0.45</v>
      </c>
      <c r="AF191" s="2" t="e">
        <f>IF(Table13[[#This Row],[Gender]]="I",Table13[[#This Row],[Diameter]],NA())</f>
        <v>#N/A</v>
      </c>
    </row>
    <row r="192" spans="1:32" x14ac:dyDescent="0.2">
      <c r="A192">
        <v>139</v>
      </c>
      <c r="B192" t="s">
        <v>0</v>
      </c>
      <c r="C192">
        <v>0.40500000000000003</v>
      </c>
      <c r="D192">
        <v>0.32500000000000001</v>
      </c>
      <c r="E192">
        <v>0.11</v>
      </c>
      <c r="F192">
        <v>0.35549999999999998</v>
      </c>
      <c r="G192">
        <v>0.151</v>
      </c>
      <c r="H192">
        <v>6.3E-2</v>
      </c>
      <c r="I192">
        <v>0.11700000000000001</v>
      </c>
      <c r="J192">
        <v>9</v>
      </c>
      <c r="K192">
        <v>5</v>
      </c>
      <c r="L192" t="s">
        <v>26</v>
      </c>
      <c r="M192" t="s">
        <v>27</v>
      </c>
      <c r="N192" t="s">
        <v>28</v>
      </c>
      <c r="O192">
        <v>6</v>
      </c>
      <c r="P192" t="s">
        <v>47</v>
      </c>
      <c r="Q192">
        <v>14.1</v>
      </c>
      <c r="R192" t="str" cm="1">
        <f t="array" ref="R1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92" t="e">
        <f>IF(Table13[[#This Row],[Category All]]="Category 1", "Yes",NA())</f>
        <v>#N/A</v>
      </c>
      <c r="T192" t="str">
        <f>IF(Table13[[#This Row],[Category All]]="Category 2", "Yes",NA())</f>
        <v>Yes</v>
      </c>
      <c r="U192" t="e">
        <f>IF(Table13[[#This Row],[Category All]]="Category 3", "Yes",NA())</f>
        <v>#N/A</v>
      </c>
      <c r="V192">
        <f>SUM(1,(1/3)*(Table13[[#This Row],[Length]]-0.5),(1/3)*(Table13[[#This Row],[Diameter]]-0.4),(1/3)*(Table13[[#This Row],[Height]]-0.4)*Table13[[#This Row],[Whole_weight]]*0.5)</f>
        <v>0.92615083333333337</v>
      </c>
      <c r="W192" cm="1">
        <f t="array" ref="W1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0.74092066666666678</v>
      </c>
      <c r="X192" t="e">
        <f>IF(Table13[[#This Row],[Category All]]="Category 1",Table13[[#This Row],[Base Abalone Value]]*1.5,NA())</f>
        <v>#N/A</v>
      </c>
      <c r="Y192">
        <f>IF(Table13[[#This Row],[Category All]]="Category 2",Table13[[#This Row],[Base Abalone Value]]*0.8,NA())</f>
        <v>0.74092066666666678</v>
      </c>
      <c r="Z192" t="e">
        <f>IF(Table13[[#This Row],[Category All]]="Category 3",Table13[[#This Row],[Base Abalone Value]],NA())</f>
        <v>#N/A</v>
      </c>
      <c r="AA192" s="2" t="e">
        <f>IF(Table13[[#This Row],[Gender]]="M",Table13[[#This Row],[Whole_weight]],NA())</f>
        <v>#N/A</v>
      </c>
      <c r="AB192" s="2">
        <f>IF(Table13[[#This Row],[Gender]]="F",Table13[[#This Row],[Whole_weight]],NA())</f>
        <v>0.35549999999999998</v>
      </c>
      <c r="AC192" s="2" t="e">
        <f>IF(Table13[[#This Row],[Gender]]="I",Table13[[#This Row],[Whole_weight]],NA())</f>
        <v>#N/A</v>
      </c>
      <c r="AD192" s="2" t="e">
        <f>IF(Table13[[#This Row],[Gender]]="M",Table13[[#This Row],[Diameter]],NA())</f>
        <v>#N/A</v>
      </c>
      <c r="AE192" s="2">
        <f>IF(Table13[[#This Row],[Gender]]="F",Table13[[#This Row],[Diameter]],NA())</f>
        <v>0.32500000000000001</v>
      </c>
      <c r="AF192" s="2" t="e">
        <f>IF(Table13[[#This Row],[Gender]]="I",Table13[[#This Row],[Diameter]],NA())</f>
        <v>#N/A</v>
      </c>
    </row>
    <row r="193" spans="1:32" x14ac:dyDescent="0.2">
      <c r="A193">
        <v>2802</v>
      </c>
      <c r="B193" t="s">
        <v>15</v>
      </c>
      <c r="C193">
        <v>0.64</v>
      </c>
      <c r="D193">
        <v>0.51500000000000001</v>
      </c>
      <c r="E193">
        <v>0.08</v>
      </c>
      <c r="F193">
        <v>1.042</v>
      </c>
      <c r="G193">
        <v>0.51500000000000001</v>
      </c>
      <c r="H193">
        <v>0.17549999999999999</v>
      </c>
      <c r="I193">
        <v>0.17499999999999999</v>
      </c>
      <c r="J193">
        <v>10</v>
      </c>
      <c r="K193">
        <v>2</v>
      </c>
      <c r="L193" t="s">
        <v>32</v>
      </c>
      <c r="M193" t="s">
        <v>33</v>
      </c>
      <c r="N193" t="s">
        <v>34</v>
      </c>
      <c r="O193">
        <v>1</v>
      </c>
      <c r="P193" t="s">
        <v>4</v>
      </c>
      <c r="Q193">
        <v>22.1</v>
      </c>
      <c r="R193" t="str" cm="1">
        <f t="array" ref="R1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93" t="e">
        <f>IF(Table13[[#This Row],[Category All]]="Category 1", "Yes",NA())</f>
        <v>#N/A</v>
      </c>
      <c r="T193" t="e">
        <f>IF(Table13[[#This Row],[Category All]]="Category 2", "Yes",NA())</f>
        <v>#N/A</v>
      </c>
      <c r="U193" t="str">
        <f>IF(Table13[[#This Row],[Category All]]="Category 3", "Yes",NA())</f>
        <v>Yes</v>
      </c>
      <c r="V193">
        <f>SUM(1,(1/3)*(Table13[[#This Row],[Length]]-0.5),(1/3)*(Table13[[#This Row],[Diameter]]-0.4),(1/3)*(Table13[[#This Row],[Height]]-0.4)*Table13[[#This Row],[Whole_weight]]*0.5)</f>
        <v>1.0294266666666667</v>
      </c>
      <c r="W193" cm="1">
        <f t="array" ref="W1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1.0294266666666667</v>
      </c>
      <c r="X193" t="e">
        <f>IF(Table13[[#This Row],[Category All]]="Category 1",Table13[[#This Row],[Base Abalone Value]]*1.5,NA())</f>
        <v>#N/A</v>
      </c>
      <c r="Y193" t="e">
        <f>IF(Table13[[#This Row],[Category All]]="Category 2",Table13[[#This Row],[Base Abalone Value]]*0.8,NA())</f>
        <v>#N/A</v>
      </c>
      <c r="Z193">
        <f>IF(Table13[[#This Row],[Category All]]="Category 3",Table13[[#This Row],[Base Abalone Value]],NA())</f>
        <v>1.0294266666666667</v>
      </c>
      <c r="AA193" s="2">
        <f>IF(Table13[[#This Row],[Gender]]="M",Table13[[#This Row],[Whole_weight]],NA())</f>
        <v>1.042</v>
      </c>
      <c r="AB193" s="2" t="e">
        <f>IF(Table13[[#This Row],[Gender]]="F",Table13[[#This Row],[Whole_weight]],NA())</f>
        <v>#N/A</v>
      </c>
      <c r="AC193" s="2" t="e">
        <f>IF(Table13[[#This Row],[Gender]]="I",Table13[[#This Row],[Whole_weight]],NA())</f>
        <v>#N/A</v>
      </c>
      <c r="AD193" s="2">
        <f>IF(Table13[[#This Row],[Gender]]="M",Table13[[#This Row],[Diameter]],NA())</f>
        <v>0.51500000000000001</v>
      </c>
      <c r="AE193" s="2" t="e">
        <f>IF(Table13[[#This Row],[Gender]]="F",Table13[[#This Row],[Diameter]],NA())</f>
        <v>#N/A</v>
      </c>
      <c r="AF193" s="2" t="e">
        <f>IF(Table13[[#This Row],[Gender]]="I",Table13[[#This Row],[Diameter]],NA())</f>
        <v>#N/A</v>
      </c>
    </row>
    <row r="194" spans="1:32" x14ac:dyDescent="0.2">
      <c r="A194">
        <v>830</v>
      </c>
      <c r="B194" t="s">
        <v>11</v>
      </c>
      <c r="C194">
        <v>0.41499999999999998</v>
      </c>
      <c r="D194">
        <v>0.32</v>
      </c>
      <c r="E194">
        <v>0.11</v>
      </c>
      <c r="F194">
        <v>0.3735</v>
      </c>
      <c r="G194">
        <v>0.17499999999999999</v>
      </c>
      <c r="H194">
        <v>7.5499999999999998E-2</v>
      </c>
      <c r="I194">
        <v>0.109</v>
      </c>
      <c r="J194">
        <v>7</v>
      </c>
      <c r="K194">
        <v>13</v>
      </c>
      <c r="L194" t="s">
        <v>12</v>
      </c>
      <c r="M194" t="s">
        <v>13</v>
      </c>
      <c r="N194" t="s">
        <v>3</v>
      </c>
      <c r="O194">
        <v>2</v>
      </c>
      <c r="P194" t="s">
        <v>7</v>
      </c>
      <c r="Q194">
        <v>18</v>
      </c>
      <c r="R194" t="str" cm="1">
        <f t="array" ref="R1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94" t="e">
        <f>IF(Table13[[#This Row],[Category All]]="Category 1", "Yes",NA())</f>
        <v>#N/A</v>
      </c>
      <c r="T194" t="str">
        <f>IF(Table13[[#This Row],[Category All]]="Category 2", "Yes",NA())</f>
        <v>Yes</v>
      </c>
      <c r="U194" t="e">
        <f>IF(Table13[[#This Row],[Category All]]="Category 3", "Yes",NA())</f>
        <v>#N/A</v>
      </c>
      <c r="V194">
        <f>SUM(1,(1/3)*(Table13[[#This Row],[Length]]-0.5),(1/3)*(Table13[[#This Row],[Diameter]]-0.4),(1/3)*(Table13[[#This Row],[Height]]-0.4)*Table13[[#This Row],[Whole_weight]]*0.5)</f>
        <v>0.92694750000000004</v>
      </c>
      <c r="W194" cm="1">
        <f t="array" ref="W1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0.74155800000000005</v>
      </c>
      <c r="X194" t="e">
        <f>IF(Table13[[#This Row],[Category All]]="Category 1",Table13[[#This Row],[Base Abalone Value]]*1.5,NA())</f>
        <v>#N/A</v>
      </c>
      <c r="Y194">
        <f>IF(Table13[[#This Row],[Category All]]="Category 2",Table13[[#This Row],[Base Abalone Value]]*0.8,NA())</f>
        <v>0.74155800000000005</v>
      </c>
      <c r="Z194" t="e">
        <f>IF(Table13[[#This Row],[Category All]]="Category 3",Table13[[#This Row],[Base Abalone Value]],NA())</f>
        <v>#N/A</v>
      </c>
      <c r="AA194" s="2" t="e">
        <f>IF(Table13[[#This Row],[Gender]]="M",Table13[[#This Row],[Whole_weight]],NA())</f>
        <v>#N/A</v>
      </c>
      <c r="AB194" s="2" t="e">
        <f>IF(Table13[[#This Row],[Gender]]="F",Table13[[#This Row],[Whole_weight]],NA())</f>
        <v>#N/A</v>
      </c>
      <c r="AC194" s="2">
        <f>IF(Table13[[#This Row],[Gender]]="I",Table13[[#This Row],[Whole_weight]],NA())</f>
        <v>0.3735</v>
      </c>
      <c r="AD194" s="2" t="e">
        <f>IF(Table13[[#This Row],[Gender]]="M",Table13[[#This Row],[Diameter]],NA())</f>
        <v>#N/A</v>
      </c>
      <c r="AE194" s="2" t="e">
        <f>IF(Table13[[#This Row],[Gender]]="F",Table13[[#This Row],[Diameter]],NA())</f>
        <v>#N/A</v>
      </c>
      <c r="AF194" s="2">
        <f>IF(Table13[[#This Row],[Gender]]="I",Table13[[#This Row],[Diameter]],NA())</f>
        <v>0.32</v>
      </c>
    </row>
    <row r="195" spans="1:32" x14ac:dyDescent="0.2">
      <c r="A195">
        <v>3853</v>
      </c>
      <c r="B195" t="s">
        <v>15</v>
      </c>
      <c r="C195">
        <v>0.55000000000000004</v>
      </c>
      <c r="D195">
        <v>0.41</v>
      </c>
      <c r="E195">
        <v>0.15</v>
      </c>
      <c r="F195">
        <v>0.78500000000000003</v>
      </c>
      <c r="G195">
        <v>0.28199999999999997</v>
      </c>
      <c r="H195">
        <v>0.186</v>
      </c>
      <c r="I195">
        <v>0.27500000000000002</v>
      </c>
      <c r="J195">
        <v>12</v>
      </c>
      <c r="K195">
        <v>7</v>
      </c>
      <c r="L195" t="s">
        <v>35</v>
      </c>
      <c r="M195" t="s">
        <v>36</v>
      </c>
      <c r="N195" t="s">
        <v>37</v>
      </c>
      <c r="O195">
        <v>2</v>
      </c>
      <c r="P195" t="s">
        <v>7</v>
      </c>
      <c r="Q195">
        <v>18</v>
      </c>
      <c r="R195" t="str" cm="1">
        <f t="array" ref="R1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95" t="e">
        <f>IF(Table13[[#This Row],[Category All]]="Category 1", "Yes",NA())</f>
        <v>#N/A</v>
      </c>
      <c r="T195" t="str">
        <f>IF(Table13[[#This Row],[Category All]]="Category 2", "Yes",NA())</f>
        <v>Yes</v>
      </c>
      <c r="U195" t="e">
        <f>IF(Table13[[#This Row],[Category All]]="Category 3", "Yes",NA())</f>
        <v>#N/A</v>
      </c>
      <c r="V195">
        <f>SUM(1,(1/3)*(Table13[[#This Row],[Length]]-0.5),(1/3)*(Table13[[#This Row],[Diameter]]-0.4),(1/3)*(Table13[[#This Row],[Height]]-0.4)*Table13[[#This Row],[Whole_weight]]*0.5)</f>
        <v>0.98729166666666668</v>
      </c>
      <c r="W195" cm="1">
        <f t="array" ref="W1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0.78983333333333339</v>
      </c>
      <c r="X195" t="e">
        <f>IF(Table13[[#This Row],[Category All]]="Category 1",Table13[[#This Row],[Base Abalone Value]]*1.5,NA())</f>
        <v>#N/A</v>
      </c>
      <c r="Y195">
        <f>IF(Table13[[#This Row],[Category All]]="Category 2",Table13[[#This Row],[Base Abalone Value]]*0.8,NA())</f>
        <v>0.78983333333333339</v>
      </c>
      <c r="Z195" t="e">
        <f>IF(Table13[[#This Row],[Category All]]="Category 3",Table13[[#This Row],[Base Abalone Value]],NA())</f>
        <v>#N/A</v>
      </c>
      <c r="AA195" s="2">
        <f>IF(Table13[[#This Row],[Gender]]="M",Table13[[#This Row],[Whole_weight]],NA())</f>
        <v>0.78500000000000003</v>
      </c>
      <c r="AB195" s="2" t="e">
        <f>IF(Table13[[#This Row],[Gender]]="F",Table13[[#This Row],[Whole_weight]],NA())</f>
        <v>#N/A</v>
      </c>
      <c r="AC195" s="2" t="e">
        <f>IF(Table13[[#This Row],[Gender]]="I",Table13[[#This Row],[Whole_weight]],NA())</f>
        <v>#N/A</v>
      </c>
      <c r="AD195" s="2">
        <f>IF(Table13[[#This Row],[Gender]]="M",Table13[[#This Row],[Diameter]],NA())</f>
        <v>0.41</v>
      </c>
      <c r="AE195" s="2" t="e">
        <f>IF(Table13[[#This Row],[Gender]]="F",Table13[[#This Row],[Diameter]],NA())</f>
        <v>#N/A</v>
      </c>
      <c r="AF195" s="2" t="e">
        <f>IF(Table13[[#This Row],[Gender]]="I",Table13[[#This Row],[Diameter]],NA())</f>
        <v>#N/A</v>
      </c>
    </row>
    <row r="196" spans="1:32" x14ac:dyDescent="0.2">
      <c r="A196">
        <v>3888</v>
      </c>
      <c r="B196" t="s">
        <v>0</v>
      </c>
      <c r="C196">
        <v>0.56000000000000005</v>
      </c>
      <c r="D196">
        <v>0.44</v>
      </c>
      <c r="E196">
        <v>0.155</v>
      </c>
      <c r="F196">
        <v>0.97050000000000003</v>
      </c>
      <c r="G196">
        <v>0.43149999999999999</v>
      </c>
      <c r="H196">
        <v>0.26300000000000001</v>
      </c>
      <c r="I196">
        <v>0.255</v>
      </c>
      <c r="J196">
        <v>9</v>
      </c>
      <c r="K196">
        <v>6</v>
      </c>
      <c r="L196" t="s">
        <v>39</v>
      </c>
      <c r="M196" t="s">
        <v>40</v>
      </c>
      <c r="N196" t="s">
        <v>41</v>
      </c>
      <c r="O196">
        <v>1</v>
      </c>
      <c r="P196" t="s">
        <v>4</v>
      </c>
      <c r="Q196">
        <v>22.1</v>
      </c>
      <c r="R196" t="str" cm="1">
        <f t="array" ref="R1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96" t="e">
        <f>IF(Table13[[#This Row],[Category All]]="Category 1", "Yes",NA())</f>
        <v>#N/A</v>
      </c>
      <c r="T196" t="e">
        <f>IF(Table13[[#This Row],[Category All]]="Category 2", "Yes",NA())</f>
        <v>#N/A</v>
      </c>
      <c r="U196" t="str">
        <f>IF(Table13[[#This Row],[Category All]]="Category 3", "Yes",NA())</f>
        <v>Yes</v>
      </c>
      <c r="V196">
        <f>SUM(1,(1/3)*(Table13[[#This Row],[Length]]-0.5),(1/3)*(Table13[[#This Row],[Diameter]]-0.4),(1/3)*(Table13[[#This Row],[Height]]-0.4)*Table13[[#This Row],[Whole_weight]]*0.5)</f>
        <v>0.99370458333333345</v>
      </c>
      <c r="W196" cm="1">
        <f t="array" ref="W1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0.99370458333333345</v>
      </c>
      <c r="X196" t="e">
        <f>IF(Table13[[#This Row],[Category All]]="Category 1",Table13[[#This Row],[Base Abalone Value]]*1.5,NA())</f>
        <v>#N/A</v>
      </c>
      <c r="Y196" t="e">
        <f>IF(Table13[[#This Row],[Category All]]="Category 2",Table13[[#This Row],[Base Abalone Value]]*0.8,NA())</f>
        <v>#N/A</v>
      </c>
      <c r="Z196">
        <f>IF(Table13[[#This Row],[Category All]]="Category 3",Table13[[#This Row],[Base Abalone Value]],NA())</f>
        <v>0.99370458333333345</v>
      </c>
      <c r="AA196" s="2" t="e">
        <f>IF(Table13[[#This Row],[Gender]]="M",Table13[[#This Row],[Whole_weight]],NA())</f>
        <v>#N/A</v>
      </c>
      <c r="AB196" s="2">
        <f>IF(Table13[[#This Row],[Gender]]="F",Table13[[#This Row],[Whole_weight]],NA())</f>
        <v>0.97050000000000003</v>
      </c>
      <c r="AC196" s="2" t="e">
        <f>IF(Table13[[#This Row],[Gender]]="I",Table13[[#This Row],[Whole_weight]],NA())</f>
        <v>#N/A</v>
      </c>
      <c r="AD196" s="2" t="e">
        <f>IF(Table13[[#This Row],[Gender]]="M",Table13[[#This Row],[Diameter]],NA())</f>
        <v>#N/A</v>
      </c>
      <c r="AE196" s="2">
        <f>IF(Table13[[#This Row],[Gender]]="F",Table13[[#This Row],[Diameter]],NA())</f>
        <v>0.44</v>
      </c>
      <c r="AF196" s="2" t="e">
        <f>IF(Table13[[#This Row],[Gender]]="I",Table13[[#This Row],[Diameter]],NA())</f>
        <v>#N/A</v>
      </c>
    </row>
    <row r="197" spans="1:32" x14ac:dyDescent="0.2">
      <c r="A197">
        <v>727</v>
      </c>
      <c r="B197" t="s">
        <v>15</v>
      </c>
      <c r="C197">
        <v>0.4</v>
      </c>
      <c r="D197">
        <v>0.30499999999999999</v>
      </c>
      <c r="E197">
        <v>8.5000000000000006E-2</v>
      </c>
      <c r="F197">
        <v>0.29699999999999999</v>
      </c>
      <c r="G197">
        <v>0.108</v>
      </c>
      <c r="H197">
        <v>7.0499999999999993E-2</v>
      </c>
      <c r="I197">
        <v>0.1</v>
      </c>
      <c r="J197">
        <v>10</v>
      </c>
      <c r="K197">
        <v>4</v>
      </c>
      <c r="L197" t="s">
        <v>52</v>
      </c>
      <c r="M197" t="s">
        <v>53</v>
      </c>
      <c r="N197" t="s">
        <v>54</v>
      </c>
      <c r="O197">
        <v>2</v>
      </c>
      <c r="P197" t="s">
        <v>7</v>
      </c>
      <c r="Q197">
        <v>18</v>
      </c>
      <c r="R197" t="str" cm="1">
        <f t="array" ref="R1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97" t="e">
        <f>IF(Table13[[#This Row],[Category All]]="Category 1", "Yes",NA())</f>
        <v>#N/A</v>
      </c>
      <c r="T197" t="str">
        <f>IF(Table13[[#This Row],[Category All]]="Category 2", "Yes",NA())</f>
        <v>Yes</v>
      </c>
      <c r="U197" t="e">
        <f>IF(Table13[[#This Row],[Category All]]="Category 3", "Yes",NA())</f>
        <v>#N/A</v>
      </c>
      <c r="V197">
        <f>SUM(1,(1/3)*(Table13[[#This Row],[Length]]-0.5),(1/3)*(Table13[[#This Row],[Diameter]]-0.4),(1/3)*(Table13[[#This Row],[Height]]-0.4)*Table13[[#This Row],[Whole_weight]]*0.5)</f>
        <v>0.91940750000000004</v>
      </c>
      <c r="W197" cm="1">
        <f t="array" ref="W1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0.73552600000000012</v>
      </c>
      <c r="X197" t="e">
        <f>IF(Table13[[#This Row],[Category All]]="Category 1",Table13[[#This Row],[Base Abalone Value]]*1.5,NA())</f>
        <v>#N/A</v>
      </c>
      <c r="Y197">
        <f>IF(Table13[[#This Row],[Category All]]="Category 2",Table13[[#This Row],[Base Abalone Value]]*0.8,NA())</f>
        <v>0.73552600000000012</v>
      </c>
      <c r="Z197" t="e">
        <f>IF(Table13[[#This Row],[Category All]]="Category 3",Table13[[#This Row],[Base Abalone Value]],NA())</f>
        <v>#N/A</v>
      </c>
      <c r="AA197" s="2">
        <f>IF(Table13[[#This Row],[Gender]]="M",Table13[[#This Row],[Whole_weight]],NA())</f>
        <v>0.29699999999999999</v>
      </c>
      <c r="AB197" s="2" t="e">
        <f>IF(Table13[[#This Row],[Gender]]="F",Table13[[#This Row],[Whole_weight]],NA())</f>
        <v>#N/A</v>
      </c>
      <c r="AC197" s="2" t="e">
        <f>IF(Table13[[#This Row],[Gender]]="I",Table13[[#This Row],[Whole_weight]],NA())</f>
        <v>#N/A</v>
      </c>
      <c r="AD197" s="2">
        <f>IF(Table13[[#This Row],[Gender]]="M",Table13[[#This Row],[Diameter]],NA())</f>
        <v>0.30499999999999999</v>
      </c>
      <c r="AE197" s="2" t="e">
        <f>IF(Table13[[#This Row],[Gender]]="F",Table13[[#This Row],[Diameter]],NA())</f>
        <v>#N/A</v>
      </c>
      <c r="AF197" s="2" t="e">
        <f>IF(Table13[[#This Row],[Gender]]="I",Table13[[#This Row],[Diameter]],NA())</f>
        <v>#N/A</v>
      </c>
    </row>
    <row r="198" spans="1:32" x14ac:dyDescent="0.2">
      <c r="A198">
        <v>561</v>
      </c>
      <c r="B198" t="s">
        <v>0</v>
      </c>
      <c r="C198">
        <v>0.44</v>
      </c>
      <c r="D198">
        <v>0.34</v>
      </c>
      <c r="E198">
        <v>0.105</v>
      </c>
      <c r="F198">
        <v>0.36399999999999999</v>
      </c>
      <c r="G198">
        <v>0.14799999999999999</v>
      </c>
      <c r="H198">
        <v>8.0500000000000002E-2</v>
      </c>
      <c r="I198">
        <v>0.11749999999999999</v>
      </c>
      <c r="J198">
        <v>8</v>
      </c>
      <c r="K198">
        <v>14</v>
      </c>
      <c r="L198" t="s">
        <v>23</v>
      </c>
      <c r="M198" t="s">
        <v>24</v>
      </c>
      <c r="N198" t="s">
        <v>25</v>
      </c>
      <c r="O198">
        <v>7</v>
      </c>
      <c r="P198" t="s">
        <v>42</v>
      </c>
      <c r="Q198">
        <v>2.5</v>
      </c>
      <c r="R198" t="str" cm="1">
        <f t="array" ref="R1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98" t="e">
        <f>IF(Table13[[#This Row],[Category All]]="Category 1", "Yes",NA())</f>
        <v>#N/A</v>
      </c>
      <c r="T198" t="str">
        <f>IF(Table13[[#This Row],[Category All]]="Category 2", "Yes",NA())</f>
        <v>Yes</v>
      </c>
      <c r="U198" t="e">
        <f>IF(Table13[[#This Row],[Category All]]="Category 3", "Yes",NA())</f>
        <v>#N/A</v>
      </c>
      <c r="V198">
        <f>SUM(1,(1/3)*(Table13[[#This Row],[Length]]-0.5),(1/3)*(Table13[[#This Row],[Diameter]]-0.4),(1/3)*(Table13[[#This Row],[Height]]-0.4)*Table13[[#This Row],[Whole_weight]]*0.5)</f>
        <v>0.94210333333333329</v>
      </c>
      <c r="W198" cm="1">
        <f t="array" ref="W1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0.75368266666666672</v>
      </c>
      <c r="X198" t="e">
        <f>IF(Table13[[#This Row],[Category All]]="Category 1",Table13[[#This Row],[Base Abalone Value]]*1.5,NA())</f>
        <v>#N/A</v>
      </c>
      <c r="Y198">
        <f>IF(Table13[[#This Row],[Category All]]="Category 2",Table13[[#This Row],[Base Abalone Value]]*0.8,NA())</f>
        <v>0.75368266666666672</v>
      </c>
      <c r="Z198" t="e">
        <f>IF(Table13[[#This Row],[Category All]]="Category 3",Table13[[#This Row],[Base Abalone Value]],NA())</f>
        <v>#N/A</v>
      </c>
      <c r="AA198" s="2" t="e">
        <f>IF(Table13[[#This Row],[Gender]]="M",Table13[[#This Row],[Whole_weight]],NA())</f>
        <v>#N/A</v>
      </c>
      <c r="AB198" s="2">
        <f>IF(Table13[[#This Row],[Gender]]="F",Table13[[#This Row],[Whole_weight]],NA())</f>
        <v>0.36399999999999999</v>
      </c>
      <c r="AC198" s="2" t="e">
        <f>IF(Table13[[#This Row],[Gender]]="I",Table13[[#This Row],[Whole_weight]],NA())</f>
        <v>#N/A</v>
      </c>
      <c r="AD198" s="2" t="e">
        <f>IF(Table13[[#This Row],[Gender]]="M",Table13[[#This Row],[Diameter]],NA())</f>
        <v>#N/A</v>
      </c>
      <c r="AE198" s="2">
        <f>IF(Table13[[#This Row],[Gender]]="F",Table13[[#This Row],[Diameter]],NA())</f>
        <v>0.34</v>
      </c>
      <c r="AF198" s="2" t="e">
        <f>IF(Table13[[#This Row],[Gender]]="I",Table13[[#This Row],[Diameter]],NA())</f>
        <v>#N/A</v>
      </c>
    </row>
    <row r="199" spans="1:32" x14ac:dyDescent="0.2">
      <c r="A199">
        <v>2957</v>
      </c>
      <c r="B199" t="s">
        <v>0</v>
      </c>
      <c r="C199">
        <v>0.65</v>
      </c>
      <c r="D199">
        <v>0.56499999999999995</v>
      </c>
      <c r="E199">
        <v>0.2</v>
      </c>
      <c r="F199">
        <v>1.6645000000000001</v>
      </c>
      <c r="G199">
        <v>0.753</v>
      </c>
      <c r="H199">
        <v>0.36699999999999999</v>
      </c>
      <c r="I199">
        <v>0.43</v>
      </c>
      <c r="J199">
        <v>12</v>
      </c>
      <c r="K199">
        <v>2</v>
      </c>
      <c r="L199" t="s">
        <v>32</v>
      </c>
      <c r="M199" t="s">
        <v>33</v>
      </c>
      <c r="N199" t="s">
        <v>34</v>
      </c>
      <c r="O199">
        <v>9</v>
      </c>
      <c r="P199" t="s">
        <v>46</v>
      </c>
      <c r="Q199">
        <v>1.9</v>
      </c>
      <c r="R199" t="str" cm="1">
        <f t="array" ref="R1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99" t="e">
        <f>IF(Table13[[#This Row],[Category All]]="Category 1", "Yes",NA())</f>
        <v>#N/A</v>
      </c>
      <c r="T199" t="e">
        <f>IF(Table13[[#This Row],[Category All]]="Category 2", "Yes",NA())</f>
        <v>#N/A</v>
      </c>
      <c r="U199" t="str">
        <f>IF(Table13[[#This Row],[Category All]]="Category 3", "Yes",NA())</f>
        <v>Yes</v>
      </c>
      <c r="V199">
        <f>SUM(1,(1/3)*(Table13[[#This Row],[Length]]-0.5),(1/3)*(Table13[[#This Row],[Diameter]]-0.4),(1/3)*(Table13[[#This Row],[Height]]-0.4)*Table13[[#This Row],[Whole_weight]]*0.5)</f>
        <v>1.0495166666666667</v>
      </c>
      <c r="W199" cm="1">
        <f t="array" ref="W1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1.0495166666666667</v>
      </c>
      <c r="X199" t="e">
        <f>IF(Table13[[#This Row],[Category All]]="Category 1",Table13[[#This Row],[Base Abalone Value]]*1.5,NA())</f>
        <v>#N/A</v>
      </c>
      <c r="Y199" t="e">
        <f>IF(Table13[[#This Row],[Category All]]="Category 2",Table13[[#This Row],[Base Abalone Value]]*0.8,NA())</f>
        <v>#N/A</v>
      </c>
      <c r="Z199">
        <f>IF(Table13[[#This Row],[Category All]]="Category 3",Table13[[#This Row],[Base Abalone Value]],NA())</f>
        <v>1.0495166666666667</v>
      </c>
      <c r="AA199" s="2" t="e">
        <f>IF(Table13[[#This Row],[Gender]]="M",Table13[[#This Row],[Whole_weight]],NA())</f>
        <v>#N/A</v>
      </c>
      <c r="AB199" s="2">
        <f>IF(Table13[[#This Row],[Gender]]="F",Table13[[#This Row],[Whole_weight]],NA())</f>
        <v>1.6645000000000001</v>
      </c>
      <c r="AC199" s="2" t="e">
        <f>IF(Table13[[#This Row],[Gender]]="I",Table13[[#This Row],[Whole_weight]],NA())</f>
        <v>#N/A</v>
      </c>
      <c r="AD199" s="2" t="e">
        <f>IF(Table13[[#This Row],[Gender]]="M",Table13[[#This Row],[Diameter]],NA())</f>
        <v>#N/A</v>
      </c>
      <c r="AE199" s="2">
        <f>IF(Table13[[#This Row],[Gender]]="F",Table13[[#This Row],[Diameter]],NA())</f>
        <v>0.56499999999999995</v>
      </c>
      <c r="AF199" s="2" t="e">
        <f>IF(Table13[[#This Row],[Gender]]="I",Table13[[#This Row],[Diameter]],NA())</f>
        <v>#N/A</v>
      </c>
    </row>
    <row r="200" spans="1:32" x14ac:dyDescent="0.2">
      <c r="A200">
        <v>3276</v>
      </c>
      <c r="B200" t="s">
        <v>15</v>
      </c>
      <c r="C200">
        <v>0.46</v>
      </c>
      <c r="D200">
        <v>0.35499999999999998</v>
      </c>
      <c r="E200">
        <v>0.11</v>
      </c>
      <c r="F200">
        <v>0.41499999999999998</v>
      </c>
      <c r="G200">
        <v>0.215</v>
      </c>
      <c r="H200">
        <v>8.2000000000000003E-2</v>
      </c>
      <c r="I200">
        <v>0.13</v>
      </c>
      <c r="J200">
        <v>12</v>
      </c>
      <c r="K200">
        <v>13</v>
      </c>
      <c r="L200" t="s">
        <v>12</v>
      </c>
      <c r="M200" t="s">
        <v>13</v>
      </c>
      <c r="N200" t="s">
        <v>3</v>
      </c>
      <c r="O200">
        <v>8</v>
      </c>
      <c r="P200" t="s">
        <v>19</v>
      </c>
      <c r="Q200">
        <v>12.3</v>
      </c>
      <c r="R200" t="str" cm="1">
        <f t="array" ref="R2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00" t="e">
        <f>IF(Table13[[#This Row],[Category All]]="Category 1", "Yes",NA())</f>
        <v>#N/A</v>
      </c>
      <c r="T200" t="str">
        <f>IF(Table13[[#This Row],[Category All]]="Category 2", "Yes",NA())</f>
        <v>Yes</v>
      </c>
      <c r="U200" t="e">
        <f>IF(Table13[[#This Row],[Category All]]="Category 3", "Yes",NA())</f>
        <v>#N/A</v>
      </c>
      <c r="V200">
        <f>SUM(1,(1/3)*(Table13[[#This Row],[Length]]-0.5),(1/3)*(Table13[[#This Row],[Diameter]]-0.4),(1/3)*(Table13[[#This Row],[Height]]-0.4)*Table13[[#This Row],[Whole_weight]]*0.5)</f>
        <v>0.95160833333333339</v>
      </c>
      <c r="W200" cm="1">
        <f t="array" ref="W2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0.76128666666666678</v>
      </c>
      <c r="X200" t="e">
        <f>IF(Table13[[#This Row],[Category All]]="Category 1",Table13[[#This Row],[Base Abalone Value]]*1.5,NA())</f>
        <v>#N/A</v>
      </c>
      <c r="Y200">
        <f>IF(Table13[[#This Row],[Category All]]="Category 2",Table13[[#This Row],[Base Abalone Value]]*0.8,NA())</f>
        <v>0.76128666666666678</v>
      </c>
      <c r="Z200" t="e">
        <f>IF(Table13[[#This Row],[Category All]]="Category 3",Table13[[#This Row],[Base Abalone Value]],NA())</f>
        <v>#N/A</v>
      </c>
      <c r="AA200" s="2">
        <f>IF(Table13[[#This Row],[Gender]]="M",Table13[[#This Row],[Whole_weight]],NA())</f>
        <v>0.41499999999999998</v>
      </c>
      <c r="AB200" s="2" t="e">
        <f>IF(Table13[[#This Row],[Gender]]="F",Table13[[#This Row],[Whole_weight]],NA())</f>
        <v>#N/A</v>
      </c>
      <c r="AC200" s="2" t="e">
        <f>IF(Table13[[#This Row],[Gender]]="I",Table13[[#This Row],[Whole_weight]],NA())</f>
        <v>#N/A</v>
      </c>
      <c r="AD200" s="2">
        <f>IF(Table13[[#This Row],[Gender]]="M",Table13[[#This Row],[Diameter]],NA())</f>
        <v>0.35499999999999998</v>
      </c>
      <c r="AE200" s="2" t="e">
        <f>IF(Table13[[#This Row],[Gender]]="F",Table13[[#This Row],[Diameter]],NA())</f>
        <v>#N/A</v>
      </c>
      <c r="AF200" s="2" t="e">
        <f>IF(Table13[[#This Row],[Gender]]="I",Table13[[#This Row],[Diameter]],NA())</f>
        <v>#N/A</v>
      </c>
    </row>
    <row r="201" spans="1:32" x14ac:dyDescent="0.2">
      <c r="A201">
        <v>3659</v>
      </c>
      <c r="B201" t="s">
        <v>11</v>
      </c>
      <c r="C201">
        <v>0.53500000000000003</v>
      </c>
      <c r="D201">
        <v>0.45</v>
      </c>
      <c r="E201">
        <v>0.155</v>
      </c>
      <c r="F201">
        <v>0.8075</v>
      </c>
      <c r="G201">
        <v>0.36549999999999999</v>
      </c>
      <c r="H201">
        <v>0.14799999999999999</v>
      </c>
      <c r="I201">
        <v>0.25950000000000001</v>
      </c>
      <c r="J201">
        <v>10</v>
      </c>
      <c r="K201">
        <v>4</v>
      </c>
      <c r="L201" t="s">
        <v>52</v>
      </c>
      <c r="M201" t="s">
        <v>53</v>
      </c>
      <c r="N201" t="s">
        <v>54</v>
      </c>
      <c r="O201">
        <v>9</v>
      </c>
      <c r="P201" t="s">
        <v>46</v>
      </c>
      <c r="Q201">
        <v>1.9</v>
      </c>
      <c r="R201" t="str" cm="1">
        <f t="array" ref="R2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01" t="e">
        <f>IF(Table13[[#This Row],[Category All]]="Category 1", "Yes",NA())</f>
        <v>#N/A</v>
      </c>
      <c r="T201" t="str">
        <f>IF(Table13[[#This Row],[Category All]]="Category 2", "Yes",NA())</f>
        <v>Yes</v>
      </c>
      <c r="U201" t="e">
        <f>IF(Table13[[#This Row],[Category All]]="Category 3", "Yes",NA())</f>
        <v>#N/A</v>
      </c>
      <c r="V201">
        <f>SUM(1,(1/3)*(Table13[[#This Row],[Length]]-0.5),(1/3)*(Table13[[#This Row],[Diameter]]-0.4),(1/3)*(Table13[[#This Row],[Height]]-0.4)*Table13[[#This Row],[Whole_weight]]*0.5)</f>
        <v>0.99536041666666664</v>
      </c>
      <c r="W201" cm="1">
        <f t="array" ref="W2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0.79628833333333338</v>
      </c>
      <c r="X201" t="e">
        <f>IF(Table13[[#This Row],[Category All]]="Category 1",Table13[[#This Row],[Base Abalone Value]]*1.5,NA())</f>
        <v>#N/A</v>
      </c>
      <c r="Y201">
        <f>IF(Table13[[#This Row],[Category All]]="Category 2",Table13[[#This Row],[Base Abalone Value]]*0.8,NA())</f>
        <v>0.79628833333333338</v>
      </c>
      <c r="Z201" t="e">
        <f>IF(Table13[[#This Row],[Category All]]="Category 3",Table13[[#This Row],[Base Abalone Value]],NA())</f>
        <v>#N/A</v>
      </c>
      <c r="AA201" s="2" t="e">
        <f>IF(Table13[[#This Row],[Gender]]="M",Table13[[#This Row],[Whole_weight]],NA())</f>
        <v>#N/A</v>
      </c>
      <c r="AB201" s="2" t="e">
        <f>IF(Table13[[#This Row],[Gender]]="F",Table13[[#This Row],[Whole_weight]],NA())</f>
        <v>#N/A</v>
      </c>
      <c r="AC201" s="2">
        <f>IF(Table13[[#This Row],[Gender]]="I",Table13[[#This Row],[Whole_weight]],NA())</f>
        <v>0.8075</v>
      </c>
      <c r="AD201" s="2" t="e">
        <f>IF(Table13[[#This Row],[Gender]]="M",Table13[[#This Row],[Diameter]],NA())</f>
        <v>#N/A</v>
      </c>
      <c r="AE201" s="2" t="e">
        <f>IF(Table13[[#This Row],[Gender]]="F",Table13[[#This Row],[Diameter]],NA())</f>
        <v>#N/A</v>
      </c>
      <c r="AF201" s="2">
        <f>IF(Table13[[#This Row],[Gender]]="I",Table13[[#This Row],[Diameter]],NA())</f>
        <v>0.45</v>
      </c>
    </row>
    <row r="202" spans="1:32" x14ac:dyDescent="0.2">
      <c r="A202">
        <v>95</v>
      </c>
      <c r="B202" t="s">
        <v>15</v>
      </c>
      <c r="C202">
        <v>0.69499999999999995</v>
      </c>
      <c r="D202">
        <v>0.56000000000000005</v>
      </c>
      <c r="E202">
        <v>0.19</v>
      </c>
      <c r="F202">
        <v>1.494</v>
      </c>
      <c r="G202">
        <v>0.58799999999999997</v>
      </c>
      <c r="H202">
        <v>0.34250000000000003</v>
      </c>
      <c r="I202">
        <v>0.48499999999999999</v>
      </c>
      <c r="J202">
        <v>15</v>
      </c>
      <c r="K202">
        <v>1</v>
      </c>
      <c r="L202" t="s">
        <v>8</v>
      </c>
      <c r="M202" t="s">
        <v>9</v>
      </c>
      <c r="N202" t="s">
        <v>3</v>
      </c>
      <c r="O202">
        <v>9</v>
      </c>
      <c r="P202" t="s">
        <v>46</v>
      </c>
      <c r="Q202">
        <v>1.9</v>
      </c>
      <c r="R202" t="str" cm="1">
        <f t="array" ref="R2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02" t="e">
        <f>IF(Table13[[#This Row],[Category All]]="Category 1", "Yes",NA())</f>
        <v>#N/A</v>
      </c>
      <c r="T202" t="e">
        <f>IF(Table13[[#This Row],[Category All]]="Category 2", "Yes",NA())</f>
        <v>#N/A</v>
      </c>
      <c r="U202" t="str">
        <f>IF(Table13[[#This Row],[Category All]]="Category 3", "Yes",NA())</f>
        <v>Yes</v>
      </c>
      <c r="V202">
        <f>SUM(1,(1/3)*(Table13[[#This Row],[Length]]-0.5),(1/3)*(Table13[[#This Row],[Diameter]]-0.4),(1/3)*(Table13[[#This Row],[Height]]-0.4)*Table13[[#This Row],[Whole_weight]]*0.5)</f>
        <v>1.0660433333333332</v>
      </c>
      <c r="W202" cm="1">
        <f t="array" ref="W2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1.0660433333333332</v>
      </c>
      <c r="X202" t="e">
        <f>IF(Table13[[#This Row],[Category All]]="Category 1",Table13[[#This Row],[Base Abalone Value]]*1.5,NA())</f>
        <v>#N/A</v>
      </c>
      <c r="Y202" t="e">
        <f>IF(Table13[[#This Row],[Category All]]="Category 2",Table13[[#This Row],[Base Abalone Value]]*0.8,NA())</f>
        <v>#N/A</v>
      </c>
      <c r="Z202">
        <f>IF(Table13[[#This Row],[Category All]]="Category 3",Table13[[#This Row],[Base Abalone Value]],NA())</f>
        <v>1.0660433333333332</v>
      </c>
      <c r="AA202" s="2">
        <f>IF(Table13[[#This Row],[Gender]]="M",Table13[[#This Row],[Whole_weight]],NA())</f>
        <v>1.494</v>
      </c>
      <c r="AB202" s="2" t="e">
        <f>IF(Table13[[#This Row],[Gender]]="F",Table13[[#This Row],[Whole_weight]],NA())</f>
        <v>#N/A</v>
      </c>
      <c r="AC202" s="2" t="e">
        <f>IF(Table13[[#This Row],[Gender]]="I",Table13[[#This Row],[Whole_weight]],NA())</f>
        <v>#N/A</v>
      </c>
      <c r="AD202" s="2">
        <f>IF(Table13[[#This Row],[Gender]]="M",Table13[[#This Row],[Diameter]],NA())</f>
        <v>0.56000000000000005</v>
      </c>
      <c r="AE202" s="2" t="e">
        <f>IF(Table13[[#This Row],[Gender]]="F",Table13[[#This Row],[Diameter]],NA())</f>
        <v>#N/A</v>
      </c>
      <c r="AF202" s="2" t="e">
        <f>IF(Table13[[#This Row],[Gender]]="I",Table13[[#This Row],[Diameter]],NA())</f>
        <v>#N/A</v>
      </c>
    </row>
    <row r="203" spans="1:32" x14ac:dyDescent="0.2">
      <c r="A203">
        <v>291</v>
      </c>
      <c r="B203" t="s">
        <v>15</v>
      </c>
      <c r="C203">
        <v>0.54</v>
      </c>
      <c r="D203">
        <v>0.435</v>
      </c>
      <c r="E203">
        <v>0.18</v>
      </c>
      <c r="F203">
        <v>0.996</v>
      </c>
      <c r="G203">
        <v>0.38350000000000001</v>
      </c>
      <c r="H203">
        <v>0.22600000000000001</v>
      </c>
      <c r="I203">
        <v>0.32500000000000001</v>
      </c>
      <c r="J203">
        <v>17</v>
      </c>
      <c r="K203">
        <v>13</v>
      </c>
      <c r="L203" t="s">
        <v>12</v>
      </c>
      <c r="M203" t="s">
        <v>13</v>
      </c>
      <c r="N203" t="s">
        <v>3</v>
      </c>
      <c r="O203">
        <v>7</v>
      </c>
      <c r="P203" t="s">
        <v>42</v>
      </c>
      <c r="Q203">
        <v>2.5</v>
      </c>
      <c r="R203" t="str" cm="1">
        <f t="array" ref="R2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03" t="e">
        <f>IF(Table13[[#This Row],[Category All]]="Category 1", "Yes",NA())</f>
        <v>#N/A</v>
      </c>
      <c r="T203" t="str">
        <f>IF(Table13[[#This Row],[Category All]]="Category 2", "Yes",NA())</f>
        <v>Yes</v>
      </c>
      <c r="U203" t="e">
        <f>IF(Table13[[#This Row],[Category All]]="Category 3", "Yes",NA())</f>
        <v>#N/A</v>
      </c>
      <c r="V203">
        <f>SUM(1,(1/3)*(Table13[[#This Row],[Length]]-0.5),(1/3)*(Table13[[#This Row],[Diameter]]-0.4),(1/3)*(Table13[[#This Row],[Height]]-0.4)*Table13[[#This Row],[Whole_weight]]*0.5)</f>
        <v>0.98848000000000014</v>
      </c>
      <c r="W203" cm="1">
        <f t="array" ref="W2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0.79078400000000015</v>
      </c>
      <c r="X203" t="e">
        <f>IF(Table13[[#This Row],[Category All]]="Category 1",Table13[[#This Row],[Base Abalone Value]]*1.5,NA())</f>
        <v>#N/A</v>
      </c>
      <c r="Y203">
        <f>IF(Table13[[#This Row],[Category All]]="Category 2",Table13[[#This Row],[Base Abalone Value]]*0.8,NA())</f>
        <v>0.79078400000000015</v>
      </c>
      <c r="Z203" t="e">
        <f>IF(Table13[[#This Row],[Category All]]="Category 3",Table13[[#This Row],[Base Abalone Value]],NA())</f>
        <v>#N/A</v>
      </c>
      <c r="AA203" s="2">
        <f>IF(Table13[[#This Row],[Gender]]="M",Table13[[#This Row],[Whole_weight]],NA())</f>
        <v>0.996</v>
      </c>
      <c r="AB203" s="2" t="e">
        <f>IF(Table13[[#This Row],[Gender]]="F",Table13[[#This Row],[Whole_weight]],NA())</f>
        <v>#N/A</v>
      </c>
      <c r="AC203" s="2" t="e">
        <f>IF(Table13[[#This Row],[Gender]]="I",Table13[[#This Row],[Whole_weight]],NA())</f>
        <v>#N/A</v>
      </c>
      <c r="AD203" s="2">
        <f>IF(Table13[[#This Row],[Gender]]="M",Table13[[#This Row],[Diameter]],NA())</f>
        <v>0.435</v>
      </c>
      <c r="AE203" s="2" t="e">
        <f>IF(Table13[[#This Row],[Gender]]="F",Table13[[#This Row],[Diameter]],NA())</f>
        <v>#N/A</v>
      </c>
      <c r="AF203" s="2" t="e">
        <f>IF(Table13[[#This Row],[Gender]]="I",Table13[[#This Row],[Diameter]],NA())</f>
        <v>#N/A</v>
      </c>
    </row>
    <row r="204" spans="1:32" x14ac:dyDescent="0.2">
      <c r="A204">
        <v>895</v>
      </c>
      <c r="B204" t="s">
        <v>11</v>
      </c>
      <c r="C204">
        <v>0.24</v>
      </c>
      <c r="D204">
        <v>0.17499999999999999</v>
      </c>
      <c r="E204">
        <v>6.5000000000000002E-2</v>
      </c>
      <c r="F204">
        <v>6.6500000000000004E-2</v>
      </c>
      <c r="G204">
        <v>3.1E-2</v>
      </c>
      <c r="H204">
        <v>1.35E-2</v>
      </c>
      <c r="I204">
        <v>1.7000000000000001E-2</v>
      </c>
      <c r="J204">
        <v>3</v>
      </c>
      <c r="K204">
        <v>15</v>
      </c>
      <c r="L204" t="s">
        <v>49</v>
      </c>
      <c r="M204" t="s">
        <v>50</v>
      </c>
      <c r="N204" t="s">
        <v>3</v>
      </c>
      <c r="O204">
        <v>5</v>
      </c>
      <c r="P204" t="s">
        <v>14</v>
      </c>
      <c r="Q204">
        <v>12.8</v>
      </c>
      <c r="R204" t="str" cm="1">
        <f t="array" ref="R2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04" t="e">
        <f>IF(Table13[[#This Row],[Category All]]="Category 1", "Yes",NA())</f>
        <v>#N/A</v>
      </c>
      <c r="T204" t="str">
        <f>IF(Table13[[#This Row],[Category All]]="Category 2", "Yes",NA())</f>
        <v>Yes</v>
      </c>
      <c r="U204" t="e">
        <f>IF(Table13[[#This Row],[Category All]]="Category 3", "Yes",NA())</f>
        <v>#N/A</v>
      </c>
      <c r="V204">
        <f>SUM(1,(1/3)*(Table13[[#This Row],[Length]]-0.5),(1/3)*(Table13[[#This Row],[Diameter]]-0.4),(1/3)*(Table13[[#This Row],[Height]]-0.4)*Table13[[#This Row],[Whole_weight]]*0.5)</f>
        <v>0.83462041666666675</v>
      </c>
      <c r="W204" cm="1">
        <f t="array" ref="W2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0.66769633333333345</v>
      </c>
      <c r="X204" t="e">
        <f>IF(Table13[[#This Row],[Category All]]="Category 1",Table13[[#This Row],[Base Abalone Value]]*1.5,NA())</f>
        <v>#N/A</v>
      </c>
      <c r="Y204">
        <f>IF(Table13[[#This Row],[Category All]]="Category 2",Table13[[#This Row],[Base Abalone Value]]*0.8,NA())</f>
        <v>0.66769633333333345</v>
      </c>
      <c r="Z204" t="e">
        <f>IF(Table13[[#This Row],[Category All]]="Category 3",Table13[[#This Row],[Base Abalone Value]],NA())</f>
        <v>#N/A</v>
      </c>
      <c r="AA204" s="2" t="e">
        <f>IF(Table13[[#This Row],[Gender]]="M",Table13[[#This Row],[Whole_weight]],NA())</f>
        <v>#N/A</v>
      </c>
      <c r="AB204" s="2" t="e">
        <f>IF(Table13[[#This Row],[Gender]]="F",Table13[[#This Row],[Whole_weight]],NA())</f>
        <v>#N/A</v>
      </c>
      <c r="AC204" s="2">
        <f>IF(Table13[[#This Row],[Gender]]="I",Table13[[#This Row],[Whole_weight]],NA())</f>
        <v>6.6500000000000004E-2</v>
      </c>
      <c r="AD204" s="2" t="e">
        <f>IF(Table13[[#This Row],[Gender]]="M",Table13[[#This Row],[Diameter]],NA())</f>
        <v>#N/A</v>
      </c>
      <c r="AE204" s="2" t="e">
        <f>IF(Table13[[#This Row],[Gender]]="F",Table13[[#This Row],[Diameter]],NA())</f>
        <v>#N/A</v>
      </c>
      <c r="AF204" s="2">
        <f>IF(Table13[[#This Row],[Gender]]="I",Table13[[#This Row],[Diameter]],NA())</f>
        <v>0.17499999999999999</v>
      </c>
    </row>
    <row r="205" spans="1:32" x14ac:dyDescent="0.2">
      <c r="A205">
        <v>1076</v>
      </c>
      <c r="B205" t="s">
        <v>11</v>
      </c>
      <c r="C205">
        <v>0.41</v>
      </c>
      <c r="D205">
        <v>0.32500000000000001</v>
      </c>
      <c r="E205">
        <v>0.1</v>
      </c>
      <c r="F205">
        <v>0.32450000000000001</v>
      </c>
      <c r="G205">
        <v>0.13200000000000001</v>
      </c>
      <c r="H205">
        <v>7.1999999999999995E-2</v>
      </c>
      <c r="I205">
        <v>0.106</v>
      </c>
      <c r="J205">
        <v>6</v>
      </c>
      <c r="K205">
        <v>1</v>
      </c>
      <c r="L205" t="s">
        <v>8</v>
      </c>
      <c r="M205" t="s">
        <v>9</v>
      </c>
      <c r="N205" t="s">
        <v>3</v>
      </c>
      <c r="O205">
        <v>8</v>
      </c>
      <c r="P205" t="s">
        <v>19</v>
      </c>
      <c r="Q205">
        <v>12.3</v>
      </c>
      <c r="R205" t="str" cm="1">
        <f t="array" ref="R2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05" t="e">
        <f>IF(Table13[[#This Row],[Category All]]="Category 1", "Yes",NA())</f>
        <v>#N/A</v>
      </c>
      <c r="T205" t="str">
        <f>IF(Table13[[#This Row],[Category All]]="Category 2", "Yes",NA())</f>
        <v>Yes</v>
      </c>
      <c r="U205" t="e">
        <f>IF(Table13[[#This Row],[Category All]]="Category 3", "Yes",NA())</f>
        <v>#N/A</v>
      </c>
      <c r="V205">
        <f>SUM(1,(1/3)*(Table13[[#This Row],[Length]]-0.5),(1/3)*(Table13[[#This Row],[Diameter]]-0.4),(1/3)*(Table13[[#This Row],[Height]]-0.4)*Table13[[#This Row],[Whole_weight]]*0.5)</f>
        <v>0.92877499999999991</v>
      </c>
      <c r="W205" cm="1">
        <f t="array" ref="W2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0.74302000000000001</v>
      </c>
      <c r="X205" t="e">
        <f>IF(Table13[[#This Row],[Category All]]="Category 1",Table13[[#This Row],[Base Abalone Value]]*1.5,NA())</f>
        <v>#N/A</v>
      </c>
      <c r="Y205">
        <f>IF(Table13[[#This Row],[Category All]]="Category 2",Table13[[#This Row],[Base Abalone Value]]*0.8,NA())</f>
        <v>0.74302000000000001</v>
      </c>
      <c r="Z205" t="e">
        <f>IF(Table13[[#This Row],[Category All]]="Category 3",Table13[[#This Row],[Base Abalone Value]],NA())</f>
        <v>#N/A</v>
      </c>
      <c r="AA205" s="2" t="e">
        <f>IF(Table13[[#This Row],[Gender]]="M",Table13[[#This Row],[Whole_weight]],NA())</f>
        <v>#N/A</v>
      </c>
      <c r="AB205" s="2" t="e">
        <f>IF(Table13[[#This Row],[Gender]]="F",Table13[[#This Row],[Whole_weight]],NA())</f>
        <v>#N/A</v>
      </c>
      <c r="AC205" s="2">
        <f>IF(Table13[[#This Row],[Gender]]="I",Table13[[#This Row],[Whole_weight]],NA())</f>
        <v>0.32450000000000001</v>
      </c>
      <c r="AD205" s="2" t="e">
        <f>IF(Table13[[#This Row],[Gender]]="M",Table13[[#This Row],[Diameter]],NA())</f>
        <v>#N/A</v>
      </c>
      <c r="AE205" s="2" t="e">
        <f>IF(Table13[[#This Row],[Gender]]="F",Table13[[#This Row],[Diameter]],NA())</f>
        <v>#N/A</v>
      </c>
      <c r="AF205" s="2">
        <f>IF(Table13[[#This Row],[Gender]]="I",Table13[[#This Row],[Diameter]],NA())</f>
        <v>0.32500000000000001</v>
      </c>
    </row>
    <row r="206" spans="1:32" x14ac:dyDescent="0.2">
      <c r="A206">
        <v>93</v>
      </c>
      <c r="B206" t="s">
        <v>15</v>
      </c>
      <c r="C206">
        <v>0.59499999999999997</v>
      </c>
      <c r="D206">
        <v>0.46500000000000002</v>
      </c>
      <c r="E206">
        <v>0.17499999999999999</v>
      </c>
      <c r="F206">
        <v>1.115</v>
      </c>
      <c r="G206">
        <v>0.40150000000000002</v>
      </c>
      <c r="H206">
        <v>0.254</v>
      </c>
      <c r="I206">
        <v>0.39</v>
      </c>
      <c r="J206">
        <v>13</v>
      </c>
      <c r="K206">
        <v>14</v>
      </c>
      <c r="L206" t="s">
        <v>23</v>
      </c>
      <c r="M206" t="s">
        <v>24</v>
      </c>
      <c r="N206" t="s">
        <v>25</v>
      </c>
      <c r="O206">
        <v>5</v>
      </c>
      <c r="P206" t="s">
        <v>14</v>
      </c>
      <c r="Q206">
        <v>12.8</v>
      </c>
      <c r="R206" t="str" cm="1">
        <f t="array" ref="R2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06" t="e">
        <f>IF(Table13[[#This Row],[Category All]]="Category 1", "Yes",NA())</f>
        <v>#N/A</v>
      </c>
      <c r="T206" t="e">
        <f>IF(Table13[[#This Row],[Category All]]="Category 2", "Yes",NA())</f>
        <v>#N/A</v>
      </c>
      <c r="U206" t="str">
        <f>IF(Table13[[#This Row],[Category All]]="Category 3", "Yes",NA())</f>
        <v>Yes</v>
      </c>
      <c r="V206">
        <f>SUM(1,(1/3)*(Table13[[#This Row],[Length]]-0.5),(1/3)*(Table13[[#This Row],[Diameter]]-0.4),(1/3)*(Table13[[#This Row],[Height]]-0.4)*Table13[[#This Row],[Whole_weight]]*0.5)</f>
        <v>1.0115208333333334</v>
      </c>
      <c r="W206" cm="1">
        <f t="array" ref="W2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1.0115208333333334</v>
      </c>
      <c r="X206" t="e">
        <f>IF(Table13[[#This Row],[Category All]]="Category 1",Table13[[#This Row],[Base Abalone Value]]*1.5,NA())</f>
        <v>#N/A</v>
      </c>
      <c r="Y206" t="e">
        <f>IF(Table13[[#This Row],[Category All]]="Category 2",Table13[[#This Row],[Base Abalone Value]]*0.8,NA())</f>
        <v>#N/A</v>
      </c>
      <c r="Z206">
        <f>IF(Table13[[#This Row],[Category All]]="Category 3",Table13[[#This Row],[Base Abalone Value]],NA())</f>
        <v>1.0115208333333334</v>
      </c>
      <c r="AA206" s="2">
        <f>IF(Table13[[#This Row],[Gender]]="M",Table13[[#This Row],[Whole_weight]],NA())</f>
        <v>1.115</v>
      </c>
      <c r="AB206" s="2" t="e">
        <f>IF(Table13[[#This Row],[Gender]]="F",Table13[[#This Row],[Whole_weight]],NA())</f>
        <v>#N/A</v>
      </c>
      <c r="AC206" s="2" t="e">
        <f>IF(Table13[[#This Row],[Gender]]="I",Table13[[#This Row],[Whole_weight]],NA())</f>
        <v>#N/A</v>
      </c>
      <c r="AD206" s="2">
        <f>IF(Table13[[#This Row],[Gender]]="M",Table13[[#This Row],[Diameter]],NA())</f>
        <v>0.46500000000000002</v>
      </c>
      <c r="AE206" s="2" t="e">
        <f>IF(Table13[[#This Row],[Gender]]="F",Table13[[#This Row],[Diameter]],NA())</f>
        <v>#N/A</v>
      </c>
      <c r="AF206" s="2" t="e">
        <f>IF(Table13[[#This Row],[Gender]]="I",Table13[[#This Row],[Diameter]],NA())</f>
        <v>#N/A</v>
      </c>
    </row>
    <row r="207" spans="1:32" x14ac:dyDescent="0.2">
      <c r="A207">
        <v>2134</v>
      </c>
      <c r="B207" t="s">
        <v>15</v>
      </c>
      <c r="C207">
        <v>0.44</v>
      </c>
      <c r="D207">
        <v>0.35</v>
      </c>
      <c r="E207">
        <v>0.11</v>
      </c>
      <c r="F207">
        <v>0.45850000000000002</v>
      </c>
      <c r="G207">
        <v>0.2</v>
      </c>
      <c r="H207">
        <v>8.8499999999999995E-2</v>
      </c>
      <c r="I207">
        <v>0.13</v>
      </c>
      <c r="J207">
        <v>9</v>
      </c>
      <c r="K207">
        <v>2</v>
      </c>
      <c r="L207" t="s">
        <v>32</v>
      </c>
      <c r="M207" t="s">
        <v>33</v>
      </c>
      <c r="N207" t="s">
        <v>34</v>
      </c>
      <c r="O207">
        <v>7</v>
      </c>
      <c r="P207" t="s">
        <v>42</v>
      </c>
      <c r="Q207">
        <v>2.5</v>
      </c>
      <c r="R207" t="str" cm="1">
        <f t="array" ref="R2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07" t="e">
        <f>IF(Table13[[#This Row],[Category All]]="Category 1", "Yes",NA())</f>
        <v>#N/A</v>
      </c>
      <c r="T207" t="str">
        <f>IF(Table13[[#This Row],[Category All]]="Category 2", "Yes",NA())</f>
        <v>Yes</v>
      </c>
      <c r="U207" t="e">
        <f>IF(Table13[[#This Row],[Category All]]="Category 3", "Yes",NA())</f>
        <v>#N/A</v>
      </c>
      <c r="V207">
        <f>SUM(1,(1/3)*(Table13[[#This Row],[Length]]-0.5),(1/3)*(Table13[[#This Row],[Diameter]]-0.4),(1/3)*(Table13[[#This Row],[Height]]-0.4)*Table13[[#This Row],[Whole_weight]]*0.5)</f>
        <v>0.94117249999999997</v>
      </c>
      <c r="W207" cm="1">
        <f t="array" ref="W2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0.752938</v>
      </c>
      <c r="X207" t="e">
        <f>IF(Table13[[#This Row],[Category All]]="Category 1",Table13[[#This Row],[Base Abalone Value]]*1.5,NA())</f>
        <v>#N/A</v>
      </c>
      <c r="Y207">
        <f>IF(Table13[[#This Row],[Category All]]="Category 2",Table13[[#This Row],[Base Abalone Value]]*0.8,NA())</f>
        <v>0.752938</v>
      </c>
      <c r="Z207" t="e">
        <f>IF(Table13[[#This Row],[Category All]]="Category 3",Table13[[#This Row],[Base Abalone Value]],NA())</f>
        <v>#N/A</v>
      </c>
      <c r="AA207" s="2">
        <f>IF(Table13[[#This Row],[Gender]]="M",Table13[[#This Row],[Whole_weight]],NA())</f>
        <v>0.45850000000000002</v>
      </c>
      <c r="AB207" s="2" t="e">
        <f>IF(Table13[[#This Row],[Gender]]="F",Table13[[#This Row],[Whole_weight]],NA())</f>
        <v>#N/A</v>
      </c>
      <c r="AC207" s="2" t="e">
        <f>IF(Table13[[#This Row],[Gender]]="I",Table13[[#This Row],[Whole_weight]],NA())</f>
        <v>#N/A</v>
      </c>
      <c r="AD207" s="2">
        <f>IF(Table13[[#This Row],[Gender]]="M",Table13[[#This Row],[Diameter]],NA())</f>
        <v>0.35</v>
      </c>
      <c r="AE207" s="2" t="e">
        <f>IF(Table13[[#This Row],[Gender]]="F",Table13[[#This Row],[Diameter]],NA())</f>
        <v>#N/A</v>
      </c>
      <c r="AF207" s="2" t="e">
        <f>IF(Table13[[#This Row],[Gender]]="I",Table13[[#This Row],[Diameter]],NA())</f>
        <v>#N/A</v>
      </c>
    </row>
    <row r="208" spans="1:32" x14ac:dyDescent="0.2">
      <c r="A208">
        <v>892</v>
      </c>
      <c r="B208" t="s">
        <v>15</v>
      </c>
      <c r="C208">
        <v>0.73</v>
      </c>
      <c r="D208">
        <v>0.59499999999999997</v>
      </c>
      <c r="E208">
        <v>0.23</v>
      </c>
      <c r="F208">
        <v>2.8254999999999999</v>
      </c>
      <c r="G208">
        <v>1.1465000000000001</v>
      </c>
      <c r="H208">
        <v>0.41899999999999998</v>
      </c>
      <c r="I208">
        <v>0.89700000000000002</v>
      </c>
      <c r="J208">
        <v>17</v>
      </c>
      <c r="K208">
        <v>8</v>
      </c>
      <c r="L208" t="s">
        <v>29</v>
      </c>
      <c r="M208" t="s">
        <v>30</v>
      </c>
      <c r="N208" t="s">
        <v>31</v>
      </c>
      <c r="O208">
        <v>10</v>
      </c>
      <c r="P208" t="s">
        <v>38</v>
      </c>
      <c r="Q208">
        <v>24.1</v>
      </c>
      <c r="R208" t="str" cm="1">
        <f t="array" ref="R2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208" t="str">
        <f>IF(Table13[[#This Row],[Category All]]="Category 1", "Yes",NA())</f>
        <v>Yes</v>
      </c>
      <c r="T208" t="e">
        <f>IF(Table13[[#This Row],[Category All]]="Category 2", "Yes",NA())</f>
        <v>#N/A</v>
      </c>
      <c r="U208" t="e">
        <f>IF(Table13[[#This Row],[Category All]]="Category 3", "Yes",NA())</f>
        <v>#N/A</v>
      </c>
      <c r="V208">
        <f>SUM(1,(1/3)*(Table13[[#This Row],[Length]]-0.5),(1/3)*(Table13[[#This Row],[Diameter]]-0.4),(1/3)*(Table13[[#This Row],[Height]]-0.4)*Table13[[#This Row],[Whole_weight]]*0.5)</f>
        <v>1.0616108333333332</v>
      </c>
      <c r="W208" cm="1">
        <f t="array" ref="W2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1.5924162499999999</v>
      </c>
      <c r="X208">
        <f>IF(Table13[[#This Row],[Category All]]="Category 1",Table13[[#This Row],[Base Abalone Value]]*1.5,NA())</f>
        <v>1.5924162499999999</v>
      </c>
      <c r="Y208" t="e">
        <f>IF(Table13[[#This Row],[Category All]]="Category 2",Table13[[#This Row],[Base Abalone Value]]*0.8,NA())</f>
        <v>#N/A</v>
      </c>
      <c r="Z208" t="e">
        <f>IF(Table13[[#This Row],[Category All]]="Category 3",Table13[[#This Row],[Base Abalone Value]],NA())</f>
        <v>#N/A</v>
      </c>
      <c r="AA208" s="2">
        <f>IF(Table13[[#This Row],[Gender]]="M",Table13[[#This Row],[Whole_weight]],NA())</f>
        <v>2.8254999999999999</v>
      </c>
      <c r="AB208" s="2" t="e">
        <f>IF(Table13[[#This Row],[Gender]]="F",Table13[[#This Row],[Whole_weight]],NA())</f>
        <v>#N/A</v>
      </c>
      <c r="AC208" s="2" t="e">
        <f>IF(Table13[[#This Row],[Gender]]="I",Table13[[#This Row],[Whole_weight]],NA())</f>
        <v>#N/A</v>
      </c>
      <c r="AD208" s="2">
        <f>IF(Table13[[#This Row],[Gender]]="M",Table13[[#This Row],[Diameter]],NA())</f>
        <v>0.59499999999999997</v>
      </c>
      <c r="AE208" s="2" t="e">
        <f>IF(Table13[[#This Row],[Gender]]="F",Table13[[#This Row],[Diameter]],NA())</f>
        <v>#N/A</v>
      </c>
      <c r="AF208" s="2" t="e">
        <f>IF(Table13[[#This Row],[Gender]]="I",Table13[[#This Row],[Diameter]],NA())</f>
        <v>#N/A</v>
      </c>
    </row>
    <row r="209" spans="1:32" x14ac:dyDescent="0.2">
      <c r="A209">
        <v>2625</v>
      </c>
      <c r="B209" t="s">
        <v>15</v>
      </c>
      <c r="C209">
        <v>0.76500000000000001</v>
      </c>
      <c r="D209">
        <v>0.58499999999999996</v>
      </c>
      <c r="E209">
        <v>0.18</v>
      </c>
      <c r="F209">
        <v>2.3980000000000001</v>
      </c>
      <c r="G209">
        <v>1.1279999999999999</v>
      </c>
      <c r="H209">
        <v>0.51200000000000001</v>
      </c>
      <c r="I209">
        <v>0.53349999999999997</v>
      </c>
      <c r="J209">
        <v>12</v>
      </c>
      <c r="K209">
        <v>2</v>
      </c>
      <c r="L209" t="s">
        <v>32</v>
      </c>
      <c r="M209" t="s">
        <v>33</v>
      </c>
      <c r="N209" t="s">
        <v>34</v>
      </c>
      <c r="O209">
        <v>4</v>
      </c>
      <c r="P209" t="s">
        <v>10</v>
      </c>
      <c r="Q209">
        <v>6.1</v>
      </c>
      <c r="R209" t="str" cm="1">
        <f t="array" ref="R2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209" t="str">
        <f>IF(Table13[[#This Row],[Category All]]="Category 1", "Yes",NA())</f>
        <v>Yes</v>
      </c>
      <c r="T209" t="e">
        <f>IF(Table13[[#This Row],[Category All]]="Category 2", "Yes",NA())</f>
        <v>#N/A</v>
      </c>
      <c r="U209" t="e">
        <f>IF(Table13[[#This Row],[Category All]]="Category 3", "Yes",NA())</f>
        <v>#N/A</v>
      </c>
      <c r="V209">
        <f>SUM(1,(1/3)*(Table13[[#This Row],[Length]]-0.5),(1/3)*(Table13[[#This Row],[Diameter]]-0.4),(1/3)*(Table13[[#This Row],[Height]]-0.4)*Table13[[#This Row],[Whole_weight]]*0.5)</f>
        <v>1.0620733333333332</v>
      </c>
      <c r="W209" cm="1">
        <f t="array" ref="W2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1.5931099999999998</v>
      </c>
      <c r="X209">
        <f>IF(Table13[[#This Row],[Category All]]="Category 1",Table13[[#This Row],[Base Abalone Value]]*1.5,NA())</f>
        <v>1.5931099999999998</v>
      </c>
      <c r="Y209" t="e">
        <f>IF(Table13[[#This Row],[Category All]]="Category 2",Table13[[#This Row],[Base Abalone Value]]*0.8,NA())</f>
        <v>#N/A</v>
      </c>
      <c r="Z209" t="e">
        <f>IF(Table13[[#This Row],[Category All]]="Category 3",Table13[[#This Row],[Base Abalone Value]],NA())</f>
        <v>#N/A</v>
      </c>
      <c r="AA209" s="2">
        <f>IF(Table13[[#This Row],[Gender]]="M",Table13[[#This Row],[Whole_weight]],NA())</f>
        <v>2.3980000000000001</v>
      </c>
      <c r="AB209" s="2" t="e">
        <f>IF(Table13[[#This Row],[Gender]]="F",Table13[[#This Row],[Whole_weight]],NA())</f>
        <v>#N/A</v>
      </c>
      <c r="AC209" s="2" t="e">
        <f>IF(Table13[[#This Row],[Gender]]="I",Table13[[#This Row],[Whole_weight]],NA())</f>
        <v>#N/A</v>
      </c>
      <c r="AD209" s="2">
        <f>IF(Table13[[#This Row],[Gender]]="M",Table13[[#This Row],[Diameter]],NA())</f>
        <v>0.58499999999999996</v>
      </c>
      <c r="AE209" s="2" t="e">
        <f>IF(Table13[[#This Row],[Gender]]="F",Table13[[#This Row],[Diameter]],NA())</f>
        <v>#N/A</v>
      </c>
      <c r="AF209" s="2" t="e">
        <f>IF(Table13[[#This Row],[Gender]]="I",Table13[[#This Row],[Diameter]],NA())</f>
        <v>#N/A</v>
      </c>
    </row>
    <row r="210" spans="1:32" x14ac:dyDescent="0.2">
      <c r="A210">
        <v>1960</v>
      </c>
      <c r="B210" t="s">
        <v>0</v>
      </c>
      <c r="C210">
        <v>0.65</v>
      </c>
      <c r="D210">
        <v>0.51</v>
      </c>
      <c r="E210">
        <v>0.155</v>
      </c>
      <c r="F210">
        <v>1.1890000000000001</v>
      </c>
      <c r="G210">
        <v>0.48299999999999998</v>
      </c>
      <c r="H210">
        <v>0.27800000000000002</v>
      </c>
      <c r="I210">
        <v>0.36449999999999999</v>
      </c>
      <c r="J210">
        <v>13</v>
      </c>
      <c r="K210">
        <v>10</v>
      </c>
      <c r="L210" t="s">
        <v>16</v>
      </c>
      <c r="M210" t="s">
        <v>17</v>
      </c>
      <c r="N210" t="s">
        <v>18</v>
      </c>
      <c r="O210">
        <v>1</v>
      </c>
      <c r="P210" t="s">
        <v>4</v>
      </c>
      <c r="Q210">
        <v>22.1</v>
      </c>
      <c r="R210" t="str" cm="1">
        <f t="array" ref="R2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10" t="e">
        <f>IF(Table13[[#This Row],[Category All]]="Category 1", "Yes",NA())</f>
        <v>#N/A</v>
      </c>
      <c r="T210" t="e">
        <f>IF(Table13[[#This Row],[Category All]]="Category 2", "Yes",NA())</f>
        <v>#N/A</v>
      </c>
      <c r="U210" t="str">
        <f>IF(Table13[[#This Row],[Category All]]="Category 3", "Yes",NA())</f>
        <v>Yes</v>
      </c>
      <c r="V210">
        <f>SUM(1,(1/3)*(Table13[[#This Row],[Length]]-0.5),(1/3)*(Table13[[#This Row],[Diameter]]-0.4),(1/3)*(Table13[[#This Row],[Height]]-0.4)*Table13[[#This Row],[Whole_weight]]*0.5)</f>
        <v>1.0381158333333333</v>
      </c>
      <c r="W210" cm="1">
        <f t="array" ref="W2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1.0381158333333333</v>
      </c>
      <c r="X210" t="e">
        <f>IF(Table13[[#This Row],[Category All]]="Category 1",Table13[[#This Row],[Base Abalone Value]]*1.5,NA())</f>
        <v>#N/A</v>
      </c>
      <c r="Y210" t="e">
        <f>IF(Table13[[#This Row],[Category All]]="Category 2",Table13[[#This Row],[Base Abalone Value]]*0.8,NA())</f>
        <v>#N/A</v>
      </c>
      <c r="Z210">
        <f>IF(Table13[[#This Row],[Category All]]="Category 3",Table13[[#This Row],[Base Abalone Value]],NA())</f>
        <v>1.0381158333333333</v>
      </c>
      <c r="AA210" s="2" t="e">
        <f>IF(Table13[[#This Row],[Gender]]="M",Table13[[#This Row],[Whole_weight]],NA())</f>
        <v>#N/A</v>
      </c>
      <c r="AB210" s="2">
        <f>IF(Table13[[#This Row],[Gender]]="F",Table13[[#This Row],[Whole_weight]],NA())</f>
        <v>1.1890000000000001</v>
      </c>
      <c r="AC210" s="2" t="e">
        <f>IF(Table13[[#This Row],[Gender]]="I",Table13[[#This Row],[Whole_weight]],NA())</f>
        <v>#N/A</v>
      </c>
      <c r="AD210" s="2" t="e">
        <f>IF(Table13[[#This Row],[Gender]]="M",Table13[[#This Row],[Diameter]],NA())</f>
        <v>#N/A</v>
      </c>
      <c r="AE210" s="2">
        <f>IF(Table13[[#This Row],[Gender]]="F",Table13[[#This Row],[Diameter]],NA())</f>
        <v>0.51</v>
      </c>
      <c r="AF210" s="2" t="e">
        <f>IF(Table13[[#This Row],[Gender]]="I",Table13[[#This Row],[Diameter]],NA())</f>
        <v>#N/A</v>
      </c>
    </row>
    <row r="211" spans="1:32" x14ac:dyDescent="0.2">
      <c r="A211">
        <v>1514</v>
      </c>
      <c r="B211" t="s">
        <v>15</v>
      </c>
      <c r="C211">
        <v>0.65</v>
      </c>
      <c r="D211">
        <v>0.48499999999999999</v>
      </c>
      <c r="E211">
        <v>0.14000000000000001</v>
      </c>
      <c r="F211">
        <v>1.175</v>
      </c>
      <c r="G211">
        <v>0.47499999999999998</v>
      </c>
      <c r="H211">
        <v>0.24349999999999999</v>
      </c>
      <c r="I211">
        <v>0.215</v>
      </c>
      <c r="J211">
        <v>8</v>
      </c>
      <c r="K211">
        <v>2</v>
      </c>
      <c r="L211" t="s">
        <v>32</v>
      </c>
      <c r="M211" t="s">
        <v>33</v>
      </c>
      <c r="N211" t="s">
        <v>34</v>
      </c>
      <c r="O211">
        <v>7</v>
      </c>
      <c r="P211" t="s">
        <v>42</v>
      </c>
      <c r="Q211">
        <v>2.5</v>
      </c>
      <c r="R211" t="str" cm="1">
        <f t="array" ref="R2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11" t="e">
        <f>IF(Table13[[#This Row],[Category All]]="Category 1", "Yes",NA())</f>
        <v>#N/A</v>
      </c>
      <c r="T211" t="e">
        <f>IF(Table13[[#This Row],[Category All]]="Category 2", "Yes",NA())</f>
        <v>#N/A</v>
      </c>
      <c r="U211" t="str">
        <f>IF(Table13[[#This Row],[Category All]]="Category 3", "Yes",NA())</f>
        <v>Yes</v>
      </c>
      <c r="V211">
        <f>SUM(1,(1/3)*(Table13[[#This Row],[Length]]-0.5),(1/3)*(Table13[[#This Row],[Diameter]]-0.4),(1/3)*(Table13[[#This Row],[Height]]-0.4)*Table13[[#This Row],[Whole_weight]]*0.5)</f>
        <v>1.0274166666666666</v>
      </c>
      <c r="W211" cm="1">
        <f t="array" ref="W2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1.0274166666666666</v>
      </c>
      <c r="X211" t="e">
        <f>IF(Table13[[#This Row],[Category All]]="Category 1",Table13[[#This Row],[Base Abalone Value]]*1.5,NA())</f>
        <v>#N/A</v>
      </c>
      <c r="Y211" t="e">
        <f>IF(Table13[[#This Row],[Category All]]="Category 2",Table13[[#This Row],[Base Abalone Value]]*0.8,NA())</f>
        <v>#N/A</v>
      </c>
      <c r="Z211">
        <f>IF(Table13[[#This Row],[Category All]]="Category 3",Table13[[#This Row],[Base Abalone Value]],NA())</f>
        <v>1.0274166666666666</v>
      </c>
      <c r="AA211" s="2">
        <f>IF(Table13[[#This Row],[Gender]]="M",Table13[[#This Row],[Whole_weight]],NA())</f>
        <v>1.175</v>
      </c>
      <c r="AB211" s="2" t="e">
        <f>IF(Table13[[#This Row],[Gender]]="F",Table13[[#This Row],[Whole_weight]],NA())</f>
        <v>#N/A</v>
      </c>
      <c r="AC211" s="2" t="e">
        <f>IF(Table13[[#This Row],[Gender]]="I",Table13[[#This Row],[Whole_weight]],NA())</f>
        <v>#N/A</v>
      </c>
      <c r="AD211" s="2">
        <f>IF(Table13[[#This Row],[Gender]]="M",Table13[[#This Row],[Diameter]],NA())</f>
        <v>0.48499999999999999</v>
      </c>
      <c r="AE211" s="2" t="e">
        <f>IF(Table13[[#This Row],[Gender]]="F",Table13[[#This Row],[Diameter]],NA())</f>
        <v>#N/A</v>
      </c>
      <c r="AF211" s="2" t="e">
        <f>IF(Table13[[#This Row],[Gender]]="I",Table13[[#This Row],[Diameter]],NA())</f>
        <v>#N/A</v>
      </c>
    </row>
    <row r="212" spans="1:32" x14ac:dyDescent="0.2">
      <c r="A212">
        <v>3074</v>
      </c>
      <c r="B212" t="s">
        <v>15</v>
      </c>
      <c r="C212">
        <v>0.66500000000000004</v>
      </c>
      <c r="D212">
        <v>0.52500000000000002</v>
      </c>
      <c r="E212">
        <v>0.155</v>
      </c>
      <c r="F212">
        <v>1.3574999999999999</v>
      </c>
      <c r="G212">
        <v>0.53249999999999997</v>
      </c>
      <c r="H212">
        <v>0.30449999999999999</v>
      </c>
      <c r="I212">
        <v>0.44850000000000001</v>
      </c>
      <c r="J212">
        <v>10</v>
      </c>
      <c r="K212">
        <v>6</v>
      </c>
      <c r="L212" t="s">
        <v>39</v>
      </c>
      <c r="M212" t="s">
        <v>40</v>
      </c>
      <c r="N212" t="s">
        <v>41</v>
      </c>
      <c r="O212">
        <v>3</v>
      </c>
      <c r="P212" t="s">
        <v>48</v>
      </c>
      <c r="Q212">
        <v>3.6</v>
      </c>
      <c r="R212" t="str" cm="1">
        <f t="array" ref="R2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12" t="e">
        <f>IF(Table13[[#This Row],[Category All]]="Category 1", "Yes",NA())</f>
        <v>#N/A</v>
      </c>
      <c r="T212" t="e">
        <f>IF(Table13[[#This Row],[Category All]]="Category 2", "Yes",NA())</f>
        <v>#N/A</v>
      </c>
      <c r="U212" t="str">
        <f>IF(Table13[[#This Row],[Category All]]="Category 3", "Yes",NA())</f>
        <v>Yes</v>
      </c>
      <c r="V212">
        <f>SUM(1,(1/3)*(Table13[[#This Row],[Length]]-0.5),(1/3)*(Table13[[#This Row],[Diameter]]-0.4),(1/3)*(Table13[[#This Row],[Height]]-0.4)*Table13[[#This Row],[Whole_weight]]*0.5)</f>
        <v>1.0412354166666666</v>
      </c>
      <c r="W212" cm="1">
        <f t="array" ref="W2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1.0412354166666666</v>
      </c>
      <c r="X212" t="e">
        <f>IF(Table13[[#This Row],[Category All]]="Category 1",Table13[[#This Row],[Base Abalone Value]]*1.5,NA())</f>
        <v>#N/A</v>
      </c>
      <c r="Y212" t="e">
        <f>IF(Table13[[#This Row],[Category All]]="Category 2",Table13[[#This Row],[Base Abalone Value]]*0.8,NA())</f>
        <v>#N/A</v>
      </c>
      <c r="Z212">
        <f>IF(Table13[[#This Row],[Category All]]="Category 3",Table13[[#This Row],[Base Abalone Value]],NA())</f>
        <v>1.0412354166666666</v>
      </c>
      <c r="AA212" s="2">
        <f>IF(Table13[[#This Row],[Gender]]="M",Table13[[#This Row],[Whole_weight]],NA())</f>
        <v>1.3574999999999999</v>
      </c>
      <c r="AB212" s="2" t="e">
        <f>IF(Table13[[#This Row],[Gender]]="F",Table13[[#This Row],[Whole_weight]],NA())</f>
        <v>#N/A</v>
      </c>
      <c r="AC212" s="2" t="e">
        <f>IF(Table13[[#This Row],[Gender]]="I",Table13[[#This Row],[Whole_weight]],NA())</f>
        <v>#N/A</v>
      </c>
      <c r="AD212" s="2">
        <f>IF(Table13[[#This Row],[Gender]]="M",Table13[[#This Row],[Diameter]],NA())</f>
        <v>0.52500000000000002</v>
      </c>
      <c r="AE212" s="2" t="e">
        <f>IF(Table13[[#This Row],[Gender]]="F",Table13[[#This Row],[Diameter]],NA())</f>
        <v>#N/A</v>
      </c>
      <c r="AF212" s="2" t="e">
        <f>IF(Table13[[#This Row],[Gender]]="I",Table13[[#This Row],[Diameter]],NA())</f>
        <v>#N/A</v>
      </c>
    </row>
    <row r="213" spans="1:32" x14ac:dyDescent="0.2">
      <c r="A213">
        <v>3923</v>
      </c>
      <c r="B213" t="s">
        <v>11</v>
      </c>
      <c r="C213">
        <v>0.52500000000000002</v>
      </c>
      <c r="D213">
        <v>0.4</v>
      </c>
      <c r="E213">
        <v>0.14000000000000001</v>
      </c>
      <c r="F213">
        <v>0.69550000000000001</v>
      </c>
      <c r="G213">
        <v>0.24049999999999999</v>
      </c>
      <c r="H213">
        <v>0.16</v>
      </c>
      <c r="I213">
        <v>0.253</v>
      </c>
      <c r="J213">
        <v>10</v>
      </c>
      <c r="K213">
        <v>15</v>
      </c>
      <c r="L213" t="s">
        <v>49</v>
      </c>
      <c r="M213" t="s">
        <v>50</v>
      </c>
      <c r="N213" t="s">
        <v>3</v>
      </c>
      <c r="O213">
        <v>3</v>
      </c>
      <c r="P213" t="s">
        <v>48</v>
      </c>
      <c r="Q213">
        <v>3.6</v>
      </c>
      <c r="R213" t="str" cm="1">
        <f t="array" ref="R2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13" t="e">
        <f>IF(Table13[[#This Row],[Category All]]="Category 1", "Yes",NA())</f>
        <v>#N/A</v>
      </c>
      <c r="T213" t="str">
        <f>IF(Table13[[#This Row],[Category All]]="Category 2", "Yes",NA())</f>
        <v>Yes</v>
      </c>
      <c r="U213" t="e">
        <f>IF(Table13[[#This Row],[Category All]]="Category 3", "Yes",NA())</f>
        <v>#N/A</v>
      </c>
      <c r="V213">
        <f>SUM(1,(1/3)*(Table13[[#This Row],[Length]]-0.5),(1/3)*(Table13[[#This Row],[Diameter]]-0.4),(1/3)*(Table13[[#This Row],[Height]]-0.4)*Table13[[#This Row],[Whole_weight]]*0.5)</f>
        <v>0.97819499999999993</v>
      </c>
      <c r="W213" cm="1">
        <f t="array" ref="W2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0.78255600000000003</v>
      </c>
      <c r="X213" t="e">
        <f>IF(Table13[[#This Row],[Category All]]="Category 1",Table13[[#This Row],[Base Abalone Value]]*1.5,NA())</f>
        <v>#N/A</v>
      </c>
      <c r="Y213">
        <f>IF(Table13[[#This Row],[Category All]]="Category 2",Table13[[#This Row],[Base Abalone Value]]*0.8,NA())</f>
        <v>0.78255600000000003</v>
      </c>
      <c r="Z213" t="e">
        <f>IF(Table13[[#This Row],[Category All]]="Category 3",Table13[[#This Row],[Base Abalone Value]],NA())</f>
        <v>#N/A</v>
      </c>
      <c r="AA213" s="2" t="e">
        <f>IF(Table13[[#This Row],[Gender]]="M",Table13[[#This Row],[Whole_weight]],NA())</f>
        <v>#N/A</v>
      </c>
      <c r="AB213" s="2" t="e">
        <f>IF(Table13[[#This Row],[Gender]]="F",Table13[[#This Row],[Whole_weight]],NA())</f>
        <v>#N/A</v>
      </c>
      <c r="AC213" s="2">
        <f>IF(Table13[[#This Row],[Gender]]="I",Table13[[#This Row],[Whole_weight]],NA())</f>
        <v>0.69550000000000001</v>
      </c>
      <c r="AD213" s="2" t="e">
        <f>IF(Table13[[#This Row],[Gender]]="M",Table13[[#This Row],[Diameter]],NA())</f>
        <v>#N/A</v>
      </c>
      <c r="AE213" s="2" t="e">
        <f>IF(Table13[[#This Row],[Gender]]="F",Table13[[#This Row],[Diameter]],NA())</f>
        <v>#N/A</v>
      </c>
      <c r="AF213" s="2">
        <f>IF(Table13[[#This Row],[Gender]]="I",Table13[[#This Row],[Diameter]],NA())</f>
        <v>0.4</v>
      </c>
    </row>
    <row r="214" spans="1:32" x14ac:dyDescent="0.2">
      <c r="A214">
        <v>3384</v>
      </c>
      <c r="B214" t="s">
        <v>15</v>
      </c>
      <c r="C214">
        <v>0.5</v>
      </c>
      <c r="D214">
        <v>0.375</v>
      </c>
      <c r="E214">
        <v>0.13</v>
      </c>
      <c r="F214">
        <v>0.72099999999999997</v>
      </c>
      <c r="G214">
        <v>0.30549999999999999</v>
      </c>
      <c r="H214">
        <v>0.17249999999999999</v>
      </c>
      <c r="I214">
        <v>0.22</v>
      </c>
      <c r="J214">
        <v>14</v>
      </c>
      <c r="K214">
        <v>11</v>
      </c>
      <c r="L214" t="s">
        <v>5</v>
      </c>
      <c r="M214" t="s">
        <v>6</v>
      </c>
      <c r="N214" t="s">
        <v>3</v>
      </c>
      <c r="O214">
        <v>9</v>
      </c>
      <c r="P214" t="s">
        <v>46</v>
      </c>
      <c r="Q214">
        <v>1.9</v>
      </c>
      <c r="R214" t="str" cm="1">
        <f t="array" ref="R2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14" t="e">
        <f>IF(Table13[[#This Row],[Category All]]="Category 1", "Yes",NA())</f>
        <v>#N/A</v>
      </c>
      <c r="T214" t="str">
        <f>IF(Table13[[#This Row],[Category All]]="Category 2", "Yes",NA())</f>
        <v>Yes</v>
      </c>
      <c r="U214" t="e">
        <f>IF(Table13[[#This Row],[Category All]]="Category 3", "Yes",NA())</f>
        <v>#N/A</v>
      </c>
      <c r="V214">
        <f>SUM(1,(1/3)*(Table13[[#This Row],[Length]]-0.5),(1/3)*(Table13[[#This Row],[Diameter]]-0.4),(1/3)*(Table13[[#This Row],[Height]]-0.4)*Table13[[#This Row],[Whole_weight]]*0.5)</f>
        <v>0.95922166666666675</v>
      </c>
      <c r="W214" cm="1">
        <f t="array" ref="W2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0.76737733333333347</v>
      </c>
      <c r="X214" t="e">
        <f>IF(Table13[[#This Row],[Category All]]="Category 1",Table13[[#This Row],[Base Abalone Value]]*1.5,NA())</f>
        <v>#N/A</v>
      </c>
      <c r="Y214">
        <f>IF(Table13[[#This Row],[Category All]]="Category 2",Table13[[#This Row],[Base Abalone Value]]*0.8,NA())</f>
        <v>0.76737733333333347</v>
      </c>
      <c r="Z214" t="e">
        <f>IF(Table13[[#This Row],[Category All]]="Category 3",Table13[[#This Row],[Base Abalone Value]],NA())</f>
        <v>#N/A</v>
      </c>
      <c r="AA214" s="2">
        <f>IF(Table13[[#This Row],[Gender]]="M",Table13[[#This Row],[Whole_weight]],NA())</f>
        <v>0.72099999999999997</v>
      </c>
      <c r="AB214" s="2" t="e">
        <f>IF(Table13[[#This Row],[Gender]]="F",Table13[[#This Row],[Whole_weight]],NA())</f>
        <v>#N/A</v>
      </c>
      <c r="AC214" s="2" t="e">
        <f>IF(Table13[[#This Row],[Gender]]="I",Table13[[#This Row],[Whole_weight]],NA())</f>
        <v>#N/A</v>
      </c>
      <c r="AD214" s="2">
        <f>IF(Table13[[#This Row],[Gender]]="M",Table13[[#This Row],[Diameter]],NA())</f>
        <v>0.375</v>
      </c>
      <c r="AE214" s="2" t="e">
        <f>IF(Table13[[#This Row],[Gender]]="F",Table13[[#This Row],[Diameter]],NA())</f>
        <v>#N/A</v>
      </c>
      <c r="AF214" s="2" t="e">
        <f>IF(Table13[[#This Row],[Gender]]="I",Table13[[#This Row],[Diameter]],NA())</f>
        <v>#N/A</v>
      </c>
    </row>
    <row r="215" spans="1:32" x14ac:dyDescent="0.2">
      <c r="A215">
        <v>2815</v>
      </c>
      <c r="B215" t="s">
        <v>11</v>
      </c>
      <c r="C215">
        <v>0.27500000000000002</v>
      </c>
      <c r="D215">
        <v>0.2</v>
      </c>
      <c r="E215">
        <v>5.5E-2</v>
      </c>
      <c r="F215">
        <v>9.2499999999999999E-2</v>
      </c>
      <c r="G215">
        <v>3.7999999999999999E-2</v>
      </c>
      <c r="H215">
        <v>2.1000000000000001E-2</v>
      </c>
      <c r="I215">
        <v>2.5999999999999999E-2</v>
      </c>
      <c r="J215">
        <v>4</v>
      </c>
      <c r="K215">
        <v>11</v>
      </c>
      <c r="L215" t="s">
        <v>5</v>
      </c>
      <c r="M215" t="s">
        <v>6</v>
      </c>
      <c r="N215" t="s">
        <v>3</v>
      </c>
      <c r="O215">
        <v>6</v>
      </c>
      <c r="P215" t="s">
        <v>47</v>
      </c>
      <c r="Q215">
        <v>14.1</v>
      </c>
      <c r="R215" t="str" cm="1">
        <f t="array" ref="R2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15" t="e">
        <f>IF(Table13[[#This Row],[Category All]]="Category 1", "Yes",NA())</f>
        <v>#N/A</v>
      </c>
      <c r="T215" t="str">
        <f>IF(Table13[[#This Row],[Category All]]="Category 2", "Yes",NA())</f>
        <v>Yes</v>
      </c>
      <c r="U215" t="e">
        <f>IF(Table13[[#This Row],[Category All]]="Category 3", "Yes",NA())</f>
        <v>#N/A</v>
      </c>
      <c r="V215">
        <f>SUM(1,(1/3)*(Table13[[#This Row],[Length]]-0.5),(1/3)*(Table13[[#This Row],[Diameter]]-0.4),(1/3)*(Table13[[#This Row],[Height]]-0.4)*Table13[[#This Row],[Whole_weight]]*0.5)</f>
        <v>0.85301458333333335</v>
      </c>
      <c r="W215" cm="1">
        <f t="array" ref="W2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0.68241166666666675</v>
      </c>
      <c r="X215" t="e">
        <f>IF(Table13[[#This Row],[Category All]]="Category 1",Table13[[#This Row],[Base Abalone Value]]*1.5,NA())</f>
        <v>#N/A</v>
      </c>
      <c r="Y215">
        <f>IF(Table13[[#This Row],[Category All]]="Category 2",Table13[[#This Row],[Base Abalone Value]]*0.8,NA())</f>
        <v>0.68241166666666675</v>
      </c>
      <c r="Z215" t="e">
        <f>IF(Table13[[#This Row],[Category All]]="Category 3",Table13[[#This Row],[Base Abalone Value]],NA())</f>
        <v>#N/A</v>
      </c>
      <c r="AA215" s="2" t="e">
        <f>IF(Table13[[#This Row],[Gender]]="M",Table13[[#This Row],[Whole_weight]],NA())</f>
        <v>#N/A</v>
      </c>
      <c r="AB215" s="2" t="e">
        <f>IF(Table13[[#This Row],[Gender]]="F",Table13[[#This Row],[Whole_weight]],NA())</f>
        <v>#N/A</v>
      </c>
      <c r="AC215" s="2">
        <f>IF(Table13[[#This Row],[Gender]]="I",Table13[[#This Row],[Whole_weight]],NA())</f>
        <v>9.2499999999999999E-2</v>
      </c>
      <c r="AD215" s="2" t="e">
        <f>IF(Table13[[#This Row],[Gender]]="M",Table13[[#This Row],[Diameter]],NA())</f>
        <v>#N/A</v>
      </c>
      <c r="AE215" s="2" t="e">
        <f>IF(Table13[[#This Row],[Gender]]="F",Table13[[#This Row],[Diameter]],NA())</f>
        <v>#N/A</v>
      </c>
      <c r="AF215" s="2">
        <f>IF(Table13[[#This Row],[Gender]]="I",Table13[[#This Row],[Diameter]],NA())</f>
        <v>0.2</v>
      </c>
    </row>
    <row r="216" spans="1:32" x14ac:dyDescent="0.2">
      <c r="A216">
        <v>2798</v>
      </c>
      <c r="B216" t="s">
        <v>15</v>
      </c>
      <c r="C216">
        <v>0.64</v>
      </c>
      <c r="D216">
        <v>0.505</v>
      </c>
      <c r="E216">
        <v>0.155</v>
      </c>
      <c r="F216">
        <v>1.1955</v>
      </c>
      <c r="G216">
        <v>0.55649999999999999</v>
      </c>
      <c r="H216">
        <v>0.21099999999999999</v>
      </c>
      <c r="I216">
        <v>0.34599999999999997</v>
      </c>
      <c r="J216">
        <v>11</v>
      </c>
      <c r="K216">
        <v>8</v>
      </c>
      <c r="L216" t="s">
        <v>29</v>
      </c>
      <c r="M216" t="s">
        <v>30</v>
      </c>
      <c r="N216" t="s">
        <v>31</v>
      </c>
      <c r="O216">
        <v>1</v>
      </c>
      <c r="P216" t="s">
        <v>4</v>
      </c>
      <c r="Q216">
        <v>22.1</v>
      </c>
      <c r="R216" t="str" cm="1">
        <f t="array" ref="R2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16" t="e">
        <f>IF(Table13[[#This Row],[Category All]]="Category 1", "Yes",NA())</f>
        <v>#N/A</v>
      </c>
      <c r="T216" t="e">
        <f>IF(Table13[[#This Row],[Category All]]="Category 2", "Yes",NA())</f>
        <v>#N/A</v>
      </c>
      <c r="U216" t="str">
        <f>IF(Table13[[#This Row],[Category All]]="Category 3", "Yes",NA())</f>
        <v>Yes</v>
      </c>
      <c r="V216">
        <f>SUM(1,(1/3)*(Table13[[#This Row],[Length]]-0.5),(1/3)*(Table13[[#This Row],[Diameter]]-0.4),(1/3)*(Table13[[#This Row],[Height]]-0.4)*Table13[[#This Row],[Whole_weight]]*0.5)</f>
        <v>1.0328504166666665</v>
      </c>
      <c r="W216" cm="1">
        <f t="array" ref="W2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1.0328504166666665</v>
      </c>
      <c r="X216" t="e">
        <f>IF(Table13[[#This Row],[Category All]]="Category 1",Table13[[#This Row],[Base Abalone Value]]*1.5,NA())</f>
        <v>#N/A</v>
      </c>
      <c r="Y216" t="e">
        <f>IF(Table13[[#This Row],[Category All]]="Category 2",Table13[[#This Row],[Base Abalone Value]]*0.8,NA())</f>
        <v>#N/A</v>
      </c>
      <c r="Z216">
        <f>IF(Table13[[#This Row],[Category All]]="Category 3",Table13[[#This Row],[Base Abalone Value]],NA())</f>
        <v>1.0328504166666665</v>
      </c>
      <c r="AA216" s="2">
        <f>IF(Table13[[#This Row],[Gender]]="M",Table13[[#This Row],[Whole_weight]],NA())</f>
        <v>1.1955</v>
      </c>
      <c r="AB216" s="2" t="e">
        <f>IF(Table13[[#This Row],[Gender]]="F",Table13[[#This Row],[Whole_weight]],NA())</f>
        <v>#N/A</v>
      </c>
      <c r="AC216" s="2" t="e">
        <f>IF(Table13[[#This Row],[Gender]]="I",Table13[[#This Row],[Whole_weight]],NA())</f>
        <v>#N/A</v>
      </c>
      <c r="AD216" s="2">
        <f>IF(Table13[[#This Row],[Gender]]="M",Table13[[#This Row],[Diameter]],NA())</f>
        <v>0.505</v>
      </c>
      <c r="AE216" s="2" t="e">
        <f>IF(Table13[[#This Row],[Gender]]="F",Table13[[#This Row],[Diameter]],NA())</f>
        <v>#N/A</v>
      </c>
      <c r="AF216" s="2" t="e">
        <f>IF(Table13[[#This Row],[Gender]]="I",Table13[[#This Row],[Diameter]],NA())</f>
        <v>#N/A</v>
      </c>
    </row>
    <row r="217" spans="1:32" x14ac:dyDescent="0.2">
      <c r="A217">
        <v>104</v>
      </c>
      <c r="B217" t="s">
        <v>15</v>
      </c>
      <c r="C217">
        <v>0.53</v>
      </c>
      <c r="D217">
        <v>0.41499999999999998</v>
      </c>
      <c r="E217">
        <v>0.14000000000000001</v>
      </c>
      <c r="F217">
        <v>0.72399999999999998</v>
      </c>
      <c r="G217">
        <v>0.3105</v>
      </c>
      <c r="H217">
        <v>0.16750000000000001</v>
      </c>
      <c r="I217">
        <v>0.20499999999999999</v>
      </c>
      <c r="J217">
        <v>10</v>
      </c>
      <c r="K217">
        <v>11</v>
      </c>
      <c r="L217" t="s">
        <v>5</v>
      </c>
      <c r="M217" t="s">
        <v>6</v>
      </c>
      <c r="N217" t="s">
        <v>3</v>
      </c>
      <c r="O217">
        <v>9</v>
      </c>
      <c r="P217" t="s">
        <v>46</v>
      </c>
      <c r="Q217">
        <v>1.9</v>
      </c>
      <c r="R217" t="str" cm="1">
        <f t="array" ref="R2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17" t="e">
        <f>IF(Table13[[#This Row],[Category All]]="Category 1", "Yes",NA())</f>
        <v>#N/A</v>
      </c>
      <c r="T217" t="str">
        <f>IF(Table13[[#This Row],[Category All]]="Category 2", "Yes",NA())</f>
        <v>Yes</v>
      </c>
      <c r="U217" t="e">
        <f>IF(Table13[[#This Row],[Category All]]="Category 3", "Yes",NA())</f>
        <v>#N/A</v>
      </c>
      <c r="V217">
        <f>SUM(1,(1/3)*(Table13[[#This Row],[Length]]-0.5),(1/3)*(Table13[[#This Row],[Diameter]]-0.4),(1/3)*(Table13[[#This Row],[Height]]-0.4)*Table13[[#This Row],[Whole_weight]]*0.5)</f>
        <v>0.98362666666666654</v>
      </c>
      <c r="W217" cm="1">
        <f t="array" ref="W2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0.78690133333333323</v>
      </c>
      <c r="X217" t="e">
        <f>IF(Table13[[#This Row],[Category All]]="Category 1",Table13[[#This Row],[Base Abalone Value]]*1.5,NA())</f>
        <v>#N/A</v>
      </c>
      <c r="Y217">
        <f>IF(Table13[[#This Row],[Category All]]="Category 2",Table13[[#This Row],[Base Abalone Value]]*0.8,NA())</f>
        <v>0.78690133333333323</v>
      </c>
      <c r="Z217" t="e">
        <f>IF(Table13[[#This Row],[Category All]]="Category 3",Table13[[#This Row],[Base Abalone Value]],NA())</f>
        <v>#N/A</v>
      </c>
      <c r="AA217" s="2">
        <f>IF(Table13[[#This Row],[Gender]]="M",Table13[[#This Row],[Whole_weight]],NA())</f>
        <v>0.72399999999999998</v>
      </c>
      <c r="AB217" s="2" t="e">
        <f>IF(Table13[[#This Row],[Gender]]="F",Table13[[#This Row],[Whole_weight]],NA())</f>
        <v>#N/A</v>
      </c>
      <c r="AC217" s="2" t="e">
        <f>IF(Table13[[#This Row],[Gender]]="I",Table13[[#This Row],[Whole_weight]],NA())</f>
        <v>#N/A</v>
      </c>
      <c r="AD217" s="2">
        <f>IF(Table13[[#This Row],[Gender]]="M",Table13[[#This Row],[Diameter]],NA())</f>
        <v>0.41499999999999998</v>
      </c>
      <c r="AE217" s="2" t="e">
        <f>IF(Table13[[#This Row],[Gender]]="F",Table13[[#This Row],[Diameter]],NA())</f>
        <v>#N/A</v>
      </c>
      <c r="AF217" s="2" t="e">
        <f>IF(Table13[[#This Row],[Gender]]="I",Table13[[#This Row],[Diameter]],NA())</f>
        <v>#N/A</v>
      </c>
    </row>
    <row r="218" spans="1:32" x14ac:dyDescent="0.2">
      <c r="A218">
        <v>2979</v>
      </c>
      <c r="B218" t="s">
        <v>15</v>
      </c>
      <c r="C218">
        <v>0.48499999999999999</v>
      </c>
      <c r="D218">
        <v>0.36499999999999999</v>
      </c>
      <c r="E218">
        <v>0.155</v>
      </c>
      <c r="F218">
        <v>1.0289999999999999</v>
      </c>
      <c r="G218">
        <v>0.42349999999999999</v>
      </c>
      <c r="H218">
        <v>0.22850000000000001</v>
      </c>
      <c r="I218">
        <v>0.313</v>
      </c>
      <c r="J218">
        <v>8</v>
      </c>
      <c r="K218">
        <v>10</v>
      </c>
      <c r="L218" t="s">
        <v>16</v>
      </c>
      <c r="M218" t="s">
        <v>17</v>
      </c>
      <c r="N218" t="s">
        <v>18</v>
      </c>
      <c r="O218">
        <v>6</v>
      </c>
      <c r="P218" t="s">
        <v>47</v>
      </c>
      <c r="Q218">
        <v>14.1</v>
      </c>
      <c r="R218" t="str" cm="1">
        <f t="array" ref="R2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18" t="e">
        <f>IF(Table13[[#This Row],[Category All]]="Category 1", "Yes",NA())</f>
        <v>#N/A</v>
      </c>
      <c r="T218" t="e">
        <f>IF(Table13[[#This Row],[Category All]]="Category 2", "Yes",NA())</f>
        <v>#N/A</v>
      </c>
      <c r="U218" t="str">
        <f>IF(Table13[[#This Row],[Category All]]="Category 3", "Yes",NA())</f>
        <v>Yes</v>
      </c>
      <c r="V218">
        <f>SUM(1,(1/3)*(Table13[[#This Row],[Length]]-0.5),(1/3)*(Table13[[#This Row],[Diameter]]-0.4),(1/3)*(Table13[[#This Row],[Height]]-0.4)*Table13[[#This Row],[Whole_weight]]*0.5)</f>
        <v>0.94131583333333324</v>
      </c>
      <c r="W218" cm="1">
        <f t="array" ref="W2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0.94131583333333324</v>
      </c>
      <c r="X218" t="e">
        <f>IF(Table13[[#This Row],[Category All]]="Category 1",Table13[[#This Row],[Base Abalone Value]]*1.5,NA())</f>
        <v>#N/A</v>
      </c>
      <c r="Y218" t="e">
        <f>IF(Table13[[#This Row],[Category All]]="Category 2",Table13[[#This Row],[Base Abalone Value]]*0.8,NA())</f>
        <v>#N/A</v>
      </c>
      <c r="Z218">
        <f>IF(Table13[[#This Row],[Category All]]="Category 3",Table13[[#This Row],[Base Abalone Value]],NA())</f>
        <v>0.94131583333333324</v>
      </c>
      <c r="AA218" s="2">
        <f>IF(Table13[[#This Row],[Gender]]="M",Table13[[#This Row],[Whole_weight]],NA())</f>
        <v>1.0289999999999999</v>
      </c>
      <c r="AB218" s="2" t="e">
        <f>IF(Table13[[#This Row],[Gender]]="F",Table13[[#This Row],[Whole_weight]],NA())</f>
        <v>#N/A</v>
      </c>
      <c r="AC218" s="2" t="e">
        <f>IF(Table13[[#This Row],[Gender]]="I",Table13[[#This Row],[Whole_weight]],NA())</f>
        <v>#N/A</v>
      </c>
      <c r="AD218" s="2">
        <f>IF(Table13[[#This Row],[Gender]]="M",Table13[[#This Row],[Diameter]],NA())</f>
        <v>0.36499999999999999</v>
      </c>
      <c r="AE218" s="2" t="e">
        <f>IF(Table13[[#This Row],[Gender]]="F",Table13[[#This Row],[Diameter]],NA())</f>
        <v>#N/A</v>
      </c>
      <c r="AF218" s="2" t="e">
        <f>IF(Table13[[#This Row],[Gender]]="I",Table13[[#This Row],[Diameter]],NA())</f>
        <v>#N/A</v>
      </c>
    </row>
    <row r="219" spans="1:32" x14ac:dyDescent="0.2">
      <c r="A219">
        <v>550</v>
      </c>
      <c r="B219" t="s">
        <v>11</v>
      </c>
      <c r="C219">
        <v>0.55500000000000005</v>
      </c>
      <c r="D219">
        <v>0.42499999999999999</v>
      </c>
      <c r="E219">
        <v>0.18</v>
      </c>
      <c r="F219">
        <v>0.875</v>
      </c>
      <c r="G219">
        <v>0.3695</v>
      </c>
      <c r="H219">
        <v>0.20050000000000001</v>
      </c>
      <c r="I219">
        <v>0.255</v>
      </c>
      <c r="J219">
        <v>11</v>
      </c>
      <c r="K219">
        <v>5</v>
      </c>
      <c r="L219" t="s">
        <v>26</v>
      </c>
      <c r="M219" t="s">
        <v>27</v>
      </c>
      <c r="N219" t="s">
        <v>28</v>
      </c>
      <c r="O219">
        <v>8</v>
      </c>
      <c r="P219" t="s">
        <v>19</v>
      </c>
      <c r="Q219">
        <v>12.3</v>
      </c>
      <c r="R219" t="str" cm="1">
        <f t="array" ref="R2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19" t="e">
        <f>IF(Table13[[#This Row],[Category All]]="Category 1", "Yes",NA())</f>
        <v>#N/A</v>
      </c>
      <c r="T219" t="str">
        <f>IF(Table13[[#This Row],[Category All]]="Category 2", "Yes",NA())</f>
        <v>Yes</v>
      </c>
      <c r="U219" t="e">
        <f>IF(Table13[[#This Row],[Category All]]="Category 3", "Yes",NA())</f>
        <v>#N/A</v>
      </c>
      <c r="V219">
        <f>SUM(1,(1/3)*(Table13[[#This Row],[Length]]-0.5),(1/3)*(Table13[[#This Row],[Diameter]]-0.4),(1/3)*(Table13[[#This Row],[Height]]-0.4)*Table13[[#This Row],[Whole_weight]]*0.5)</f>
        <v>0.99458333333333326</v>
      </c>
      <c r="W219" cm="1">
        <f t="array" ref="W2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0.79566666666666663</v>
      </c>
      <c r="X219" t="e">
        <f>IF(Table13[[#This Row],[Category All]]="Category 1",Table13[[#This Row],[Base Abalone Value]]*1.5,NA())</f>
        <v>#N/A</v>
      </c>
      <c r="Y219">
        <f>IF(Table13[[#This Row],[Category All]]="Category 2",Table13[[#This Row],[Base Abalone Value]]*0.8,NA())</f>
        <v>0.79566666666666663</v>
      </c>
      <c r="Z219" t="e">
        <f>IF(Table13[[#This Row],[Category All]]="Category 3",Table13[[#This Row],[Base Abalone Value]],NA())</f>
        <v>#N/A</v>
      </c>
      <c r="AA219" s="2" t="e">
        <f>IF(Table13[[#This Row],[Gender]]="M",Table13[[#This Row],[Whole_weight]],NA())</f>
        <v>#N/A</v>
      </c>
      <c r="AB219" s="2" t="e">
        <f>IF(Table13[[#This Row],[Gender]]="F",Table13[[#This Row],[Whole_weight]],NA())</f>
        <v>#N/A</v>
      </c>
      <c r="AC219" s="2">
        <f>IF(Table13[[#This Row],[Gender]]="I",Table13[[#This Row],[Whole_weight]],NA())</f>
        <v>0.875</v>
      </c>
      <c r="AD219" s="2" t="e">
        <f>IF(Table13[[#This Row],[Gender]]="M",Table13[[#This Row],[Diameter]],NA())</f>
        <v>#N/A</v>
      </c>
      <c r="AE219" s="2" t="e">
        <f>IF(Table13[[#This Row],[Gender]]="F",Table13[[#This Row],[Diameter]],NA())</f>
        <v>#N/A</v>
      </c>
      <c r="AF219" s="2">
        <f>IF(Table13[[#This Row],[Gender]]="I",Table13[[#This Row],[Diameter]],NA())</f>
        <v>0.42499999999999999</v>
      </c>
    </row>
    <row r="220" spans="1:32" x14ac:dyDescent="0.2">
      <c r="A220">
        <v>857</v>
      </c>
      <c r="B220" t="s">
        <v>15</v>
      </c>
      <c r="C220">
        <v>0.59</v>
      </c>
      <c r="D220">
        <v>0.47499999999999998</v>
      </c>
      <c r="E220">
        <v>0.16500000000000001</v>
      </c>
      <c r="F220">
        <v>1.077</v>
      </c>
      <c r="G220">
        <v>0.45450000000000002</v>
      </c>
      <c r="H220">
        <v>0.24399999999999999</v>
      </c>
      <c r="I220">
        <v>0.3095</v>
      </c>
      <c r="J220">
        <v>9</v>
      </c>
      <c r="K220">
        <v>1</v>
      </c>
      <c r="L220" t="s">
        <v>8</v>
      </c>
      <c r="M220" t="s">
        <v>9</v>
      </c>
      <c r="N220" t="s">
        <v>3</v>
      </c>
      <c r="O220">
        <v>5</v>
      </c>
      <c r="P220" t="s">
        <v>14</v>
      </c>
      <c r="Q220">
        <v>12.8</v>
      </c>
      <c r="R220" t="str" cm="1">
        <f t="array" ref="R2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20" t="e">
        <f>IF(Table13[[#This Row],[Category All]]="Category 1", "Yes",NA())</f>
        <v>#N/A</v>
      </c>
      <c r="T220" t="e">
        <f>IF(Table13[[#This Row],[Category All]]="Category 2", "Yes",NA())</f>
        <v>#N/A</v>
      </c>
      <c r="U220" t="str">
        <f>IF(Table13[[#This Row],[Category All]]="Category 3", "Yes",NA())</f>
        <v>Yes</v>
      </c>
      <c r="V220">
        <f>SUM(1,(1/3)*(Table13[[#This Row],[Length]]-0.5),(1/3)*(Table13[[#This Row],[Diameter]]-0.4),(1/3)*(Table13[[#This Row],[Height]]-0.4)*Table13[[#This Row],[Whole_weight]]*0.5)</f>
        <v>1.0128174999999999</v>
      </c>
      <c r="W220" cm="1">
        <f t="array" ref="W2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1.0128174999999999</v>
      </c>
      <c r="X220" t="e">
        <f>IF(Table13[[#This Row],[Category All]]="Category 1",Table13[[#This Row],[Base Abalone Value]]*1.5,NA())</f>
        <v>#N/A</v>
      </c>
      <c r="Y220" t="e">
        <f>IF(Table13[[#This Row],[Category All]]="Category 2",Table13[[#This Row],[Base Abalone Value]]*0.8,NA())</f>
        <v>#N/A</v>
      </c>
      <c r="Z220">
        <f>IF(Table13[[#This Row],[Category All]]="Category 3",Table13[[#This Row],[Base Abalone Value]],NA())</f>
        <v>1.0128174999999999</v>
      </c>
      <c r="AA220" s="2">
        <f>IF(Table13[[#This Row],[Gender]]="M",Table13[[#This Row],[Whole_weight]],NA())</f>
        <v>1.077</v>
      </c>
      <c r="AB220" s="2" t="e">
        <f>IF(Table13[[#This Row],[Gender]]="F",Table13[[#This Row],[Whole_weight]],NA())</f>
        <v>#N/A</v>
      </c>
      <c r="AC220" s="2" t="e">
        <f>IF(Table13[[#This Row],[Gender]]="I",Table13[[#This Row],[Whole_weight]],NA())</f>
        <v>#N/A</v>
      </c>
      <c r="AD220" s="2">
        <f>IF(Table13[[#This Row],[Gender]]="M",Table13[[#This Row],[Diameter]],NA())</f>
        <v>0.47499999999999998</v>
      </c>
      <c r="AE220" s="2" t="e">
        <f>IF(Table13[[#This Row],[Gender]]="F",Table13[[#This Row],[Diameter]],NA())</f>
        <v>#N/A</v>
      </c>
      <c r="AF220" s="2" t="e">
        <f>IF(Table13[[#This Row],[Gender]]="I",Table13[[#This Row],[Diameter]],NA())</f>
        <v>#N/A</v>
      </c>
    </row>
    <row r="221" spans="1:32" x14ac:dyDescent="0.2">
      <c r="A221">
        <v>1374</v>
      </c>
      <c r="B221" t="s">
        <v>15</v>
      </c>
      <c r="C221">
        <v>0.61499999999999999</v>
      </c>
      <c r="D221">
        <v>0.47499999999999998</v>
      </c>
      <c r="E221">
        <v>0.17</v>
      </c>
      <c r="F221">
        <v>1.129</v>
      </c>
      <c r="G221">
        <v>0.47949999999999998</v>
      </c>
      <c r="H221">
        <v>0.30199999999999999</v>
      </c>
      <c r="I221">
        <v>0.3</v>
      </c>
      <c r="J221">
        <v>10</v>
      </c>
      <c r="K221">
        <v>15</v>
      </c>
      <c r="L221" t="s">
        <v>49</v>
      </c>
      <c r="M221" t="s">
        <v>50</v>
      </c>
      <c r="N221" t="s">
        <v>3</v>
      </c>
      <c r="O221">
        <v>5</v>
      </c>
      <c r="P221" t="s">
        <v>14</v>
      </c>
      <c r="Q221">
        <v>12.8</v>
      </c>
      <c r="R221" t="str" cm="1">
        <f t="array" ref="R2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21" t="e">
        <f>IF(Table13[[#This Row],[Category All]]="Category 1", "Yes",NA())</f>
        <v>#N/A</v>
      </c>
      <c r="T221" t="e">
        <f>IF(Table13[[#This Row],[Category All]]="Category 2", "Yes",NA())</f>
        <v>#N/A</v>
      </c>
      <c r="U221" t="str">
        <f>IF(Table13[[#This Row],[Category All]]="Category 3", "Yes",NA())</f>
        <v>Yes</v>
      </c>
      <c r="V221">
        <f>SUM(1,(1/3)*(Table13[[#This Row],[Length]]-0.5),(1/3)*(Table13[[#This Row],[Diameter]]-0.4),(1/3)*(Table13[[#This Row],[Height]]-0.4)*Table13[[#This Row],[Whole_weight]]*0.5)</f>
        <v>1.0200549999999999</v>
      </c>
      <c r="W221" cm="1">
        <f t="array" ref="W2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1.0200549999999999</v>
      </c>
      <c r="X221" t="e">
        <f>IF(Table13[[#This Row],[Category All]]="Category 1",Table13[[#This Row],[Base Abalone Value]]*1.5,NA())</f>
        <v>#N/A</v>
      </c>
      <c r="Y221" t="e">
        <f>IF(Table13[[#This Row],[Category All]]="Category 2",Table13[[#This Row],[Base Abalone Value]]*0.8,NA())</f>
        <v>#N/A</v>
      </c>
      <c r="Z221">
        <f>IF(Table13[[#This Row],[Category All]]="Category 3",Table13[[#This Row],[Base Abalone Value]],NA())</f>
        <v>1.0200549999999999</v>
      </c>
      <c r="AA221" s="2">
        <f>IF(Table13[[#This Row],[Gender]]="M",Table13[[#This Row],[Whole_weight]],NA())</f>
        <v>1.129</v>
      </c>
      <c r="AB221" s="2" t="e">
        <f>IF(Table13[[#This Row],[Gender]]="F",Table13[[#This Row],[Whole_weight]],NA())</f>
        <v>#N/A</v>
      </c>
      <c r="AC221" s="2" t="e">
        <f>IF(Table13[[#This Row],[Gender]]="I",Table13[[#This Row],[Whole_weight]],NA())</f>
        <v>#N/A</v>
      </c>
      <c r="AD221" s="2">
        <f>IF(Table13[[#This Row],[Gender]]="M",Table13[[#This Row],[Diameter]],NA())</f>
        <v>0.47499999999999998</v>
      </c>
      <c r="AE221" s="2" t="e">
        <f>IF(Table13[[#This Row],[Gender]]="F",Table13[[#This Row],[Diameter]],NA())</f>
        <v>#N/A</v>
      </c>
      <c r="AF221" s="2" t="e">
        <f>IF(Table13[[#This Row],[Gender]]="I",Table13[[#This Row],[Diameter]],NA())</f>
        <v>#N/A</v>
      </c>
    </row>
    <row r="222" spans="1:32" x14ac:dyDescent="0.2">
      <c r="A222">
        <v>1681</v>
      </c>
      <c r="B222" t="s">
        <v>15</v>
      </c>
      <c r="C222">
        <v>0.62</v>
      </c>
      <c r="D222">
        <v>0.51500000000000001</v>
      </c>
      <c r="E222">
        <v>0.17499999999999999</v>
      </c>
      <c r="F222">
        <v>1.2210000000000001</v>
      </c>
      <c r="G222">
        <v>0.53500000000000003</v>
      </c>
      <c r="H222">
        <v>0.24099999999999999</v>
      </c>
      <c r="I222">
        <v>0.39500000000000002</v>
      </c>
      <c r="J222">
        <v>13</v>
      </c>
      <c r="K222">
        <v>4</v>
      </c>
      <c r="L222" t="s">
        <v>52</v>
      </c>
      <c r="M222" t="s">
        <v>53</v>
      </c>
      <c r="N222" t="s">
        <v>54</v>
      </c>
      <c r="O222">
        <v>5</v>
      </c>
      <c r="P222" t="s">
        <v>14</v>
      </c>
      <c r="Q222">
        <v>12.8</v>
      </c>
      <c r="R222" t="str" cm="1">
        <f t="array" ref="R2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22" t="e">
        <f>IF(Table13[[#This Row],[Category All]]="Category 1", "Yes",NA())</f>
        <v>#N/A</v>
      </c>
      <c r="T222" t="e">
        <f>IF(Table13[[#This Row],[Category All]]="Category 2", "Yes",NA())</f>
        <v>#N/A</v>
      </c>
      <c r="U222" t="str">
        <f>IF(Table13[[#This Row],[Category All]]="Category 3", "Yes",NA())</f>
        <v>Yes</v>
      </c>
      <c r="V222">
        <f>SUM(1,(1/3)*(Table13[[#This Row],[Length]]-0.5),(1/3)*(Table13[[#This Row],[Diameter]]-0.4),(1/3)*(Table13[[#This Row],[Height]]-0.4)*Table13[[#This Row],[Whole_weight]]*0.5)</f>
        <v>1.0325458333333333</v>
      </c>
      <c r="W222" cm="1">
        <f t="array" ref="W2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1.0325458333333333</v>
      </c>
      <c r="X222" t="e">
        <f>IF(Table13[[#This Row],[Category All]]="Category 1",Table13[[#This Row],[Base Abalone Value]]*1.5,NA())</f>
        <v>#N/A</v>
      </c>
      <c r="Y222" t="e">
        <f>IF(Table13[[#This Row],[Category All]]="Category 2",Table13[[#This Row],[Base Abalone Value]]*0.8,NA())</f>
        <v>#N/A</v>
      </c>
      <c r="Z222">
        <f>IF(Table13[[#This Row],[Category All]]="Category 3",Table13[[#This Row],[Base Abalone Value]],NA())</f>
        <v>1.0325458333333333</v>
      </c>
      <c r="AA222" s="2">
        <f>IF(Table13[[#This Row],[Gender]]="M",Table13[[#This Row],[Whole_weight]],NA())</f>
        <v>1.2210000000000001</v>
      </c>
      <c r="AB222" s="2" t="e">
        <f>IF(Table13[[#This Row],[Gender]]="F",Table13[[#This Row],[Whole_weight]],NA())</f>
        <v>#N/A</v>
      </c>
      <c r="AC222" s="2" t="e">
        <f>IF(Table13[[#This Row],[Gender]]="I",Table13[[#This Row],[Whole_weight]],NA())</f>
        <v>#N/A</v>
      </c>
      <c r="AD222" s="2">
        <f>IF(Table13[[#This Row],[Gender]]="M",Table13[[#This Row],[Diameter]],NA())</f>
        <v>0.51500000000000001</v>
      </c>
      <c r="AE222" s="2" t="e">
        <f>IF(Table13[[#This Row],[Gender]]="F",Table13[[#This Row],[Diameter]],NA())</f>
        <v>#N/A</v>
      </c>
      <c r="AF222" s="2" t="e">
        <f>IF(Table13[[#This Row],[Gender]]="I",Table13[[#This Row],[Diameter]],NA())</f>
        <v>#N/A</v>
      </c>
    </row>
    <row r="223" spans="1:32" x14ac:dyDescent="0.2">
      <c r="A223">
        <v>3106</v>
      </c>
      <c r="B223" t="s">
        <v>11</v>
      </c>
      <c r="C223">
        <v>0.28999999999999998</v>
      </c>
      <c r="D223">
        <v>0.215</v>
      </c>
      <c r="E223">
        <v>0.06</v>
      </c>
      <c r="F223">
        <v>0.1115</v>
      </c>
      <c r="G223">
        <v>5.2999999999999999E-2</v>
      </c>
      <c r="H223">
        <v>1.8499999999999999E-2</v>
      </c>
      <c r="I223">
        <v>3.2000000000000001E-2</v>
      </c>
      <c r="J223">
        <v>5</v>
      </c>
      <c r="K223">
        <v>14</v>
      </c>
      <c r="L223" t="s">
        <v>23</v>
      </c>
      <c r="M223" t="s">
        <v>24</v>
      </c>
      <c r="N223" t="s">
        <v>25</v>
      </c>
      <c r="O223">
        <v>2</v>
      </c>
      <c r="P223" t="s">
        <v>7</v>
      </c>
      <c r="Q223">
        <v>18</v>
      </c>
      <c r="R223" t="str" cm="1">
        <f t="array" ref="R2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23" t="e">
        <f>IF(Table13[[#This Row],[Category All]]="Category 1", "Yes",NA())</f>
        <v>#N/A</v>
      </c>
      <c r="T223" t="str">
        <f>IF(Table13[[#This Row],[Category All]]="Category 2", "Yes",NA())</f>
        <v>Yes</v>
      </c>
      <c r="U223" t="e">
        <f>IF(Table13[[#This Row],[Category All]]="Category 3", "Yes",NA())</f>
        <v>#N/A</v>
      </c>
      <c r="V223">
        <f>SUM(1,(1/3)*(Table13[[#This Row],[Length]]-0.5),(1/3)*(Table13[[#This Row],[Diameter]]-0.4),(1/3)*(Table13[[#This Row],[Height]]-0.4)*Table13[[#This Row],[Whole_weight]]*0.5)</f>
        <v>0.86201499999999998</v>
      </c>
      <c r="W223" cm="1">
        <f t="array" ref="W2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0.689612</v>
      </c>
      <c r="X223" t="e">
        <f>IF(Table13[[#This Row],[Category All]]="Category 1",Table13[[#This Row],[Base Abalone Value]]*1.5,NA())</f>
        <v>#N/A</v>
      </c>
      <c r="Y223">
        <f>IF(Table13[[#This Row],[Category All]]="Category 2",Table13[[#This Row],[Base Abalone Value]]*0.8,NA())</f>
        <v>0.689612</v>
      </c>
      <c r="Z223" t="e">
        <f>IF(Table13[[#This Row],[Category All]]="Category 3",Table13[[#This Row],[Base Abalone Value]],NA())</f>
        <v>#N/A</v>
      </c>
      <c r="AA223" s="2" t="e">
        <f>IF(Table13[[#This Row],[Gender]]="M",Table13[[#This Row],[Whole_weight]],NA())</f>
        <v>#N/A</v>
      </c>
      <c r="AB223" s="2" t="e">
        <f>IF(Table13[[#This Row],[Gender]]="F",Table13[[#This Row],[Whole_weight]],NA())</f>
        <v>#N/A</v>
      </c>
      <c r="AC223" s="2">
        <f>IF(Table13[[#This Row],[Gender]]="I",Table13[[#This Row],[Whole_weight]],NA())</f>
        <v>0.1115</v>
      </c>
      <c r="AD223" s="2" t="e">
        <f>IF(Table13[[#This Row],[Gender]]="M",Table13[[#This Row],[Diameter]],NA())</f>
        <v>#N/A</v>
      </c>
      <c r="AE223" s="2" t="e">
        <f>IF(Table13[[#This Row],[Gender]]="F",Table13[[#This Row],[Diameter]],NA())</f>
        <v>#N/A</v>
      </c>
      <c r="AF223" s="2">
        <f>IF(Table13[[#This Row],[Gender]]="I",Table13[[#This Row],[Diameter]],NA())</f>
        <v>0.215</v>
      </c>
    </row>
    <row r="224" spans="1:32" x14ac:dyDescent="0.2">
      <c r="A224">
        <v>2544</v>
      </c>
      <c r="B224" t="s">
        <v>0</v>
      </c>
      <c r="C224">
        <v>0.7</v>
      </c>
      <c r="D224">
        <v>0.52500000000000002</v>
      </c>
      <c r="E224">
        <v>0.19</v>
      </c>
      <c r="F224">
        <v>1.6014999999999999</v>
      </c>
      <c r="G224">
        <v>0.70699999999999996</v>
      </c>
      <c r="H224">
        <v>0.36499999999999999</v>
      </c>
      <c r="I224">
        <v>0.43</v>
      </c>
      <c r="J224">
        <v>10</v>
      </c>
      <c r="K224">
        <v>1</v>
      </c>
      <c r="L224" t="s">
        <v>8</v>
      </c>
      <c r="M224" t="s">
        <v>9</v>
      </c>
      <c r="N224" t="s">
        <v>3</v>
      </c>
      <c r="O224">
        <v>3</v>
      </c>
      <c r="P224" t="s">
        <v>48</v>
      </c>
      <c r="Q224">
        <v>3.6</v>
      </c>
      <c r="R224" t="str" cm="1">
        <f t="array" ref="R2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24" t="e">
        <f>IF(Table13[[#This Row],[Category All]]="Category 1", "Yes",NA())</f>
        <v>#N/A</v>
      </c>
      <c r="T224" t="e">
        <f>IF(Table13[[#This Row],[Category All]]="Category 2", "Yes",NA())</f>
        <v>#N/A</v>
      </c>
      <c r="U224" t="str">
        <f>IF(Table13[[#This Row],[Category All]]="Category 3", "Yes",NA())</f>
        <v>Yes</v>
      </c>
      <c r="V224">
        <f>SUM(1,(1/3)*(Table13[[#This Row],[Length]]-0.5),(1/3)*(Table13[[#This Row],[Diameter]]-0.4),(1/3)*(Table13[[#This Row],[Height]]-0.4)*Table13[[#This Row],[Whole_weight]]*0.5)</f>
        <v>1.0522808333333333</v>
      </c>
      <c r="W224" cm="1">
        <f t="array" ref="W2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1.0522808333333333</v>
      </c>
      <c r="X224" t="e">
        <f>IF(Table13[[#This Row],[Category All]]="Category 1",Table13[[#This Row],[Base Abalone Value]]*1.5,NA())</f>
        <v>#N/A</v>
      </c>
      <c r="Y224" t="e">
        <f>IF(Table13[[#This Row],[Category All]]="Category 2",Table13[[#This Row],[Base Abalone Value]]*0.8,NA())</f>
        <v>#N/A</v>
      </c>
      <c r="Z224">
        <f>IF(Table13[[#This Row],[Category All]]="Category 3",Table13[[#This Row],[Base Abalone Value]],NA())</f>
        <v>1.0522808333333333</v>
      </c>
      <c r="AA224" s="2" t="e">
        <f>IF(Table13[[#This Row],[Gender]]="M",Table13[[#This Row],[Whole_weight]],NA())</f>
        <v>#N/A</v>
      </c>
      <c r="AB224" s="2">
        <f>IF(Table13[[#This Row],[Gender]]="F",Table13[[#This Row],[Whole_weight]],NA())</f>
        <v>1.6014999999999999</v>
      </c>
      <c r="AC224" s="2" t="e">
        <f>IF(Table13[[#This Row],[Gender]]="I",Table13[[#This Row],[Whole_weight]],NA())</f>
        <v>#N/A</v>
      </c>
      <c r="AD224" s="2" t="e">
        <f>IF(Table13[[#This Row],[Gender]]="M",Table13[[#This Row],[Diameter]],NA())</f>
        <v>#N/A</v>
      </c>
      <c r="AE224" s="2">
        <f>IF(Table13[[#This Row],[Gender]]="F",Table13[[#This Row],[Diameter]],NA())</f>
        <v>0.52500000000000002</v>
      </c>
      <c r="AF224" s="2" t="e">
        <f>IF(Table13[[#This Row],[Gender]]="I",Table13[[#This Row],[Diameter]],NA())</f>
        <v>#N/A</v>
      </c>
    </row>
    <row r="225" spans="1:32" x14ac:dyDescent="0.2">
      <c r="A225">
        <v>1938</v>
      </c>
      <c r="B225" t="s">
        <v>15</v>
      </c>
      <c r="C225">
        <v>0.625</v>
      </c>
      <c r="D225">
        <v>0.51500000000000001</v>
      </c>
      <c r="E225">
        <v>0.17</v>
      </c>
      <c r="F225">
        <v>1.331</v>
      </c>
      <c r="G225">
        <v>0.57250000000000001</v>
      </c>
      <c r="H225">
        <v>0.30049999999999999</v>
      </c>
      <c r="I225">
        <v>0.36099999999999999</v>
      </c>
      <c r="J225">
        <v>9</v>
      </c>
      <c r="K225">
        <v>14</v>
      </c>
      <c r="L225" t="s">
        <v>23</v>
      </c>
      <c r="M225" t="s">
        <v>24</v>
      </c>
      <c r="N225" t="s">
        <v>25</v>
      </c>
      <c r="O225">
        <v>8</v>
      </c>
      <c r="P225" t="s">
        <v>19</v>
      </c>
      <c r="Q225">
        <v>12.3</v>
      </c>
      <c r="R225" t="str" cm="1">
        <f t="array" ref="R2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25" t="e">
        <f>IF(Table13[[#This Row],[Category All]]="Category 1", "Yes",NA())</f>
        <v>#N/A</v>
      </c>
      <c r="T225" t="e">
        <f>IF(Table13[[#This Row],[Category All]]="Category 2", "Yes",NA())</f>
        <v>#N/A</v>
      </c>
      <c r="U225" t="str">
        <f>IF(Table13[[#This Row],[Category All]]="Category 3", "Yes",NA())</f>
        <v>Yes</v>
      </c>
      <c r="V225">
        <f>SUM(1,(1/3)*(Table13[[#This Row],[Length]]-0.5),(1/3)*(Table13[[#This Row],[Diameter]]-0.4),(1/3)*(Table13[[#This Row],[Height]]-0.4)*Table13[[#This Row],[Whole_weight]]*0.5)</f>
        <v>1.0289783333333333</v>
      </c>
      <c r="W225" cm="1">
        <f t="array" ref="W2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1.0289783333333333</v>
      </c>
      <c r="X225" t="e">
        <f>IF(Table13[[#This Row],[Category All]]="Category 1",Table13[[#This Row],[Base Abalone Value]]*1.5,NA())</f>
        <v>#N/A</v>
      </c>
      <c r="Y225" t="e">
        <f>IF(Table13[[#This Row],[Category All]]="Category 2",Table13[[#This Row],[Base Abalone Value]]*0.8,NA())</f>
        <v>#N/A</v>
      </c>
      <c r="Z225">
        <f>IF(Table13[[#This Row],[Category All]]="Category 3",Table13[[#This Row],[Base Abalone Value]],NA())</f>
        <v>1.0289783333333333</v>
      </c>
      <c r="AA225" s="2">
        <f>IF(Table13[[#This Row],[Gender]]="M",Table13[[#This Row],[Whole_weight]],NA())</f>
        <v>1.331</v>
      </c>
      <c r="AB225" s="2" t="e">
        <f>IF(Table13[[#This Row],[Gender]]="F",Table13[[#This Row],[Whole_weight]],NA())</f>
        <v>#N/A</v>
      </c>
      <c r="AC225" s="2" t="e">
        <f>IF(Table13[[#This Row],[Gender]]="I",Table13[[#This Row],[Whole_weight]],NA())</f>
        <v>#N/A</v>
      </c>
      <c r="AD225" s="2">
        <f>IF(Table13[[#This Row],[Gender]]="M",Table13[[#This Row],[Diameter]],NA())</f>
        <v>0.51500000000000001</v>
      </c>
      <c r="AE225" s="2" t="e">
        <f>IF(Table13[[#This Row],[Gender]]="F",Table13[[#This Row],[Diameter]],NA())</f>
        <v>#N/A</v>
      </c>
      <c r="AF225" s="2" t="e">
        <f>IF(Table13[[#This Row],[Gender]]="I",Table13[[#This Row],[Diameter]],NA())</f>
        <v>#N/A</v>
      </c>
    </row>
    <row r="226" spans="1:32" x14ac:dyDescent="0.2">
      <c r="A226">
        <v>99</v>
      </c>
      <c r="B226" t="s">
        <v>15</v>
      </c>
      <c r="C226">
        <v>0.47</v>
      </c>
      <c r="D226">
        <v>0.37</v>
      </c>
      <c r="E226">
        <v>0.13</v>
      </c>
      <c r="F226">
        <v>0.52249999999999996</v>
      </c>
      <c r="G226">
        <v>0.20100000000000001</v>
      </c>
      <c r="H226">
        <v>0.13300000000000001</v>
      </c>
      <c r="I226">
        <v>0.16500000000000001</v>
      </c>
      <c r="J226">
        <v>7</v>
      </c>
      <c r="K226">
        <v>13</v>
      </c>
      <c r="L226" t="s">
        <v>12</v>
      </c>
      <c r="M226" t="s">
        <v>13</v>
      </c>
      <c r="N226" t="s">
        <v>3</v>
      </c>
      <c r="O226">
        <v>6</v>
      </c>
      <c r="P226" t="s">
        <v>47</v>
      </c>
      <c r="Q226">
        <v>14.1</v>
      </c>
      <c r="R226" t="str" cm="1">
        <f t="array" ref="R2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26" t="e">
        <f>IF(Table13[[#This Row],[Category All]]="Category 1", "Yes",NA())</f>
        <v>#N/A</v>
      </c>
      <c r="T226" t="str">
        <f>IF(Table13[[#This Row],[Category All]]="Category 2", "Yes",NA())</f>
        <v>Yes</v>
      </c>
      <c r="U226" t="e">
        <f>IF(Table13[[#This Row],[Category All]]="Category 3", "Yes",NA())</f>
        <v>#N/A</v>
      </c>
      <c r="V226">
        <f>SUM(1,(1/3)*(Table13[[#This Row],[Length]]-0.5),(1/3)*(Table13[[#This Row],[Diameter]]-0.4),(1/3)*(Table13[[#This Row],[Height]]-0.4)*Table13[[#This Row],[Whole_weight]]*0.5)</f>
        <v>0.95648749999999993</v>
      </c>
      <c r="W226" cm="1">
        <f t="array" ref="W2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0.76519000000000004</v>
      </c>
      <c r="X226" t="e">
        <f>IF(Table13[[#This Row],[Category All]]="Category 1",Table13[[#This Row],[Base Abalone Value]]*1.5,NA())</f>
        <v>#N/A</v>
      </c>
      <c r="Y226">
        <f>IF(Table13[[#This Row],[Category All]]="Category 2",Table13[[#This Row],[Base Abalone Value]]*0.8,NA())</f>
        <v>0.76519000000000004</v>
      </c>
      <c r="Z226" t="e">
        <f>IF(Table13[[#This Row],[Category All]]="Category 3",Table13[[#This Row],[Base Abalone Value]],NA())</f>
        <v>#N/A</v>
      </c>
      <c r="AA226" s="2">
        <f>IF(Table13[[#This Row],[Gender]]="M",Table13[[#This Row],[Whole_weight]],NA())</f>
        <v>0.52249999999999996</v>
      </c>
      <c r="AB226" s="2" t="e">
        <f>IF(Table13[[#This Row],[Gender]]="F",Table13[[#This Row],[Whole_weight]],NA())</f>
        <v>#N/A</v>
      </c>
      <c r="AC226" s="2" t="e">
        <f>IF(Table13[[#This Row],[Gender]]="I",Table13[[#This Row],[Whole_weight]],NA())</f>
        <v>#N/A</v>
      </c>
      <c r="AD226" s="2">
        <f>IF(Table13[[#This Row],[Gender]]="M",Table13[[#This Row],[Diameter]],NA())</f>
        <v>0.37</v>
      </c>
      <c r="AE226" s="2" t="e">
        <f>IF(Table13[[#This Row],[Gender]]="F",Table13[[#This Row],[Diameter]],NA())</f>
        <v>#N/A</v>
      </c>
      <c r="AF226" s="2" t="e">
        <f>IF(Table13[[#This Row],[Gender]]="I",Table13[[#This Row],[Diameter]],NA())</f>
        <v>#N/A</v>
      </c>
    </row>
    <row r="227" spans="1:32" x14ac:dyDescent="0.2">
      <c r="A227">
        <v>2706</v>
      </c>
      <c r="B227" t="s">
        <v>15</v>
      </c>
      <c r="C227">
        <v>0.7</v>
      </c>
      <c r="D227">
        <v>0.55000000000000004</v>
      </c>
      <c r="E227">
        <v>0.2</v>
      </c>
      <c r="F227">
        <v>1.5229999999999999</v>
      </c>
      <c r="G227">
        <v>0.69299999999999995</v>
      </c>
      <c r="H227">
        <v>0.30599999999999999</v>
      </c>
      <c r="I227">
        <v>0.4405</v>
      </c>
      <c r="J227">
        <v>13</v>
      </c>
      <c r="K227">
        <v>5</v>
      </c>
      <c r="L227" t="s">
        <v>26</v>
      </c>
      <c r="M227" t="s">
        <v>27</v>
      </c>
      <c r="N227" t="s">
        <v>28</v>
      </c>
      <c r="O227">
        <v>2</v>
      </c>
      <c r="P227" t="s">
        <v>7</v>
      </c>
      <c r="Q227">
        <v>18</v>
      </c>
      <c r="R227" t="str" cm="1">
        <f t="array" ref="R2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27" t="e">
        <f>IF(Table13[[#This Row],[Category All]]="Category 1", "Yes",NA())</f>
        <v>#N/A</v>
      </c>
      <c r="T227" t="e">
        <f>IF(Table13[[#This Row],[Category All]]="Category 2", "Yes",NA())</f>
        <v>#N/A</v>
      </c>
      <c r="U227" t="str">
        <f>IF(Table13[[#This Row],[Category All]]="Category 3", "Yes",NA())</f>
        <v>Yes</v>
      </c>
      <c r="V227">
        <f>SUM(1,(1/3)*(Table13[[#This Row],[Length]]-0.5),(1/3)*(Table13[[#This Row],[Diameter]]-0.4),(1/3)*(Table13[[#This Row],[Height]]-0.4)*Table13[[#This Row],[Whole_weight]]*0.5)</f>
        <v>1.0659000000000001</v>
      </c>
      <c r="W227" cm="1">
        <f t="array" ref="W2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1.0659000000000001</v>
      </c>
      <c r="X227" t="e">
        <f>IF(Table13[[#This Row],[Category All]]="Category 1",Table13[[#This Row],[Base Abalone Value]]*1.5,NA())</f>
        <v>#N/A</v>
      </c>
      <c r="Y227" t="e">
        <f>IF(Table13[[#This Row],[Category All]]="Category 2",Table13[[#This Row],[Base Abalone Value]]*0.8,NA())</f>
        <v>#N/A</v>
      </c>
      <c r="Z227">
        <f>IF(Table13[[#This Row],[Category All]]="Category 3",Table13[[#This Row],[Base Abalone Value]],NA())</f>
        <v>1.0659000000000001</v>
      </c>
      <c r="AA227" s="2">
        <f>IF(Table13[[#This Row],[Gender]]="M",Table13[[#This Row],[Whole_weight]],NA())</f>
        <v>1.5229999999999999</v>
      </c>
      <c r="AB227" s="2" t="e">
        <f>IF(Table13[[#This Row],[Gender]]="F",Table13[[#This Row],[Whole_weight]],NA())</f>
        <v>#N/A</v>
      </c>
      <c r="AC227" s="2" t="e">
        <f>IF(Table13[[#This Row],[Gender]]="I",Table13[[#This Row],[Whole_weight]],NA())</f>
        <v>#N/A</v>
      </c>
      <c r="AD227" s="2">
        <f>IF(Table13[[#This Row],[Gender]]="M",Table13[[#This Row],[Diameter]],NA())</f>
        <v>0.55000000000000004</v>
      </c>
      <c r="AE227" s="2" t="e">
        <f>IF(Table13[[#This Row],[Gender]]="F",Table13[[#This Row],[Diameter]],NA())</f>
        <v>#N/A</v>
      </c>
      <c r="AF227" s="2" t="e">
        <f>IF(Table13[[#This Row],[Gender]]="I",Table13[[#This Row],[Diameter]],NA())</f>
        <v>#N/A</v>
      </c>
    </row>
    <row r="228" spans="1:32" x14ac:dyDescent="0.2">
      <c r="A228">
        <v>191</v>
      </c>
      <c r="B228" t="s">
        <v>15</v>
      </c>
      <c r="C228">
        <v>0.61499999999999999</v>
      </c>
      <c r="D228">
        <v>0.48</v>
      </c>
      <c r="E228">
        <v>0.18</v>
      </c>
      <c r="F228">
        <v>1.1595</v>
      </c>
      <c r="G228">
        <v>0.48449999999999999</v>
      </c>
      <c r="H228">
        <v>0.2165</v>
      </c>
      <c r="I228">
        <v>0.32500000000000001</v>
      </c>
      <c r="J228">
        <v>13</v>
      </c>
      <c r="K228">
        <v>6</v>
      </c>
      <c r="L228" t="s">
        <v>39</v>
      </c>
      <c r="M228" t="s">
        <v>40</v>
      </c>
      <c r="N228" t="s">
        <v>41</v>
      </c>
      <c r="O228">
        <v>10</v>
      </c>
      <c r="P228" t="s">
        <v>38</v>
      </c>
      <c r="Q228">
        <v>24.1</v>
      </c>
      <c r="R228" t="str" cm="1">
        <f t="array" ref="R2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28" t="e">
        <f>IF(Table13[[#This Row],[Category All]]="Category 1", "Yes",NA())</f>
        <v>#N/A</v>
      </c>
      <c r="T228" t="e">
        <f>IF(Table13[[#This Row],[Category All]]="Category 2", "Yes",NA())</f>
        <v>#N/A</v>
      </c>
      <c r="U228" t="str">
        <f>IF(Table13[[#This Row],[Category All]]="Category 3", "Yes",NA())</f>
        <v>Yes</v>
      </c>
      <c r="V228">
        <f>SUM(1,(1/3)*(Table13[[#This Row],[Length]]-0.5),(1/3)*(Table13[[#This Row],[Diameter]]-0.4),(1/3)*(Table13[[#This Row],[Height]]-0.4)*Table13[[#This Row],[Whole_weight]]*0.5)</f>
        <v>1.0224849999999999</v>
      </c>
      <c r="W228" cm="1">
        <f t="array" ref="W2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1.0224849999999999</v>
      </c>
      <c r="X228" t="e">
        <f>IF(Table13[[#This Row],[Category All]]="Category 1",Table13[[#This Row],[Base Abalone Value]]*1.5,NA())</f>
        <v>#N/A</v>
      </c>
      <c r="Y228" t="e">
        <f>IF(Table13[[#This Row],[Category All]]="Category 2",Table13[[#This Row],[Base Abalone Value]]*0.8,NA())</f>
        <v>#N/A</v>
      </c>
      <c r="Z228">
        <f>IF(Table13[[#This Row],[Category All]]="Category 3",Table13[[#This Row],[Base Abalone Value]],NA())</f>
        <v>1.0224849999999999</v>
      </c>
      <c r="AA228" s="2">
        <f>IF(Table13[[#This Row],[Gender]]="M",Table13[[#This Row],[Whole_weight]],NA())</f>
        <v>1.1595</v>
      </c>
      <c r="AB228" s="2" t="e">
        <f>IF(Table13[[#This Row],[Gender]]="F",Table13[[#This Row],[Whole_weight]],NA())</f>
        <v>#N/A</v>
      </c>
      <c r="AC228" s="2" t="e">
        <f>IF(Table13[[#This Row],[Gender]]="I",Table13[[#This Row],[Whole_weight]],NA())</f>
        <v>#N/A</v>
      </c>
      <c r="AD228" s="2">
        <f>IF(Table13[[#This Row],[Gender]]="M",Table13[[#This Row],[Diameter]],NA())</f>
        <v>0.48</v>
      </c>
      <c r="AE228" s="2" t="e">
        <f>IF(Table13[[#This Row],[Gender]]="F",Table13[[#This Row],[Diameter]],NA())</f>
        <v>#N/A</v>
      </c>
      <c r="AF228" s="2" t="e">
        <f>IF(Table13[[#This Row],[Gender]]="I",Table13[[#This Row],[Diameter]],NA())</f>
        <v>#N/A</v>
      </c>
    </row>
    <row r="229" spans="1:32" x14ac:dyDescent="0.2">
      <c r="A229">
        <v>3285</v>
      </c>
      <c r="B229" t="s">
        <v>15</v>
      </c>
      <c r="C229">
        <v>0.56499999999999995</v>
      </c>
      <c r="D229">
        <v>0.44</v>
      </c>
      <c r="E229">
        <v>0.155</v>
      </c>
      <c r="F229">
        <v>0.86799999999999999</v>
      </c>
      <c r="G229">
        <v>0.34799999999999998</v>
      </c>
      <c r="H229">
        <v>0.217</v>
      </c>
      <c r="I229">
        <v>0.26</v>
      </c>
      <c r="J229">
        <v>11</v>
      </c>
      <c r="K229">
        <v>1</v>
      </c>
      <c r="L229" t="s">
        <v>8</v>
      </c>
      <c r="M229" t="s">
        <v>9</v>
      </c>
      <c r="N229" t="s">
        <v>3</v>
      </c>
      <c r="O229">
        <v>5</v>
      </c>
      <c r="P229" t="s">
        <v>14</v>
      </c>
      <c r="Q229">
        <v>12.8</v>
      </c>
      <c r="R229" t="str" cm="1">
        <f t="array" ref="R2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29" t="e">
        <f>IF(Table13[[#This Row],[Category All]]="Category 1", "Yes",NA())</f>
        <v>#N/A</v>
      </c>
      <c r="T229" t="str">
        <f>IF(Table13[[#This Row],[Category All]]="Category 2", "Yes",NA())</f>
        <v>Yes</v>
      </c>
      <c r="U229" t="e">
        <f>IF(Table13[[#This Row],[Category All]]="Category 3", "Yes",NA())</f>
        <v>#N/A</v>
      </c>
      <c r="V229">
        <f>SUM(1,(1/3)*(Table13[[#This Row],[Length]]-0.5),(1/3)*(Table13[[#This Row],[Diameter]]-0.4),(1/3)*(Table13[[#This Row],[Height]]-0.4)*Table13[[#This Row],[Whole_weight]]*0.5)</f>
        <v>0.99955666666666676</v>
      </c>
      <c r="W229" cm="1">
        <f t="array" ref="W2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0.79964533333333343</v>
      </c>
      <c r="X229" t="e">
        <f>IF(Table13[[#This Row],[Category All]]="Category 1",Table13[[#This Row],[Base Abalone Value]]*1.5,NA())</f>
        <v>#N/A</v>
      </c>
      <c r="Y229">
        <f>IF(Table13[[#This Row],[Category All]]="Category 2",Table13[[#This Row],[Base Abalone Value]]*0.8,NA())</f>
        <v>0.79964533333333343</v>
      </c>
      <c r="Z229" t="e">
        <f>IF(Table13[[#This Row],[Category All]]="Category 3",Table13[[#This Row],[Base Abalone Value]],NA())</f>
        <v>#N/A</v>
      </c>
      <c r="AA229" s="2">
        <f>IF(Table13[[#This Row],[Gender]]="M",Table13[[#This Row],[Whole_weight]],NA())</f>
        <v>0.86799999999999999</v>
      </c>
      <c r="AB229" s="2" t="e">
        <f>IF(Table13[[#This Row],[Gender]]="F",Table13[[#This Row],[Whole_weight]],NA())</f>
        <v>#N/A</v>
      </c>
      <c r="AC229" s="2" t="e">
        <f>IF(Table13[[#This Row],[Gender]]="I",Table13[[#This Row],[Whole_weight]],NA())</f>
        <v>#N/A</v>
      </c>
      <c r="AD229" s="2">
        <f>IF(Table13[[#This Row],[Gender]]="M",Table13[[#This Row],[Diameter]],NA())</f>
        <v>0.44</v>
      </c>
      <c r="AE229" s="2" t="e">
        <f>IF(Table13[[#This Row],[Gender]]="F",Table13[[#This Row],[Diameter]],NA())</f>
        <v>#N/A</v>
      </c>
      <c r="AF229" s="2" t="e">
        <f>IF(Table13[[#This Row],[Gender]]="I",Table13[[#This Row],[Diameter]],NA())</f>
        <v>#N/A</v>
      </c>
    </row>
    <row r="230" spans="1:32" x14ac:dyDescent="0.2">
      <c r="A230">
        <v>1218</v>
      </c>
      <c r="B230" t="s">
        <v>11</v>
      </c>
      <c r="C230">
        <v>0.315</v>
      </c>
      <c r="D230">
        <v>0.23</v>
      </c>
      <c r="E230">
        <v>0.08</v>
      </c>
      <c r="F230">
        <v>0.13750000000000001</v>
      </c>
      <c r="G230">
        <v>5.45E-2</v>
      </c>
      <c r="H230">
        <v>3.1E-2</v>
      </c>
      <c r="I230">
        <v>4.4499999999999998E-2</v>
      </c>
      <c r="J230">
        <v>5</v>
      </c>
      <c r="K230">
        <v>13</v>
      </c>
      <c r="L230" t="s">
        <v>12</v>
      </c>
      <c r="M230" t="s">
        <v>13</v>
      </c>
      <c r="N230" t="s">
        <v>3</v>
      </c>
      <c r="O230">
        <v>10</v>
      </c>
      <c r="P230" t="s">
        <v>38</v>
      </c>
      <c r="Q230">
        <v>24.1</v>
      </c>
      <c r="R230" t="str" cm="1">
        <f t="array" ref="R2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0" t="e">
        <f>IF(Table13[[#This Row],[Category All]]="Category 1", "Yes",NA())</f>
        <v>#N/A</v>
      </c>
      <c r="T230" t="str">
        <f>IF(Table13[[#This Row],[Category All]]="Category 2", "Yes",NA())</f>
        <v>Yes</v>
      </c>
      <c r="U230" t="e">
        <f>IF(Table13[[#This Row],[Category All]]="Category 3", "Yes",NA())</f>
        <v>#N/A</v>
      </c>
      <c r="V230">
        <f>SUM(1,(1/3)*(Table13[[#This Row],[Length]]-0.5),(1/3)*(Table13[[#This Row],[Diameter]]-0.4),(1/3)*(Table13[[#This Row],[Height]]-0.4)*Table13[[#This Row],[Whole_weight]]*0.5)</f>
        <v>0.87433333333333341</v>
      </c>
      <c r="W230" cm="1">
        <f t="array" ref="W2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0.69946666666666679</v>
      </c>
      <c r="X230" t="e">
        <f>IF(Table13[[#This Row],[Category All]]="Category 1",Table13[[#This Row],[Base Abalone Value]]*1.5,NA())</f>
        <v>#N/A</v>
      </c>
      <c r="Y230">
        <f>IF(Table13[[#This Row],[Category All]]="Category 2",Table13[[#This Row],[Base Abalone Value]]*0.8,NA())</f>
        <v>0.69946666666666679</v>
      </c>
      <c r="Z230" t="e">
        <f>IF(Table13[[#This Row],[Category All]]="Category 3",Table13[[#This Row],[Base Abalone Value]],NA())</f>
        <v>#N/A</v>
      </c>
      <c r="AA230" s="2" t="e">
        <f>IF(Table13[[#This Row],[Gender]]="M",Table13[[#This Row],[Whole_weight]],NA())</f>
        <v>#N/A</v>
      </c>
      <c r="AB230" s="2" t="e">
        <f>IF(Table13[[#This Row],[Gender]]="F",Table13[[#This Row],[Whole_weight]],NA())</f>
        <v>#N/A</v>
      </c>
      <c r="AC230" s="2">
        <f>IF(Table13[[#This Row],[Gender]]="I",Table13[[#This Row],[Whole_weight]],NA())</f>
        <v>0.13750000000000001</v>
      </c>
      <c r="AD230" s="2" t="e">
        <f>IF(Table13[[#This Row],[Gender]]="M",Table13[[#This Row],[Diameter]],NA())</f>
        <v>#N/A</v>
      </c>
      <c r="AE230" s="2" t="e">
        <f>IF(Table13[[#This Row],[Gender]]="F",Table13[[#This Row],[Diameter]],NA())</f>
        <v>#N/A</v>
      </c>
      <c r="AF230" s="2">
        <f>IF(Table13[[#This Row],[Gender]]="I",Table13[[#This Row],[Diameter]],NA())</f>
        <v>0.23</v>
      </c>
    </row>
    <row r="231" spans="1:32" x14ac:dyDescent="0.2">
      <c r="A231">
        <v>1066</v>
      </c>
      <c r="B231" t="s">
        <v>11</v>
      </c>
      <c r="C231">
        <v>0.315</v>
      </c>
      <c r="D231">
        <v>0.23499999999999999</v>
      </c>
      <c r="E231">
        <v>5.5E-2</v>
      </c>
      <c r="F231">
        <v>0.151</v>
      </c>
      <c r="G231">
        <v>6.5000000000000002E-2</v>
      </c>
      <c r="H231">
        <v>2.7E-2</v>
      </c>
      <c r="I231">
        <v>3.9E-2</v>
      </c>
      <c r="J231">
        <v>6</v>
      </c>
      <c r="K231">
        <v>6</v>
      </c>
      <c r="L231" t="s">
        <v>39</v>
      </c>
      <c r="M231" t="s">
        <v>40</v>
      </c>
      <c r="N231" t="s">
        <v>41</v>
      </c>
      <c r="O231">
        <v>2</v>
      </c>
      <c r="P231" t="s">
        <v>7</v>
      </c>
      <c r="Q231">
        <v>18</v>
      </c>
      <c r="R231" t="str" cm="1">
        <f t="array" ref="R2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1" t="e">
        <f>IF(Table13[[#This Row],[Category All]]="Category 1", "Yes",NA())</f>
        <v>#N/A</v>
      </c>
      <c r="T231" t="str">
        <f>IF(Table13[[#This Row],[Category All]]="Category 2", "Yes",NA())</f>
        <v>Yes</v>
      </c>
      <c r="U231" t="e">
        <f>IF(Table13[[#This Row],[Category All]]="Category 3", "Yes",NA())</f>
        <v>#N/A</v>
      </c>
      <c r="V231">
        <f>SUM(1,(1/3)*(Table13[[#This Row],[Length]]-0.5),(1/3)*(Table13[[#This Row],[Diameter]]-0.4),(1/3)*(Table13[[#This Row],[Height]]-0.4)*Table13[[#This Row],[Whole_weight]]*0.5)</f>
        <v>0.87465083333333327</v>
      </c>
      <c r="W231" cm="1">
        <f t="array" ref="W2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0.69972066666666666</v>
      </c>
      <c r="X231" t="e">
        <f>IF(Table13[[#This Row],[Category All]]="Category 1",Table13[[#This Row],[Base Abalone Value]]*1.5,NA())</f>
        <v>#N/A</v>
      </c>
      <c r="Y231">
        <f>IF(Table13[[#This Row],[Category All]]="Category 2",Table13[[#This Row],[Base Abalone Value]]*0.8,NA())</f>
        <v>0.69972066666666666</v>
      </c>
      <c r="Z231" t="e">
        <f>IF(Table13[[#This Row],[Category All]]="Category 3",Table13[[#This Row],[Base Abalone Value]],NA())</f>
        <v>#N/A</v>
      </c>
      <c r="AA231" s="2" t="e">
        <f>IF(Table13[[#This Row],[Gender]]="M",Table13[[#This Row],[Whole_weight]],NA())</f>
        <v>#N/A</v>
      </c>
      <c r="AB231" s="2" t="e">
        <f>IF(Table13[[#This Row],[Gender]]="F",Table13[[#This Row],[Whole_weight]],NA())</f>
        <v>#N/A</v>
      </c>
      <c r="AC231" s="2">
        <f>IF(Table13[[#This Row],[Gender]]="I",Table13[[#This Row],[Whole_weight]],NA())</f>
        <v>0.151</v>
      </c>
      <c r="AD231" s="2" t="e">
        <f>IF(Table13[[#This Row],[Gender]]="M",Table13[[#This Row],[Diameter]],NA())</f>
        <v>#N/A</v>
      </c>
      <c r="AE231" s="2" t="e">
        <f>IF(Table13[[#This Row],[Gender]]="F",Table13[[#This Row],[Diameter]],NA())</f>
        <v>#N/A</v>
      </c>
      <c r="AF231" s="2">
        <f>IF(Table13[[#This Row],[Gender]]="I",Table13[[#This Row],[Diameter]],NA())</f>
        <v>0.23499999999999999</v>
      </c>
    </row>
    <row r="232" spans="1:32" x14ac:dyDescent="0.2">
      <c r="A232">
        <v>610</v>
      </c>
      <c r="B232" t="s">
        <v>15</v>
      </c>
      <c r="C232">
        <v>0.35</v>
      </c>
      <c r="D232">
        <v>0.26500000000000001</v>
      </c>
      <c r="E232">
        <v>0.09</v>
      </c>
      <c r="F232">
        <v>0.17749999999999999</v>
      </c>
      <c r="G232">
        <v>5.7500000000000002E-2</v>
      </c>
      <c r="H232">
        <v>4.2000000000000003E-2</v>
      </c>
      <c r="I232">
        <v>6.8000000000000005E-2</v>
      </c>
      <c r="J232">
        <v>12</v>
      </c>
      <c r="K232">
        <v>4</v>
      </c>
      <c r="L232" t="s">
        <v>52</v>
      </c>
      <c r="M232" t="s">
        <v>53</v>
      </c>
      <c r="N232" t="s">
        <v>54</v>
      </c>
      <c r="O232">
        <v>2</v>
      </c>
      <c r="P232" t="s">
        <v>7</v>
      </c>
      <c r="Q232">
        <v>18</v>
      </c>
      <c r="R232" t="str" cm="1">
        <f t="array" ref="R2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2" t="e">
        <f>IF(Table13[[#This Row],[Category All]]="Category 1", "Yes",NA())</f>
        <v>#N/A</v>
      </c>
      <c r="T232" t="str">
        <f>IF(Table13[[#This Row],[Category All]]="Category 2", "Yes",NA())</f>
        <v>Yes</v>
      </c>
      <c r="U232" t="e">
        <f>IF(Table13[[#This Row],[Category All]]="Category 3", "Yes",NA())</f>
        <v>#N/A</v>
      </c>
      <c r="V232">
        <f>SUM(1,(1/3)*(Table13[[#This Row],[Length]]-0.5),(1/3)*(Table13[[#This Row],[Diameter]]-0.4),(1/3)*(Table13[[#This Row],[Height]]-0.4)*Table13[[#This Row],[Whole_weight]]*0.5)</f>
        <v>0.89582916666666657</v>
      </c>
      <c r="W232" cm="1">
        <f t="array" ref="W2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0.71666333333333332</v>
      </c>
      <c r="X232" t="e">
        <f>IF(Table13[[#This Row],[Category All]]="Category 1",Table13[[#This Row],[Base Abalone Value]]*1.5,NA())</f>
        <v>#N/A</v>
      </c>
      <c r="Y232">
        <f>IF(Table13[[#This Row],[Category All]]="Category 2",Table13[[#This Row],[Base Abalone Value]]*0.8,NA())</f>
        <v>0.71666333333333332</v>
      </c>
      <c r="Z232" t="e">
        <f>IF(Table13[[#This Row],[Category All]]="Category 3",Table13[[#This Row],[Base Abalone Value]],NA())</f>
        <v>#N/A</v>
      </c>
      <c r="AA232" s="2">
        <f>IF(Table13[[#This Row],[Gender]]="M",Table13[[#This Row],[Whole_weight]],NA())</f>
        <v>0.17749999999999999</v>
      </c>
      <c r="AB232" s="2" t="e">
        <f>IF(Table13[[#This Row],[Gender]]="F",Table13[[#This Row],[Whole_weight]],NA())</f>
        <v>#N/A</v>
      </c>
      <c r="AC232" s="2" t="e">
        <f>IF(Table13[[#This Row],[Gender]]="I",Table13[[#This Row],[Whole_weight]],NA())</f>
        <v>#N/A</v>
      </c>
      <c r="AD232" s="2">
        <f>IF(Table13[[#This Row],[Gender]]="M",Table13[[#This Row],[Diameter]],NA())</f>
        <v>0.26500000000000001</v>
      </c>
      <c r="AE232" s="2" t="e">
        <f>IF(Table13[[#This Row],[Gender]]="F",Table13[[#This Row],[Diameter]],NA())</f>
        <v>#N/A</v>
      </c>
      <c r="AF232" s="2" t="e">
        <f>IF(Table13[[#This Row],[Gender]]="I",Table13[[#This Row],[Diameter]],NA())</f>
        <v>#N/A</v>
      </c>
    </row>
    <row r="233" spans="1:32" x14ac:dyDescent="0.2">
      <c r="A233">
        <v>3275</v>
      </c>
      <c r="B233" t="s">
        <v>0</v>
      </c>
      <c r="C233">
        <v>0.5</v>
      </c>
      <c r="D233">
        <v>0.40500000000000003</v>
      </c>
      <c r="E233">
        <v>0.14000000000000001</v>
      </c>
      <c r="F233">
        <v>0.67349999999999999</v>
      </c>
      <c r="G233">
        <v>0.26500000000000001</v>
      </c>
      <c r="H233">
        <v>0.124</v>
      </c>
      <c r="I233">
        <v>0.25</v>
      </c>
      <c r="J233">
        <v>18</v>
      </c>
      <c r="K233">
        <v>7</v>
      </c>
      <c r="L233" t="s">
        <v>35</v>
      </c>
      <c r="M233" t="s">
        <v>36</v>
      </c>
      <c r="N233" t="s">
        <v>37</v>
      </c>
      <c r="O233">
        <v>6</v>
      </c>
      <c r="P233" t="s">
        <v>47</v>
      </c>
      <c r="Q233">
        <v>14.1</v>
      </c>
      <c r="R233" t="str" cm="1">
        <f t="array" ref="R2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3" t="e">
        <f>IF(Table13[[#This Row],[Category All]]="Category 1", "Yes",NA())</f>
        <v>#N/A</v>
      </c>
      <c r="T233" t="str">
        <f>IF(Table13[[#This Row],[Category All]]="Category 2", "Yes",NA())</f>
        <v>Yes</v>
      </c>
      <c r="U233" t="e">
        <f>IF(Table13[[#This Row],[Category All]]="Category 3", "Yes",NA())</f>
        <v>#N/A</v>
      </c>
      <c r="V233">
        <f>SUM(1,(1/3)*(Table13[[#This Row],[Length]]-0.5),(1/3)*(Table13[[#This Row],[Diameter]]-0.4),(1/3)*(Table13[[#This Row],[Height]]-0.4)*Table13[[#This Row],[Whole_weight]]*0.5)</f>
        <v>0.97248166666666669</v>
      </c>
      <c r="W233" cm="1">
        <f t="array" ref="W2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0.77798533333333342</v>
      </c>
      <c r="X233" t="e">
        <f>IF(Table13[[#This Row],[Category All]]="Category 1",Table13[[#This Row],[Base Abalone Value]]*1.5,NA())</f>
        <v>#N/A</v>
      </c>
      <c r="Y233">
        <f>IF(Table13[[#This Row],[Category All]]="Category 2",Table13[[#This Row],[Base Abalone Value]]*0.8,NA())</f>
        <v>0.77798533333333342</v>
      </c>
      <c r="Z233" t="e">
        <f>IF(Table13[[#This Row],[Category All]]="Category 3",Table13[[#This Row],[Base Abalone Value]],NA())</f>
        <v>#N/A</v>
      </c>
      <c r="AA233" s="2" t="e">
        <f>IF(Table13[[#This Row],[Gender]]="M",Table13[[#This Row],[Whole_weight]],NA())</f>
        <v>#N/A</v>
      </c>
      <c r="AB233" s="2">
        <f>IF(Table13[[#This Row],[Gender]]="F",Table13[[#This Row],[Whole_weight]],NA())</f>
        <v>0.67349999999999999</v>
      </c>
      <c r="AC233" s="2" t="e">
        <f>IF(Table13[[#This Row],[Gender]]="I",Table13[[#This Row],[Whole_weight]],NA())</f>
        <v>#N/A</v>
      </c>
      <c r="AD233" s="2" t="e">
        <f>IF(Table13[[#This Row],[Gender]]="M",Table13[[#This Row],[Diameter]],NA())</f>
        <v>#N/A</v>
      </c>
      <c r="AE233" s="2">
        <f>IF(Table13[[#This Row],[Gender]]="F",Table13[[#This Row],[Diameter]],NA())</f>
        <v>0.40500000000000003</v>
      </c>
      <c r="AF233" s="2" t="e">
        <f>IF(Table13[[#This Row],[Gender]]="I",Table13[[#This Row],[Diameter]],NA())</f>
        <v>#N/A</v>
      </c>
    </row>
    <row r="234" spans="1:32" x14ac:dyDescent="0.2">
      <c r="A234">
        <v>1331</v>
      </c>
      <c r="B234" t="s">
        <v>0</v>
      </c>
      <c r="C234">
        <v>0.56999999999999995</v>
      </c>
      <c r="D234">
        <v>0.46</v>
      </c>
      <c r="E234">
        <v>0.13500000000000001</v>
      </c>
      <c r="F234">
        <v>0.97950000000000004</v>
      </c>
      <c r="G234">
        <v>0.39700000000000002</v>
      </c>
      <c r="H234">
        <v>0.2525</v>
      </c>
      <c r="I234">
        <v>0.26550000000000001</v>
      </c>
      <c r="J234">
        <v>9</v>
      </c>
      <c r="K234">
        <v>9</v>
      </c>
      <c r="L234" t="s">
        <v>20</v>
      </c>
      <c r="M234" t="s">
        <v>21</v>
      </c>
      <c r="N234" t="s">
        <v>22</v>
      </c>
      <c r="O234">
        <v>2</v>
      </c>
      <c r="P234" t="s">
        <v>7</v>
      </c>
      <c r="Q234">
        <v>18</v>
      </c>
      <c r="R234" t="str" cm="1">
        <f t="array" ref="R2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4" t="e">
        <f>IF(Table13[[#This Row],[Category All]]="Category 1", "Yes",NA())</f>
        <v>#N/A</v>
      </c>
      <c r="T234" t="str">
        <f>IF(Table13[[#This Row],[Category All]]="Category 2", "Yes",NA())</f>
        <v>Yes</v>
      </c>
      <c r="U234" t="e">
        <f>IF(Table13[[#This Row],[Category All]]="Category 3", "Yes",NA())</f>
        <v>#N/A</v>
      </c>
      <c r="V234">
        <f>SUM(1,(1/3)*(Table13[[#This Row],[Length]]-0.5),(1/3)*(Table13[[#This Row],[Diameter]]-0.4),(1/3)*(Table13[[#This Row],[Height]]-0.4)*Table13[[#This Row],[Whole_weight]]*0.5)</f>
        <v>1.0000720833333334</v>
      </c>
      <c r="W234" cm="1">
        <f t="array" ref="W2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0.80005766666666678</v>
      </c>
      <c r="X234" t="e">
        <f>IF(Table13[[#This Row],[Category All]]="Category 1",Table13[[#This Row],[Base Abalone Value]]*1.5,NA())</f>
        <v>#N/A</v>
      </c>
      <c r="Y234">
        <f>IF(Table13[[#This Row],[Category All]]="Category 2",Table13[[#This Row],[Base Abalone Value]]*0.8,NA())</f>
        <v>0.80005766666666678</v>
      </c>
      <c r="Z234" t="e">
        <f>IF(Table13[[#This Row],[Category All]]="Category 3",Table13[[#This Row],[Base Abalone Value]],NA())</f>
        <v>#N/A</v>
      </c>
      <c r="AA234" s="2" t="e">
        <f>IF(Table13[[#This Row],[Gender]]="M",Table13[[#This Row],[Whole_weight]],NA())</f>
        <v>#N/A</v>
      </c>
      <c r="AB234" s="2">
        <f>IF(Table13[[#This Row],[Gender]]="F",Table13[[#This Row],[Whole_weight]],NA())</f>
        <v>0.97950000000000004</v>
      </c>
      <c r="AC234" s="2" t="e">
        <f>IF(Table13[[#This Row],[Gender]]="I",Table13[[#This Row],[Whole_weight]],NA())</f>
        <v>#N/A</v>
      </c>
      <c r="AD234" s="2" t="e">
        <f>IF(Table13[[#This Row],[Gender]]="M",Table13[[#This Row],[Diameter]],NA())</f>
        <v>#N/A</v>
      </c>
      <c r="AE234" s="2">
        <f>IF(Table13[[#This Row],[Gender]]="F",Table13[[#This Row],[Diameter]],NA())</f>
        <v>0.46</v>
      </c>
      <c r="AF234" s="2" t="e">
        <f>IF(Table13[[#This Row],[Gender]]="I",Table13[[#This Row],[Diameter]],NA())</f>
        <v>#N/A</v>
      </c>
    </row>
    <row r="235" spans="1:32" x14ac:dyDescent="0.2">
      <c r="A235">
        <v>1483</v>
      </c>
      <c r="B235" t="s">
        <v>15</v>
      </c>
      <c r="C235">
        <v>0.58499999999999996</v>
      </c>
      <c r="D235">
        <v>0.45500000000000002</v>
      </c>
      <c r="E235">
        <v>0.15</v>
      </c>
      <c r="F235">
        <v>0.90600000000000003</v>
      </c>
      <c r="G235">
        <v>0.40949999999999998</v>
      </c>
      <c r="H235">
        <v>0.23</v>
      </c>
      <c r="I235">
        <v>0.23350000000000001</v>
      </c>
      <c r="J235">
        <v>8</v>
      </c>
      <c r="K235">
        <v>15</v>
      </c>
      <c r="L235" t="s">
        <v>49</v>
      </c>
      <c r="M235" t="s">
        <v>50</v>
      </c>
      <c r="N235" t="s">
        <v>3</v>
      </c>
      <c r="O235">
        <v>1</v>
      </c>
      <c r="P235" t="s">
        <v>4</v>
      </c>
      <c r="Q235">
        <v>22.1</v>
      </c>
      <c r="R235" t="str" cm="1">
        <f t="array" ref="R2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35" t="e">
        <f>IF(Table13[[#This Row],[Category All]]="Category 1", "Yes",NA())</f>
        <v>#N/A</v>
      </c>
      <c r="T235" t="e">
        <f>IF(Table13[[#This Row],[Category All]]="Category 2", "Yes",NA())</f>
        <v>#N/A</v>
      </c>
      <c r="U235" t="str">
        <f>IF(Table13[[#This Row],[Category All]]="Category 3", "Yes",NA())</f>
        <v>Yes</v>
      </c>
      <c r="V235">
        <f>SUM(1,(1/3)*(Table13[[#This Row],[Length]]-0.5),(1/3)*(Table13[[#This Row],[Diameter]]-0.4),(1/3)*(Table13[[#This Row],[Height]]-0.4)*Table13[[#This Row],[Whole_weight]]*0.5)</f>
        <v>1.0089166666666667</v>
      </c>
      <c r="W235" cm="1">
        <f t="array" ref="W2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1.0089166666666667</v>
      </c>
      <c r="X235" t="e">
        <f>IF(Table13[[#This Row],[Category All]]="Category 1",Table13[[#This Row],[Base Abalone Value]]*1.5,NA())</f>
        <v>#N/A</v>
      </c>
      <c r="Y235" t="e">
        <f>IF(Table13[[#This Row],[Category All]]="Category 2",Table13[[#This Row],[Base Abalone Value]]*0.8,NA())</f>
        <v>#N/A</v>
      </c>
      <c r="Z235">
        <f>IF(Table13[[#This Row],[Category All]]="Category 3",Table13[[#This Row],[Base Abalone Value]],NA())</f>
        <v>1.0089166666666667</v>
      </c>
      <c r="AA235" s="2">
        <f>IF(Table13[[#This Row],[Gender]]="M",Table13[[#This Row],[Whole_weight]],NA())</f>
        <v>0.90600000000000003</v>
      </c>
      <c r="AB235" s="2" t="e">
        <f>IF(Table13[[#This Row],[Gender]]="F",Table13[[#This Row],[Whole_weight]],NA())</f>
        <v>#N/A</v>
      </c>
      <c r="AC235" s="2" t="e">
        <f>IF(Table13[[#This Row],[Gender]]="I",Table13[[#This Row],[Whole_weight]],NA())</f>
        <v>#N/A</v>
      </c>
      <c r="AD235" s="2">
        <f>IF(Table13[[#This Row],[Gender]]="M",Table13[[#This Row],[Diameter]],NA())</f>
        <v>0.45500000000000002</v>
      </c>
      <c r="AE235" s="2" t="e">
        <f>IF(Table13[[#This Row],[Gender]]="F",Table13[[#This Row],[Diameter]],NA())</f>
        <v>#N/A</v>
      </c>
      <c r="AF235" s="2" t="e">
        <f>IF(Table13[[#This Row],[Gender]]="I",Table13[[#This Row],[Diameter]],NA())</f>
        <v>#N/A</v>
      </c>
    </row>
    <row r="236" spans="1:32" x14ac:dyDescent="0.2">
      <c r="A236">
        <v>1758</v>
      </c>
      <c r="B236" t="s">
        <v>0</v>
      </c>
      <c r="C236">
        <v>0.73</v>
      </c>
      <c r="D236">
        <v>0.56000000000000005</v>
      </c>
      <c r="E236">
        <v>0.19</v>
      </c>
      <c r="F236">
        <v>1.9424999999999999</v>
      </c>
      <c r="G236">
        <v>0.79900000000000004</v>
      </c>
      <c r="H236">
        <v>0.51949999999999996</v>
      </c>
      <c r="I236">
        <v>0.5655</v>
      </c>
      <c r="J236">
        <v>11</v>
      </c>
      <c r="K236">
        <v>7</v>
      </c>
      <c r="L236" t="s">
        <v>35</v>
      </c>
      <c r="M236" t="s">
        <v>36</v>
      </c>
      <c r="N236" t="s">
        <v>37</v>
      </c>
      <c r="O236">
        <v>10</v>
      </c>
      <c r="P236" t="s">
        <v>38</v>
      </c>
      <c r="Q236">
        <v>24.1</v>
      </c>
      <c r="R236" t="str" cm="1">
        <f t="array" ref="R2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36" t="e">
        <f>IF(Table13[[#This Row],[Category All]]="Category 1", "Yes",NA())</f>
        <v>#N/A</v>
      </c>
      <c r="T236" t="e">
        <f>IF(Table13[[#This Row],[Category All]]="Category 2", "Yes",NA())</f>
        <v>#N/A</v>
      </c>
      <c r="U236" t="str">
        <f>IF(Table13[[#This Row],[Category All]]="Category 3", "Yes",NA())</f>
        <v>Yes</v>
      </c>
      <c r="V236">
        <f>SUM(1,(1/3)*(Table13[[#This Row],[Length]]-0.5),(1/3)*(Table13[[#This Row],[Diameter]]-0.4),(1/3)*(Table13[[#This Row],[Height]]-0.4)*Table13[[#This Row],[Whole_weight]]*0.5)</f>
        <v>1.0620124999999998</v>
      </c>
      <c r="W236" cm="1">
        <f t="array" ref="W2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1.0620124999999998</v>
      </c>
      <c r="X236" t="e">
        <f>IF(Table13[[#This Row],[Category All]]="Category 1",Table13[[#This Row],[Base Abalone Value]]*1.5,NA())</f>
        <v>#N/A</v>
      </c>
      <c r="Y236" t="e">
        <f>IF(Table13[[#This Row],[Category All]]="Category 2",Table13[[#This Row],[Base Abalone Value]]*0.8,NA())</f>
        <v>#N/A</v>
      </c>
      <c r="Z236">
        <f>IF(Table13[[#This Row],[Category All]]="Category 3",Table13[[#This Row],[Base Abalone Value]],NA())</f>
        <v>1.0620124999999998</v>
      </c>
      <c r="AA236" s="2" t="e">
        <f>IF(Table13[[#This Row],[Gender]]="M",Table13[[#This Row],[Whole_weight]],NA())</f>
        <v>#N/A</v>
      </c>
      <c r="AB236" s="2">
        <f>IF(Table13[[#This Row],[Gender]]="F",Table13[[#This Row],[Whole_weight]],NA())</f>
        <v>1.9424999999999999</v>
      </c>
      <c r="AC236" s="2" t="e">
        <f>IF(Table13[[#This Row],[Gender]]="I",Table13[[#This Row],[Whole_weight]],NA())</f>
        <v>#N/A</v>
      </c>
      <c r="AD236" s="2" t="e">
        <f>IF(Table13[[#This Row],[Gender]]="M",Table13[[#This Row],[Diameter]],NA())</f>
        <v>#N/A</v>
      </c>
      <c r="AE236" s="2">
        <f>IF(Table13[[#This Row],[Gender]]="F",Table13[[#This Row],[Diameter]],NA())</f>
        <v>0.56000000000000005</v>
      </c>
      <c r="AF236" s="2" t="e">
        <f>IF(Table13[[#This Row],[Gender]]="I",Table13[[#This Row],[Diameter]],NA())</f>
        <v>#N/A</v>
      </c>
    </row>
    <row r="237" spans="1:32" x14ac:dyDescent="0.2">
      <c r="A237">
        <v>3869</v>
      </c>
      <c r="B237" t="s">
        <v>0</v>
      </c>
      <c r="C237">
        <v>0.44</v>
      </c>
      <c r="D237">
        <v>0.34</v>
      </c>
      <c r="E237">
        <v>0.13500000000000001</v>
      </c>
      <c r="F237">
        <v>0.39750000000000002</v>
      </c>
      <c r="G237">
        <v>0.15049999999999999</v>
      </c>
      <c r="H237">
        <v>9.4500000000000001E-2</v>
      </c>
      <c r="I237">
        <v>0.13500000000000001</v>
      </c>
      <c r="J237">
        <v>8</v>
      </c>
      <c r="K237">
        <v>4</v>
      </c>
      <c r="L237" t="s">
        <v>52</v>
      </c>
      <c r="M237" t="s">
        <v>53</v>
      </c>
      <c r="N237" t="s">
        <v>54</v>
      </c>
      <c r="O237">
        <v>8</v>
      </c>
      <c r="P237" t="s">
        <v>19</v>
      </c>
      <c r="Q237">
        <v>12.3</v>
      </c>
      <c r="R237" t="str" cm="1">
        <f t="array" ref="R2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7" t="e">
        <f>IF(Table13[[#This Row],[Category All]]="Category 1", "Yes",NA())</f>
        <v>#N/A</v>
      </c>
      <c r="T237" t="str">
        <f>IF(Table13[[#This Row],[Category All]]="Category 2", "Yes",NA())</f>
        <v>Yes</v>
      </c>
      <c r="U237" t="e">
        <f>IF(Table13[[#This Row],[Category All]]="Category 3", "Yes",NA())</f>
        <v>#N/A</v>
      </c>
      <c r="V237">
        <f>SUM(1,(1/3)*(Table13[[#This Row],[Length]]-0.5),(1/3)*(Table13[[#This Row],[Diameter]]-0.4),(1/3)*(Table13[[#This Row],[Height]]-0.4)*Table13[[#This Row],[Whole_weight]]*0.5)</f>
        <v>0.94244374999999991</v>
      </c>
      <c r="W237" cm="1">
        <f t="array" ref="W2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0.75395499999999993</v>
      </c>
      <c r="X237" t="e">
        <f>IF(Table13[[#This Row],[Category All]]="Category 1",Table13[[#This Row],[Base Abalone Value]]*1.5,NA())</f>
        <v>#N/A</v>
      </c>
      <c r="Y237">
        <f>IF(Table13[[#This Row],[Category All]]="Category 2",Table13[[#This Row],[Base Abalone Value]]*0.8,NA())</f>
        <v>0.75395499999999993</v>
      </c>
      <c r="Z237" t="e">
        <f>IF(Table13[[#This Row],[Category All]]="Category 3",Table13[[#This Row],[Base Abalone Value]],NA())</f>
        <v>#N/A</v>
      </c>
      <c r="AA237" s="2" t="e">
        <f>IF(Table13[[#This Row],[Gender]]="M",Table13[[#This Row],[Whole_weight]],NA())</f>
        <v>#N/A</v>
      </c>
      <c r="AB237" s="2">
        <f>IF(Table13[[#This Row],[Gender]]="F",Table13[[#This Row],[Whole_weight]],NA())</f>
        <v>0.39750000000000002</v>
      </c>
      <c r="AC237" s="2" t="e">
        <f>IF(Table13[[#This Row],[Gender]]="I",Table13[[#This Row],[Whole_weight]],NA())</f>
        <v>#N/A</v>
      </c>
      <c r="AD237" s="2" t="e">
        <f>IF(Table13[[#This Row],[Gender]]="M",Table13[[#This Row],[Diameter]],NA())</f>
        <v>#N/A</v>
      </c>
      <c r="AE237" s="2">
        <f>IF(Table13[[#This Row],[Gender]]="F",Table13[[#This Row],[Diameter]],NA())</f>
        <v>0.34</v>
      </c>
      <c r="AF237" s="2" t="e">
        <f>IF(Table13[[#This Row],[Gender]]="I",Table13[[#This Row],[Diameter]],NA())</f>
        <v>#N/A</v>
      </c>
    </row>
    <row r="238" spans="1:32" x14ac:dyDescent="0.2">
      <c r="A238">
        <v>4002</v>
      </c>
      <c r="B238" t="s">
        <v>11</v>
      </c>
      <c r="C238">
        <v>0.48</v>
      </c>
      <c r="D238">
        <v>0.35</v>
      </c>
      <c r="E238">
        <v>0.105</v>
      </c>
      <c r="F238">
        <v>0.63500000000000001</v>
      </c>
      <c r="G238">
        <v>0.35199999999999998</v>
      </c>
      <c r="H238">
        <v>0.127</v>
      </c>
      <c r="I238">
        <v>0.13500000000000001</v>
      </c>
      <c r="J238">
        <v>6</v>
      </c>
      <c r="K238">
        <v>8</v>
      </c>
      <c r="L238" t="s">
        <v>29</v>
      </c>
      <c r="M238" t="s">
        <v>30</v>
      </c>
      <c r="N238" t="s">
        <v>31</v>
      </c>
      <c r="O238">
        <v>4</v>
      </c>
      <c r="P238" t="s">
        <v>10</v>
      </c>
      <c r="Q238">
        <v>6.1</v>
      </c>
      <c r="R238" t="str" cm="1">
        <f t="array" ref="R2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8" t="e">
        <f>IF(Table13[[#This Row],[Category All]]="Category 1", "Yes",NA())</f>
        <v>#N/A</v>
      </c>
      <c r="T238" t="str">
        <f>IF(Table13[[#This Row],[Category All]]="Category 2", "Yes",NA())</f>
        <v>Yes</v>
      </c>
      <c r="U238" t="e">
        <f>IF(Table13[[#This Row],[Category All]]="Category 3", "Yes",NA())</f>
        <v>#N/A</v>
      </c>
      <c r="V238">
        <f>SUM(1,(1/3)*(Table13[[#This Row],[Length]]-0.5),(1/3)*(Table13[[#This Row],[Diameter]]-0.4),(1/3)*(Table13[[#This Row],[Height]]-0.4)*Table13[[#This Row],[Whole_weight]]*0.5)</f>
        <v>0.94544583333333321</v>
      </c>
      <c r="W238" cm="1">
        <f t="array" ref="W2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0.75635666666666657</v>
      </c>
      <c r="X238" t="e">
        <f>IF(Table13[[#This Row],[Category All]]="Category 1",Table13[[#This Row],[Base Abalone Value]]*1.5,NA())</f>
        <v>#N/A</v>
      </c>
      <c r="Y238">
        <f>IF(Table13[[#This Row],[Category All]]="Category 2",Table13[[#This Row],[Base Abalone Value]]*0.8,NA())</f>
        <v>0.75635666666666657</v>
      </c>
      <c r="Z238" t="e">
        <f>IF(Table13[[#This Row],[Category All]]="Category 3",Table13[[#This Row],[Base Abalone Value]],NA())</f>
        <v>#N/A</v>
      </c>
      <c r="AA238" s="2" t="e">
        <f>IF(Table13[[#This Row],[Gender]]="M",Table13[[#This Row],[Whole_weight]],NA())</f>
        <v>#N/A</v>
      </c>
      <c r="AB238" s="2" t="e">
        <f>IF(Table13[[#This Row],[Gender]]="F",Table13[[#This Row],[Whole_weight]],NA())</f>
        <v>#N/A</v>
      </c>
      <c r="AC238" s="2">
        <f>IF(Table13[[#This Row],[Gender]]="I",Table13[[#This Row],[Whole_weight]],NA())</f>
        <v>0.63500000000000001</v>
      </c>
      <c r="AD238" s="2" t="e">
        <f>IF(Table13[[#This Row],[Gender]]="M",Table13[[#This Row],[Diameter]],NA())</f>
        <v>#N/A</v>
      </c>
      <c r="AE238" s="2" t="e">
        <f>IF(Table13[[#This Row],[Gender]]="F",Table13[[#This Row],[Diameter]],NA())</f>
        <v>#N/A</v>
      </c>
      <c r="AF238" s="2">
        <f>IF(Table13[[#This Row],[Gender]]="I",Table13[[#This Row],[Diameter]],NA())</f>
        <v>0.35</v>
      </c>
    </row>
    <row r="239" spans="1:32" x14ac:dyDescent="0.2">
      <c r="A239">
        <v>258</v>
      </c>
      <c r="B239" t="s">
        <v>15</v>
      </c>
      <c r="C239">
        <v>0.54500000000000004</v>
      </c>
      <c r="D239">
        <v>0.46</v>
      </c>
      <c r="E239">
        <v>0.16</v>
      </c>
      <c r="F239">
        <v>0.89749999999999996</v>
      </c>
      <c r="G239">
        <v>0.34100000000000003</v>
      </c>
      <c r="H239">
        <v>0.16550000000000001</v>
      </c>
      <c r="I239">
        <v>0.34499999999999997</v>
      </c>
      <c r="J239">
        <v>10</v>
      </c>
      <c r="K239">
        <v>6</v>
      </c>
      <c r="L239" t="s">
        <v>39</v>
      </c>
      <c r="M239" t="s">
        <v>40</v>
      </c>
      <c r="N239" t="s">
        <v>41</v>
      </c>
      <c r="O239">
        <v>6</v>
      </c>
      <c r="P239" t="s">
        <v>47</v>
      </c>
      <c r="Q239">
        <v>14.1</v>
      </c>
      <c r="R239" t="str" cm="1">
        <f t="array" ref="R2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9" t="e">
        <f>IF(Table13[[#This Row],[Category All]]="Category 1", "Yes",NA())</f>
        <v>#N/A</v>
      </c>
      <c r="T239" t="str">
        <f>IF(Table13[[#This Row],[Category All]]="Category 2", "Yes",NA())</f>
        <v>Yes</v>
      </c>
      <c r="U239" t="e">
        <f>IF(Table13[[#This Row],[Category All]]="Category 3", "Yes",NA())</f>
        <v>#N/A</v>
      </c>
      <c r="V239">
        <f>SUM(1,(1/3)*(Table13[[#This Row],[Length]]-0.5),(1/3)*(Table13[[#This Row],[Diameter]]-0.4),(1/3)*(Table13[[#This Row],[Height]]-0.4)*Table13[[#This Row],[Whole_weight]]*0.5)</f>
        <v>0.9991000000000001</v>
      </c>
      <c r="W239" cm="1">
        <f t="array" ref="W2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0.7992800000000001</v>
      </c>
      <c r="X239" t="e">
        <f>IF(Table13[[#This Row],[Category All]]="Category 1",Table13[[#This Row],[Base Abalone Value]]*1.5,NA())</f>
        <v>#N/A</v>
      </c>
      <c r="Y239">
        <f>IF(Table13[[#This Row],[Category All]]="Category 2",Table13[[#This Row],[Base Abalone Value]]*0.8,NA())</f>
        <v>0.7992800000000001</v>
      </c>
      <c r="Z239" t="e">
        <f>IF(Table13[[#This Row],[Category All]]="Category 3",Table13[[#This Row],[Base Abalone Value]],NA())</f>
        <v>#N/A</v>
      </c>
      <c r="AA239" s="2">
        <f>IF(Table13[[#This Row],[Gender]]="M",Table13[[#This Row],[Whole_weight]],NA())</f>
        <v>0.89749999999999996</v>
      </c>
      <c r="AB239" s="2" t="e">
        <f>IF(Table13[[#This Row],[Gender]]="F",Table13[[#This Row],[Whole_weight]],NA())</f>
        <v>#N/A</v>
      </c>
      <c r="AC239" s="2" t="e">
        <f>IF(Table13[[#This Row],[Gender]]="I",Table13[[#This Row],[Whole_weight]],NA())</f>
        <v>#N/A</v>
      </c>
      <c r="AD239" s="2">
        <f>IF(Table13[[#This Row],[Gender]]="M",Table13[[#This Row],[Diameter]],NA())</f>
        <v>0.46</v>
      </c>
      <c r="AE239" s="2" t="e">
        <f>IF(Table13[[#This Row],[Gender]]="F",Table13[[#This Row],[Diameter]],NA())</f>
        <v>#N/A</v>
      </c>
      <c r="AF239" s="2" t="e">
        <f>IF(Table13[[#This Row],[Gender]]="I",Table13[[#This Row],[Diameter]],NA())</f>
        <v>#N/A</v>
      </c>
    </row>
    <row r="240" spans="1:32" x14ac:dyDescent="0.2">
      <c r="A240">
        <v>4158</v>
      </c>
      <c r="B240" t="s">
        <v>15</v>
      </c>
      <c r="C240">
        <v>0.47499999999999998</v>
      </c>
      <c r="D240">
        <v>0.36</v>
      </c>
      <c r="E240">
        <v>0.14000000000000001</v>
      </c>
      <c r="F240">
        <v>0.51349999999999996</v>
      </c>
      <c r="G240">
        <v>0.24099999999999999</v>
      </c>
      <c r="H240">
        <v>0.1045</v>
      </c>
      <c r="I240">
        <v>0.155</v>
      </c>
      <c r="J240">
        <v>8</v>
      </c>
      <c r="K240">
        <v>5</v>
      </c>
      <c r="L240" t="s">
        <v>26</v>
      </c>
      <c r="M240" t="s">
        <v>27</v>
      </c>
      <c r="N240" t="s">
        <v>28</v>
      </c>
      <c r="O240">
        <v>3</v>
      </c>
      <c r="P240" t="s">
        <v>48</v>
      </c>
      <c r="Q240">
        <v>3.6</v>
      </c>
      <c r="R240" t="str" cm="1">
        <f t="array" ref="R2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0" t="e">
        <f>IF(Table13[[#This Row],[Category All]]="Category 1", "Yes",NA())</f>
        <v>#N/A</v>
      </c>
      <c r="T240" t="str">
        <f>IF(Table13[[#This Row],[Category All]]="Category 2", "Yes",NA())</f>
        <v>Yes</v>
      </c>
      <c r="U240" t="e">
        <f>IF(Table13[[#This Row],[Category All]]="Category 3", "Yes",NA())</f>
        <v>#N/A</v>
      </c>
      <c r="V240">
        <f>SUM(1,(1/3)*(Table13[[#This Row],[Length]]-0.5),(1/3)*(Table13[[#This Row],[Diameter]]-0.4),(1/3)*(Table13[[#This Row],[Height]]-0.4)*Table13[[#This Row],[Whole_weight]]*0.5)</f>
        <v>0.95608166666666672</v>
      </c>
      <c r="W240" cm="1">
        <f t="array" ref="W2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0.7648653333333334</v>
      </c>
      <c r="X240" t="e">
        <f>IF(Table13[[#This Row],[Category All]]="Category 1",Table13[[#This Row],[Base Abalone Value]]*1.5,NA())</f>
        <v>#N/A</v>
      </c>
      <c r="Y240">
        <f>IF(Table13[[#This Row],[Category All]]="Category 2",Table13[[#This Row],[Base Abalone Value]]*0.8,NA())</f>
        <v>0.7648653333333334</v>
      </c>
      <c r="Z240" t="e">
        <f>IF(Table13[[#This Row],[Category All]]="Category 3",Table13[[#This Row],[Base Abalone Value]],NA())</f>
        <v>#N/A</v>
      </c>
      <c r="AA240" s="2">
        <f>IF(Table13[[#This Row],[Gender]]="M",Table13[[#This Row],[Whole_weight]],NA())</f>
        <v>0.51349999999999996</v>
      </c>
      <c r="AB240" s="2" t="e">
        <f>IF(Table13[[#This Row],[Gender]]="F",Table13[[#This Row],[Whole_weight]],NA())</f>
        <v>#N/A</v>
      </c>
      <c r="AC240" s="2" t="e">
        <f>IF(Table13[[#This Row],[Gender]]="I",Table13[[#This Row],[Whole_weight]],NA())</f>
        <v>#N/A</v>
      </c>
      <c r="AD240" s="2">
        <f>IF(Table13[[#This Row],[Gender]]="M",Table13[[#This Row],[Diameter]],NA())</f>
        <v>0.36</v>
      </c>
      <c r="AE240" s="2" t="e">
        <f>IF(Table13[[#This Row],[Gender]]="F",Table13[[#This Row],[Diameter]],NA())</f>
        <v>#N/A</v>
      </c>
      <c r="AF240" s="2" t="e">
        <f>IF(Table13[[#This Row],[Gender]]="I",Table13[[#This Row],[Diameter]],NA())</f>
        <v>#N/A</v>
      </c>
    </row>
    <row r="241" spans="1:32" x14ac:dyDescent="0.2">
      <c r="A241">
        <v>3745</v>
      </c>
      <c r="B241" t="s">
        <v>11</v>
      </c>
      <c r="C241">
        <v>0.27500000000000002</v>
      </c>
      <c r="D241">
        <v>0.20499999999999999</v>
      </c>
      <c r="E241">
        <v>6.5000000000000002E-2</v>
      </c>
      <c r="F241">
        <v>0.10100000000000001</v>
      </c>
      <c r="G241">
        <v>4.1000000000000002E-2</v>
      </c>
      <c r="H241">
        <v>2.1000000000000001E-2</v>
      </c>
      <c r="I241">
        <v>3.4000000000000002E-2</v>
      </c>
      <c r="J241">
        <v>5</v>
      </c>
      <c r="K241">
        <v>5</v>
      </c>
      <c r="L241" t="s">
        <v>26</v>
      </c>
      <c r="M241" t="s">
        <v>27</v>
      </c>
      <c r="N241" t="s">
        <v>28</v>
      </c>
      <c r="O241">
        <v>8</v>
      </c>
      <c r="P241" t="s">
        <v>19</v>
      </c>
      <c r="Q241">
        <v>12.3</v>
      </c>
      <c r="R241" t="str" cm="1">
        <f t="array" ref="R2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1" t="e">
        <f>IF(Table13[[#This Row],[Category All]]="Category 1", "Yes",NA())</f>
        <v>#N/A</v>
      </c>
      <c r="T241" t="str">
        <f>IF(Table13[[#This Row],[Category All]]="Category 2", "Yes",NA())</f>
        <v>Yes</v>
      </c>
      <c r="U241" t="e">
        <f>IF(Table13[[#This Row],[Category All]]="Category 3", "Yes",NA())</f>
        <v>#N/A</v>
      </c>
      <c r="V241">
        <f>SUM(1,(1/3)*(Table13[[#This Row],[Length]]-0.5),(1/3)*(Table13[[#This Row],[Diameter]]-0.4),(1/3)*(Table13[[#This Row],[Height]]-0.4)*Table13[[#This Row],[Whole_weight]]*0.5)</f>
        <v>0.85436083333333346</v>
      </c>
      <c r="W241" cm="1">
        <f t="array" ref="W2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0.68348866666666686</v>
      </c>
      <c r="X241" t="e">
        <f>IF(Table13[[#This Row],[Category All]]="Category 1",Table13[[#This Row],[Base Abalone Value]]*1.5,NA())</f>
        <v>#N/A</v>
      </c>
      <c r="Y241">
        <f>IF(Table13[[#This Row],[Category All]]="Category 2",Table13[[#This Row],[Base Abalone Value]]*0.8,NA())</f>
        <v>0.68348866666666686</v>
      </c>
      <c r="Z241" t="e">
        <f>IF(Table13[[#This Row],[Category All]]="Category 3",Table13[[#This Row],[Base Abalone Value]],NA())</f>
        <v>#N/A</v>
      </c>
      <c r="AA241" s="2" t="e">
        <f>IF(Table13[[#This Row],[Gender]]="M",Table13[[#This Row],[Whole_weight]],NA())</f>
        <v>#N/A</v>
      </c>
      <c r="AB241" s="2" t="e">
        <f>IF(Table13[[#This Row],[Gender]]="F",Table13[[#This Row],[Whole_weight]],NA())</f>
        <v>#N/A</v>
      </c>
      <c r="AC241" s="2">
        <f>IF(Table13[[#This Row],[Gender]]="I",Table13[[#This Row],[Whole_weight]],NA())</f>
        <v>0.10100000000000001</v>
      </c>
      <c r="AD241" s="2" t="e">
        <f>IF(Table13[[#This Row],[Gender]]="M",Table13[[#This Row],[Diameter]],NA())</f>
        <v>#N/A</v>
      </c>
      <c r="AE241" s="2" t="e">
        <f>IF(Table13[[#This Row],[Gender]]="F",Table13[[#This Row],[Diameter]],NA())</f>
        <v>#N/A</v>
      </c>
      <c r="AF241" s="2">
        <f>IF(Table13[[#This Row],[Gender]]="I",Table13[[#This Row],[Diameter]],NA())</f>
        <v>0.20499999999999999</v>
      </c>
    </row>
    <row r="242" spans="1:32" x14ac:dyDescent="0.2">
      <c r="A242">
        <v>753</v>
      </c>
      <c r="B242" t="s">
        <v>0</v>
      </c>
      <c r="C242">
        <v>0.60499999999999998</v>
      </c>
      <c r="D242">
        <v>0.46</v>
      </c>
      <c r="E242">
        <v>0.17</v>
      </c>
      <c r="F242">
        <v>1.1220000000000001</v>
      </c>
      <c r="G242">
        <v>0.34699999999999998</v>
      </c>
      <c r="H242">
        <v>0.30449999999999999</v>
      </c>
      <c r="I242">
        <v>0.315</v>
      </c>
      <c r="J242">
        <v>13</v>
      </c>
      <c r="K242">
        <v>15</v>
      </c>
      <c r="L242" t="s">
        <v>49</v>
      </c>
      <c r="M242" t="s">
        <v>50</v>
      </c>
      <c r="N242" t="s">
        <v>3</v>
      </c>
      <c r="O242">
        <v>4</v>
      </c>
      <c r="P242" t="s">
        <v>10</v>
      </c>
      <c r="Q242">
        <v>6.1</v>
      </c>
      <c r="R242" t="str" cm="1">
        <f t="array" ref="R2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2" t="e">
        <f>IF(Table13[[#This Row],[Category All]]="Category 1", "Yes",NA())</f>
        <v>#N/A</v>
      </c>
      <c r="T242" t="str">
        <f>IF(Table13[[#This Row],[Category All]]="Category 2", "Yes",NA())</f>
        <v>Yes</v>
      </c>
      <c r="U242" t="e">
        <f>IF(Table13[[#This Row],[Category All]]="Category 3", "Yes",NA())</f>
        <v>#N/A</v>
      </c>
      <c r="V242">
        <f>SUM(1,(1/3)*(Table13[[#This Row],[Length]]-0.5),(1/3)*(Table13[[#This Row],[Diameter]]-0.4),(1/3)*(Table13[[#This Row],[Height]]-0.4)*Table13[[#This Row],[Whole_weight]]*0.5)</f>
        <v>1.0119899999999999</v>
      </c>
      <c r="W242" cm="1">
        <f t="array" ref="W2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0.80959199999999998</v>
      </c>
      <c r="X242" t="e">
        <f>IF(Table13[[#This Row],[Category All]]="Category 1",Table13[[#This Row],[Base Abalone Value]]*1.5,NA())</f>
        <v>#N/A</v>
      </c>
      <c r="Y242">
        <f>IF(Table13[[#This Row],[Category All]]="Category 2",Table13[[#This Row],[Base Abalone Value]]*0.8,NA())</f>
        <v>0.80959199999999998</v>
      </c>
      <c r="Z242" t="e">
        <f>IF(Table13[[#This Row],[Category All]]="Category 3",Table13[[#This Row],[Base Abalone Value]],NA())</f>
        <v>#N/A</v>
      </c>
      <c r="AA242" s="2" t="e">
        <f>IF(Table13[[#This Row],[Gender]]="M",Table13[[#This Row],[Whole_weight]],NA())</f>
        <v>#N/A</v>
      </c>
      <c r="AB242" s="2">
        <f>IF(Table13[[#This Row],[Gender]]="F",Table13[[#This Row],[Whole_weight]],NA())</f>
        <v>1.1220000000000001</v>
      </c>
      <c r="AC242" s="2" t="e">
        <f>IF(Table13[[#This Row],[Gender]]="I",Table13[[#This Row],[Whole_weight]],NA())</f>
        <v>#N/A</v>
      </c>
      <c r="AD242" s="2" t="e">
        <f>IF(Table13[[#This Row],[Gender]]="M",Table13[[#This Row],[Diameter]],NA())</f>
        <v>#N/A</v>
      </c>
      <c r="AE242" s="2">
        <f>IF(Table13[[#This Row],[Gender]]="F",Table13[[#This Row],[Diameter]],NA())</f>
        <v>0.46</v>
      </c>
      <c r="AF242" s="2" t="e">
        <f>IF(Table13[[#This Row],[Gender]]="I",Table13[[#This Row],[Diameter]],NA())</f>
        <v>#N/A</v>
      </c>
    </row>
    <row r="243" spans="1:32" x14ac:dyDescent="0.2">
      <c r="A243">
        <v>1632</v>
      </c>
      <c r="B243" t="s">
        <v>11</v>
      </c>
      <c r="C243">
        <v>0.56999999999999995</v>
      </c>
      <c r="D243">
        <v>0.44500000000000001</v>
      </c>
      <c r="E243">
        <v>0.14499999999999999</v>
      </c>
      <c r="F243">
        <v>0.74050000000000005</v>
      </c>
      <c r="G243">
        <v>0.30599999999999999</v>
      </c>
      <c r="H243">
        <v>0.17199999999999999</v>
      </c>
      <c r="I243">
        <v>0.1825</v>
      </c>
      <c r="J243">
        <v>12</v>
      </c>
      <c r="K243">
        <v>9</v>
      </c>
      <c r="L243" t="s">
        <v>20</v>
      </c>
      <c r="M243" t="s">
        <v>21</v>
      </c>
      <c r="N243" t="s">
        <v>22</v>
      </c>
      <c r="O243">
        <v>8</v>
      </c>
      <c r="P243" t="s">
        <v>19</v>
      </c>
      <c r="Q243">
        <v>12.3</v>
      </c>
      <c r="R243" t="str" cm="1">
        <f t="array" ref="R2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3" t="e">
        <f>IF(Table13[[#This Row],[Category All]]="Category 1", "Yes",NA())</f>
        <v>#N/A</v>
      </c>
      <c r="T243" t="str">
        <f>IF(Table13[[#This Row],[Category All]]="Category 2", "Yes",NA())</f>
        <v>Yes</v>
      </c>
      <c r="U243" t="e">
        <f>IF(Table13[[#This Row],[Category All]]="Category 3", "Yes",NA())</f>
        <v>#N/A</v>
      </c>
      <c r="V243">
        <f>SUM(1,(1/3)*(Table13[[#This Row],[Length]]-0.5),(1/3)*(Table13[[#This Row],[Diameter]]-0.4),(1/3)*(Table13[[#This Row],[Height]]-0.4)*Table13[[#This Row],[Whole_weight]]*0.5)</f>
        <v>1.0068620833333333</v>
      </c>
      <c r="W243" cm="1">
        <f t="array" ref="W2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0.80548966666666666</v>
      </c>
      <c r="X243" t="e">
        <f>IF(Table13[[#This Row],[Category All]]="Category 1",Table13[[#This Row],[Base Abalone Value]]*1.5,NA())</f>
        <v>#N/A</v>
      </c>
      <c r="Y243">
        <f>IF(Table13[[#This Row],[Category All]]="Category 2",Table13[[#This Row],[Base Abalone Value]]*0.8,NA())</f>
        <v>0.80548966666666666</v>
      </c>
      <c r="Z243" t="e">
        <f>IF(Table13[[#This Row],[Category All]]="Category 3",Table13[[#This Row],[Base Abalone Value]],NA())</f>
        <v>#N/A</v>
      </c>
      <c r="AA243" s="2" t="e">
        <f>IF(Table13[[#This Row],[Gender]]="M",Table13[[#This Row],[Whole_weight]],NA())</f>
        <v>#N/A</v>
      </c>
      <c r="AB243" s="2" t="e">
        <f>IF(Table13[[#This Row],[Gender]]="F",Table13[[#This Row],[Whole_weight]],NA())</f>
        <v>#N/A</v>
      </c>
      <c r="AC243" s="2">
        <f>IF(Table13[[#This Row],[Gender]]="I",Table13[[#This Row],[Whole_weight]],NA())</f>
        <v>0.74050000000000005</v>
      </c>
      <c r="AD243" s="2" t="e">
        <f>IF(Table13[[#This Row],[Gender]]="M",Table13[[#This Row],[Diameter]],NA())</f>
        <v>#N/A</v>
      </c>
      <c r="AE243" s="2" t="e">
        <f>IF(Table13[[#This Row],[Gender]]="F",Table13[[#This Row],[Diameter]],NA())</f>
        <v>#N/A</v>
      </c>
      <c r="AF243" s="2">
        <f>IF(Table13[[#This Row],[Gender]]="I",Table13[[#This Row],[Diameter]],NA())</f>
        <v>0.44500000000000001</v>
      </c>
    </row>
    <row r="244" spans="1:32" x14ac:dyDescent="0.2">
      <c r="A244">
        <v>1911</v>
      </c>
      <c r="B244" t="s">
        <v>0</v>
      </c>
      <c r="C244">
        <v>0.57999999999999996</v>
      </c>
      <c r="D244">
        <v>0.5</v>
      </c>
      <c r="E244">
        <v>0.16500000000000001</v>
      </c>
      <c r="F244">
        <v>0.92500000000000004</v>
      </c>
      <c r="G244">
        <v>0.37</v>
      </c>
      <c r="H244">
        <v>0.185</v>
      </c>
      <c r="I244">
        <v>0.30049999999999999</v>
      </c>
      <c r="J244">
        <v>10</v>
      </c>
      <c r="K244">
        <v>13</v>
      </c>
      <c r="L244" t="s">
        <v>12</v>
      </c>
      <c r="M244" t="s">
        <v>13</v>
      </c>
      <c r="N244" t="s">
        <v>3</v>
      </c>
      <c r="O244">
        <v>2</v>
      </c>
      <c r="P244" t="s">
        <v>7</v>
      </c>
      <c r="Q244">
        <v>18</v>
      </c>
      <c r="R244" t="str" cm="1">
        <f t="array" ref="R2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4" t="e">
        <f>IF(Table13[[#This Row],[Category All]]="Category 1", "Yes",NA())</f>
        <v>#N/A</v>
      </c>
      <c r="T244" t="str">
        <f>IF(Table13[[#This Row],[Category All]]="Category 2", "Yes",NA())</f>
        <v>Yes</v>
      </c>
      <c r="U244" t="e">
        <f>IF(Table13[[#This Row],[Category All]]="Category 3", "Yes",NA())</f>
        <v>#N/A</v>
      </c>
      <c r="V244">
        <f>SUM(1,(1/3)*(Table13[[#This Row],[Length]]-0.5),(1/3)*(Table13[[#This Row],[Diameter]]-0.4),(1/3)*(Table13[[#This Row],[Height]]-0.4)*Table13[[#This Row],[Whole_weight]]*0.5)</f>
        <v>1.0237708333333333</v>
      </c>
      <c r="W244" cm="1">
        <f t="array" ref="W2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0.81901666666666673</v>
      </c>
      <c r="X244" t="e">
        <f>IF(Table13[[#This Row],[Category All]]="Category 1",Table13[[#This Row],[Base Abalone Value]]*1.5,NA())</f>
        <v>#N/A</v>
      </c>
      <c r="Y244">
        <f>IF(Table13[[#This Row],[Category All]]="Category 2",Table13[[#This Row],[Base Abalone Value]]*0.8,NA())</f>
        <v>0.81901666666666673</v>
      </c>
      <c r="Z244" t="e">
        <f>IF(Table13[[#This Row],[Category All]]="Category 3",Table13[[#This Row],[Base Abalone Value]],NA())</f>
        <v>#N/A</v>
      </c>
      <c r="AA244" s="2" t="e">
        <f>IF(Table13[[#This Row],[Gender]]="M",Table13[[#This Row],[Whole_weight]],NA())</f>
        <v>#N/A</v>
      </c>
      <c r="AB244" s="2">
        <f>IF(Table13[[#This Row],[Gender]]="F",Table13[[#This Row],[Whole_weight]],NA())</f>
        <v>0.92500000000000004</v>
      </c>
      <c r="AC244" s="2" t="e">
        <f>IF(Table13[[#This Row],[Gender]]="I",Table13[[#This Row],[Whole_weight]],NA())</f>
        <v>#N/A</v>
      </c>
      <c r="AD244" s="2" t="e">
        <f>IF(Table13[[#This Row],[Gender]]="M",Table13[[#This Row],[Diameter]],NA())</f>
        <v>#N/A</v>
      </c>
      <c r="AE244" s="2">
        <f>IF(Table13[[#This Row],[Gender]]="F",Table13[[#This Row],[Diameter]],NA())</f>
        <v>0.5</v>
      </c>
      <c r="AF244" s="2" t="e">
        <f>IF(Table13[[#This Row],[Gender]]="I",Table13[[#This Row],[Diameter]],NA())</f>
        <v>#N/A</v>
      </c>
    </row>
    <row r="245" spans="1:32" x14ac:dyDescent="0.2">
      <c r="A245">
        <v>1072</v>
      </c>
      <c r="B245" t="s">
        <v>11</v>
      </c>
      <c r="C245">
        <v>0.38500000000000001</v>
      </c>
      <c r="D245">
        <v>0.28999999999999998</v>
      </c>
      <c r="E245">
        <v>0.08</v>
      </c>
      <c r="F245">
        <v>0.2485</v>
      </c>
      <c r="G245">
        <v>0.122</v>
      </c>
      <c r="H245">
        <v>4.9500000000000002E-2</v>
      </c>
      <c r="I245">
        <v>6.5000000000000002E-2</v>
      </c>
      <c r="J245">
        <v>7</v>
      </c>
      <c r="K245">
        <v>13</v>
      </c>
      <c r="L245" t="s">
        <v>12</v>
      </c>
      <c r="M245" t="s">
        <v>13</v>
      </c>
      <c r="N245" t="s">
        <v>3</v>
      </c>
      <c r="O245">
        <v>8</v>
      </c>
      <c r="P245" t="s">
        <v>19</v>
      </c>
      <c r="Q245">
        <v>12.3</v>
      </c>
      <c r="R245" t="str" cm="1">
        <f t="array" ref="R2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5" t="e">
        <f>IF(Table13[[#This Row],[Category All]]="Category 1", "Yes",NA())</f>
        <v>#N/A</v>
      </c>
      <c r="T245" t="str">
        <f>IF(Table13[[#This Row],[Category All]]="Category 2", "Yes",NA())</f>
        <v>Yes</v>
      </c>
      <c r="U245" t="e">
        <f>IF(Table13[[#This Row],[Category All]]="Category 3", "Yes",NA())</f>
        <v>#N/A</v>
      </c>
      <c r="V245">
        <f>SUM(1,(1/3)*(Table13[[#This Row],[Length]]-0.5),(1/3)*(Table13[[#This Row],[Diameter]]-0.4),(1/3)*(Table13[[#This Row],[Height]]-0.4)*Table13[[#This Row],[Whole_weight]]*0.5)</f>
        <v>0.91174666666666671</v>
      </c>
      <c r="W245" cm="1">
        <f t="array" ref="W2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0.72939733333333345</v>
      </c>
      <c r="X245" t="e">
        <f>IF(Table13[[#This Row],[Category All]]="Category 1",Table13[[#This Row],[Base Abalone Value]]*1.5,NA())</f>
        <v>#N/A</v>
      </c>
      <c r="Y245">
        <f>IF(Table13[[#This Row],[Category All]]="Category 2",Table13[[#This Row],[Base Abalone Value]]*0.8,NA())</f>
        <v>0.72939733333333345</v>
      </c>
      <c r="Z245" t="e">
        <f>IF(Table13[[#This Row],[Category All]]="Category 3",Table13[[#This Row],[Base Abalone Value]],NA())</f>
        <v>#N/A</v>
      </c>
      <c r="AA245" s="2" t="e">
        <f>IF(Table13[[#This Row],[Gender]]="M",Table13[[#This Row],[Whole_weight]],NA())</f>
        <v>#N/A</v>
      </c>
      <c r="AB245" s="2" t="e">
        <f>IF(Table13[[#This Row],[Gender]]="F",Table13[[#This Row],[Whole_weight]],NA())</f>
        <v>#N/A</v>
      </c>
      <c r="AC245" s="2">
        <f>IF(Table13[[#This Row],[Gender]]="I",Table13[[#This Row],[Whole_weight]],NA())</f>
        <v>0.2485</v>
      </c>
      <c r="AD245" s="2" t="e">
        <f>IF(Table13[[#This Row],[Gender]]="M",Table13[[#This Row],[Diameter]],NA())</f>
        <v>#N/A</v>
      </c>
      <c r="AE245" s="2" t="e">
        <f>IF(Table13[[#This Row],[Gender]]="F",Table13[[#This Row],[Diameter]],NA())</f>
        <v>#N/A</v>
      </c>
      <c r="AF245" s="2">
        <f>IF(Table13[[#This Row],[Gender]]="I",Table13[[#This Row],[Diameter]],NA())</f>
        <v>0.28999999999999998</v>
      </c>
    </row>
    <row r="246" spans="1:32" x14ac:dyDescent="0.2">
      <c r="A246">
        <v>555</v>
      </c>
      <c r="B246" t="s">
        <v>11</v>
      </c>
      <c r="C246">
        <v>0.48499999999999999</v>
      </c>
      <c r="D246">
        <v>0.39</v>
      </c>
      <c r="E246">
        <v>0.125</v>
      </c>
      <c r="F246">
        <v>0.59099999999999997</v>
      </c>
      <c r="G246">
        <v>0.28699999999999998</v>
      </c>
      <c r="H246">
        <v>0.14099999999999999</v>
      </c>
      <c r="I246">
        <v>0.12</v>
      </c>
      <c r="J246">
        <v>9</v>
      </c>
      <c r="K246">
        <v>6</v>
      </c>
      <c r="L246" t="s">
        <v>39</v>
      </c>
      <c r="M246" t="s">
        <v>40</v>
      </c>
      <c r="N246" t="s">
        <v>41</v>
      </c>
      <c r="O246">
        <v>9</v>
      </c>
      <c r="P246" t="s">
        <v>46</v>
      </c>
      <c r="Q246">
        <v>1.9</v>
      </c>
      <c r="R246" t="str" cm="1">
        <f t="array" ref="R2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6" t="e">
        <f>IF(Table13[[#This Row],[Category All]]="Category 1", "Yes",NA())</f>
        <v>#N/A</v>
      </c>
      <c r="T246" t="str">
        <f>IF(Table13[[#This Row],[Category All]]="Category 2", "Yes",NA())</f>
        <v>Yes</v>
      </c>
      <c r="U246" t="e">
        <f>IF(Table13[[#This Row],[Category All]]="Category 3", "Yes",NA())</f>
        <v>#N/A</v>
      </c>
      <c r="V246">
        <f>SUM(1,(1/3)*(Table13[[#This Row],[Length]]-0.5),(1/3)*(Table13[[#This Row],[Diameter]]-0.4),(1/3)*(Table13[[#This Row],[Height]]-0.4)*Table13[[#This Row],[Whole_weight]]*0.5)</f>
        <v>0.96457916666666665</v>
      </c>
      <c r="W246" cm="1">
        <f t="array" ref="W2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0.77166333333333337</v>
      </c>
      <c r="X246" t="e">
        <f>IF(Table13[[#This Row],[Category All]]="Category 1",Table13[[#This Row],[Base Abalone Value]]*1.5,NA())</f>
        <v>#N/A</v>
      </c>
      <c r="Y246">
        <f>IF(Table13[[#This Row],[Category All]]="Category 2",Table13[[#This Row],[Base Abalone Value]]*0.8,NA())</f>
        <v>0.77166333333333337</v>
      </c>
      <c r="Z246" t="e">
        <f>IF(Table13[[#This Row],[Category All]]="Category 3",Table13[[#This Row],[Base Abalone Value]],NA())</f>
        <v>#N/A</v>
      </c>
      <c r="AA246" s="2" t="e">
        <f>IF(Table13[[#This Row],[Gender]]="M",Table13[[#This Row],[Whole_weight]],NA())</f>
        <v>#N/A</v>
      </c>
      <c r="AB246" s="2" t="e">
        <f>IF(Table13[[#This Row],[Gender]]="F",Table13[[#This Row],[Whole_weight]],NA())</f>
        <v>#N/A</v>
      </c>
      <c r="AC246" s="2">
        <f>IF(Table13[[#This Row],[Gender]]="I",Table13[[#This Row],[Whole_weight]],NA())</f>
        <v>0.59099999999999997</v>
      </c>
      <c r="AD246" s="2" t="e">
        <f>IF(Table13[[#This Row],[Gender]]="M",Table13[[#This Row],[Diameter]],NA())</f>
        <v>#N/A</v>
      </c>
      <c r="AE246" s="2" t="e">
        <f>IF(Table13[[#This Row],[Gender]]="F",Table13[[#This Row],[Diameter]],NA())</f>
        <v>#N/A</v>
      </c>
      <c r="AF246" s="2">
        <f>IF(Table13[[#This Row],[Gender]]="I",Table13[[#This Row],[Diameter]],NA())</f>
        <v>0.39</v>
      </c>
    </row>
    <row r="247" spans="1:32" x14ac:dyDescent="0.2">
      <c r="A247">
        <v>2339</v>
      </c>
      <c r="B247" t="s">
        <v>15</v>
      </c>
      <c r="C247">
        <v>0.65500000000000003</v>
      </c>
      <c r="D247">
        <v>0.48499999999999999</v>
      </c>
      <c r="E247">
        <v>0.19500000000000001</v>
      </c>
      <c r="F247">
        <v>1.62</v>
      </c>
      <c r="G247">
        <v>0.62749999999999995</v>
      </c>
      <c r="H247">
        <v>0.35799999999999998</v>
      </c>
      <c r="I247">
        <v>0.48499999999999999</v>
      </c>
      <c r="J247">
        <v>17</v>
      </c>
      <c r="K247">
        <v>11</v>
      </c>
      <c r="L247" t="s">
        <v>5</v>
      </c>
      <c r="M247" t="s">
        <v>6</v>
      </c>
      <c r="N247" t="s">
        <v>3</v>
      </c>
      <c r="O247">
        <v>7</v>
      </c>
      <c r="P247" t="s">
        <v>42</v>
      </c>
      <c r="Q247">
        <v>2.5</v>
      </c>
      <c r="R247" t="str" cm="1">
        <f t="array" ref="R2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7" t="e">
        <f>IF(Table13[[#This Row],[Category All]]="Category 1", "Yes",NA())</f>
        <v>#N/A</v>
      </c>
      <c r="T247" t="str">
        <f>IF(Table13[[#This Row],[Category All]]="Category 2", "Yes",NA())</f>
        <v>Yes</v>
      </c>
      <c r="U247" t="e">
        <f>IF(Table13[[#This Row],[Category All]]="Category 3", "Yes",NA())</f>
        <v>#N/A</v>
      </c>
      <c r="V247">
        <f>SUM(1,(1/3)*(Table13[[#This Row],[Length]]-0.5),(1/3)*(Table13[[#This Row],[Diameter]]-0.4),(1/3)*(Table13[[#This Row],[Height]]-0.4)*Table13[[#This Row],[Whole_weight]]*0.5)</f>
        <v>1.0246500000000001</v>
      </c>
      <c r="W247" cm="1">
        <f t="array" ref="W2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0.81972000000000012</v>
      </c>
      <c r="X247" t="e">
        <f>IF(Table13[[#This Row],[Category All]]="Category 1",Table13[[#This Row],[Base Abalone Value]]*1.5,NA())</f>
        <v>#N/A</v>
      </c>
      <c r="Y247">
        <f>IF(Table13[[#This Row],[Category All]]="Category 2",Table13[[#This Row],[Base Abalone Value]]*0.8,NA())</f>
        <v>0.81972000000000012</v>
      </c>
      <c r="Z247" t="e">
        <f>IF(Table13[[#This Row],[Category All]]="Category 3",Table13[[#This Row],[Base Abalone Value]],NA())</f>
        <v>#N/A</v>
      </c>
      <c r="AA247" s="2">
        <f>IF(Table13[[#This Row],[Gender]]="M",Table13[[#This Row],[Whole_weight]],NA())</f>
        <v>1.62</v>
      </c>
      <c r="AB247" s="2" t="e">
        <f>IF(Table13[[#This Row],[Gender]]="F",Table13[[#This Row],[Whole_weight]],NA())</f>
        <v>#N/A</v>
      </c>
      <c r="AC247" s="2" t="e">
        <f>IF(Table13[[#This Row],[Gender]]="I",Table13[[#This Row],[Whole_weight]],NA())</f>
        <v>#N/A</v>
      </c>
      <c r="AD247" s="2">
        <f>IF(Table13[[#This Row],[Gender]]="M",Table13[[#This Row],[Diameter]],NA())</f>
        <v>0.48499999999999999</v>
      </c>
      <c r="AE247" s="2" t="e">
        <f>IF(Table13[[#This Row],[Gender]]="F",Table13[[#This Row],[Diameter]],NA())</f>
        <v>#N/A</v>
      </c>
      <c r="AF247" s="2" t="e">
        <f>IF(Table13[[#This Row],[Gender]]="I",Table13[[#This Row],[Diameter]],NA())</f>
        <v>#N/A</v>
      </c>
    </row>
    <row r="248" spans="1:32" x14ac:dyDescent="0.2">
      <c r="A248">
        <v>2281</v>
      </c>
      <c r="B248" t="s">
        <v>15</v>
      </c>
      <c r="C248">
        <v>0.44</v>
      </c>
      <c r="D248">
        <v>0.375</v>
      </c>
      <c r="E248">
        <v>0.13</v>
      </c>
      <c r="F248">
        <v>0.48699999999999999</v>
      </c>
      <c r="G248">
        <v>0.22600000000000001</v>
      </c>
      <c r="H248">
        <v>9.6500000000000002E-2</v>
      </c>
      <c r="I248">
        <v>0.155</v>
      </c>
      <c r="J248">
        <v>9</v>
      </c>
      <c r="K248">
        <v>11</v>
      </c>
      <c r="L248" t="s">
        <v>5</v>
      </c>
      <c r="M248" t="s">
        <v>6</v>
      </c>
      <c r="N248" t="s">
        <v>3</v>
      </c>
      <c r="O248">
        <v>9</v>
      </c>
      <c r="P248" t="s">
        <v>46</v>
      </c>
      <c r="Q248">
        <v>1.9</v>
      </c>
      <c r="R248" t="str" cm="1">
        <f t="array" ref="R2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8" t="e">
        <f>IF(Table13[[#This Row],[Category All]]="Category 1", "Yes",NA())</f>
        <v>#N/A</v>
      </c>
      <c r="T248" t="str">
        <f>IF(Table13[[#This Row],[Category All]]="Category 2", "Yes",NA())</f>
        <v>Yes</v>
      </c>
      <c r="U248" t="e">
        <f>IF(Table13[[#This Row],[Category All]]="Category 3", "Yes",NA())</f>
        <v>#N/A</v>
      </c>
      <c r="V248">
        <f>SUM(1,(1/3)*(Table13[[#This Row],[Length]]-0.5),(1/3)*(Table13[[#This Row],[Diameter]]-0.4),(1/3)*(Table13[[#This Row],[Height]]-0.4)*Table13[[#This Row],[Whole_weight]]*0.5)</f>
        <v>0.94975166666666666</v>
      </c>
      <c r="W248" cm="1">
        <f t="array" ref="W2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0.75980133333333333</v>
      </c>
      <c r="X248" t="e">
        <f>IF(Table13[[#This Row],[Category All]]="Category 1",Table13[[#This Row],[Base Abalone Value]]*1.5,NA())</f>
        <v>#N/A</v>
      </c>
      <c r="Y248">
        <f>IF(Table13[[#This Row],[Category All]]="Category 2",Table13[[#This Row],[Base Abalone Value]]*0.8,NA())</f>
        <v>0.75980133333333333</v>
      </c>
      <c r="Z248" t="e">
        <f>IF(Table13[[#This Row],[Category All]]="Category 3",Table13[[#This Row],[Base Abalone Value]],NA())</f>
        <v>#N/A</v>
      </c>
      <c r="AA248" s="2">
        <f>IF(Table13[[#This Row],[Gender]]="M",Table13[[#This Row],[Whole_weight]],NA())</f>
        <v>0.48699999999999999</v>
      </c>
      <c r="AB248" s="2" t="e">
        <f>IF(Table13[[#This Row],[Gender]]="F",Table13[[#This Row],[Whole_weight]],NA())</f>
        <v>#N/A</v>
      </c>
      <c r="AC248" s="2" t="e">
        <f>IF(Table13[[#This Row],[Gender]]="I",Table13[[#This Row],[Whole_weight]],NA())</f>
        <v>#N/A</v>
      </c>
      <c r="AD248" s="2">
        <f>IF(Table13[[#This Row],[Gender]]="M",Table13[[#This Row],[Diameter]],NA())</f>
        <v>0.375</v>
      </c>
      <c r="AE248" s="2" t="e">
        <f>IF(Table13[[#This Row],[Gender]]="F",Table13[[#This Row],[Diameter]],NA())</f>
        <v>#N/A</v>
      </c>
      <c r="AF248" s="2" t="e">
        <f>IF(Table13[[#This Row],[Gender]]="I",Table13[[#This Row],[Diameter]],NA())</f>
        <v>#N/A</v>
      </c>
    </row>
    <row r="249" spans="1:32" x14ac:dyDescent="0.2">
      <c r="A249">
        <v>1554</v>
      </c>
      <c r="B249" t="s">
        <v>11</v>
      </c>
      <c r="C249">
        <v>0.39</v>
      </c>
      <c r="D249">
        <v>0.28999999999999998</v>
      </c>
      <c r="E249">
        <v>0.1</v>
      </c>
      <c r="F249">
        <v>0.2225</v>
      </c>
      <c r="G249">
        <v>9.5000000000000001E-2</v>
      </c>
      <c r="H249">
        <v>4.65E-2</v>
      </c>
      <c r="I249">
        <v>7.2999999999999995E-2</v>
      </c>
      <c r="J249">
        <v>7</v>
      </c>
      <c r="K249">
        <v>8</v>
      </c>
      <c r="L249" t="s">
        <v>29</v>
      </c>
      <c r="M249" t="s">
        <v>30</v>
      </c>
      <c r="N249" t="s">
        <v>31</v>
      </c>
      <c r="O249">
        <v>7</v>
      </c>
      <c r="P249" t="s">
        <v>42</v>
      </c>
      <c r="Q249">
        <v>2.5</v>
      </c>
      <c r="R249" t="str" cm="1">
        <f t="array" ref="R2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9" t="e">
        <f>IF(Table13[[#This Row],[Category All]]="Category 1", "Yes",NA())</f>
        <v>#N/A</v>
      </c>
      <c r="T249" t="str">
        <f>IF(Table13[[#This Row],[Category All]]="Category 2", "Yes",NA())</f>
        <v>Yes</v>
      </c>
      <c r="U249" t="e">
        <f>IF(Table13[[#This Row],[Category All]]="Category 3", "Yes",NA())</f>
        <v>#N/A</v>
      </c>
      <c r="V249">
        <f>SUM(1,(1/3)*(Table13[[#This Row],[Length]]-0.5),(1/3)*(Table13[[#This Row],[Diameter]]-0.4),(1/3)*(Table13[[#This Row],[Height]]-0.4)*Table13[[#This Row],[Whole_weight]]*0.5)</f>
        <v>0.9155416666666667</v>
      </c>
      <c r="W249" cm="1">
        <f t="array" ref="W2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0.73243333333333338</v>
      </c>
      <c r="X249" t="e">
        <f>IF(Table13[[#This Row],[Category All]]="Category 1",Table13[[#This Row],[Base Abalone Value]]*1.5,NA())</f>
        <v>#N/A</v>
      </c>
      <c r="Y249">
        <f>IF(Table13[[#This Row],[Category All]]="Category 2",Table13[[#This Row],[Base Abalone Value]]*0.8,NA())</f>
        <v>0.73243333333333338</v>
      </c>
      <c r="Z249" t="e">
        <f>IF(Table13[[#This Row],[Category All]]="Category 3",Table13[[#This Row],[Base Abalone Value]],NA())</f>
        <v>#N/A</v>
      </c>
      <c r="AA249" s="2" t="e">
        <f>IF(Table13[[#This Row],[Gender]]="M",Table13[[#This Row],[Whole_weight]],NA())</f>
        <v>#N/A</v>
      </c>
      <c r="AB249" s="2" t="e">
        <f>IF(Table13[[#This Row],[Gender]]="F",Table13[[#This Row],[Whole_weight]],NA())</f>
        <v>#N/A</v>
      </c>
      <c r="AC249" s="2">
        <f>IF(Table13[[#This Row],[Gender]]="I",Table13[[#This Row],[Whole_weight]],NA())</f>
        <v>0.2225</v>
      </c>
      <c r="AD249" s="2" t="e">
        <f>IF(Table13[[#This Row],[Gender]]="M",Table13[[#This Row],[Diameter]],NA())</f>
        <v>#N/A</v>
      </c>
      <c r="AE249" s="2" t="e">
        <f>IF(Table13[[#This Row],[Gender]]="F",Table13[[#This Row],[Diameter]],NA())</f>
        <v>#N/A</v>
      </c>
      <c r="AF249" s="2">
        <f>IF(Table13[[#This Row],[Gender]]="I",Table13[[#This Row],[Diameter]],NA())</f>
        <v>0.28999999999999998</v>
      </c>
    </row>
    <row r="250" spans="1:32" x14ac:dyDescent="0.2">
      <c r="A250">
        <v>2403</v>
      </c>
      <c r="B250" t="s">
        <v>11</v>
      </c>
      <c r="C250">
        <v>0.44</v>
      </c>
      <c r="D250">
        <v>0.35499999999999998</v>
      </c>
      <c r="E250">
        <v>0.16500000000000001</v>
      </c>
      <c r="F250">
        <v>0.435</v>
      </c>
      <c r="G250">
        <v>0.159</v>
      </c>
      <c r="H250">
        <v>0.105</v>
      </c>
      <c r="I250">
        <v>0.14000000000000001</v>
      </c>
      <c r="J250">
        <v>16</v>
      </c>
      <c r="K250">
        <v>5</v>
      </c>
      <c r="L250" t="s">
        <v>26</v>
      </c>
      <c r="M250" t="s">
        <v>27</v>
      </c>
      <c r="N250" t="s">
        <v>28</v>
      </c>
      <c r="O250">
        <v>10</v>
      </c>
      <c r="P250" t="s">
        <v>38</v>
      </c>
      <c r="Q250">
        <v>24.1</v>
      </c>
      <c r="R250" t="str" cm="1">
        <f t="array" ref="R2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250" t="str">
        <f>IF(Table13[[#This Row],[Category All]]="Category 1", "Yes",NA())</f>
        <v>Yes</v>
      </c>
      <c r="T250" t="e">
        <f>IF(Table13[[#This Row],[Category All]]="Category 2", "Yes",NA())</f>
        <v>#N/A</v>
      </c>
      <c r="U250" t="e">
        <f>IF(Table13[[#This Row],[Category All]]="Category 3", "Yes",NA())</f>
        <v>#N/A</v>
      </c>
      <c r="V250">
        <f>SUM(1,(1/3)*(Table13[[#This Row],[Length]]-0.5),(1/3)*(Table13[[#This Row],[Diameter]]-0.4),(1/3)*(Table13[[#This Row],[Height]]-0.4)*Table13[[#This Row],[Whole_weight]]*0.5)</f>
        <v>0.94796249999999993</v>
      </c>
      <c r="W250" cm="1">
        <f t="array" ref="W2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1.4219437499999998</v>
      </c>
      <c r="X250">
        <f>IF(Table13[[#This Row],[Category All]]="Category 1",Table13[[#This Row],[Base Abalone Value]]*1.5,NA())</f>
        <v>1.4219437499999998</v>
      </c>
      <c r="Y250" t="e">
        <f>IF(Table13[[#This Row],[Category All]]="Category 2",Table13[[#This Row],[Base Abalone Value]]*0.8,NA())</f>
        <v>#N/A</v>
      </c>
      <c r="Z250" t="e">
        <f>IF(Table13[[#This Row],[Category All]]="Category 3",Table13[[#This Row],[Base Abalone Value]],NA())</f>
        <v>#N/A</v>
      </c>
      <c r="AA250" s="2" t="e">
        <f>IF(Table13[[#This Row],[Gender]]="M",Table13[[#This Row],[Whole_weight]],NA())</f>
        <v>#N/A</v>
      </c>
      <c r="AB250" s="2" t="e">
        <f>IF(Table13[[#This Row],[Gender]]="F",Table13[[#This Row],[Whole_weight]],NA())</f>
        <v>#N/A</v>
      </c>
      <c r="AC250" s="2">
        <f>IF(Table13[[#This Row],[Gender]]="I",Table13[[#This Row],[Whole_weight]],NA())</f>
        <v>0.435</v>
      </c>
      <c r="AD250" s="2" t="e">
        <f>IF(Table13[[#This Row],[Gender]]="M",Table13[[#This Row],[Diameter]],NA())</f>
        <v>#N/A</v>
      </c>
      <c r="AE250" s="2" t="e">
        <f>IF(Table13[[#This Row],[Gender]]="F",Table13[[#This Row],[Diameter]],NA())</f>
        <v>#N/A</v>
      </c>
      <c r="AF250" s="2">
        <f>IF(Table13[[#This Row],[Gender]]="I",Table13[[#This Row],[Diameter]],NA())</f>
        <v>0.35499999999999998</v>
      </c>
    </row>
    <row r="251" spans="1:32" x14ac:dyDescent="0.2">
      <c r="A251">
        <v>1566</v>
      </c>
      <c r="B251" t="s">
        <v>11</v>
      </c>
      <c r="C251">
        <v>0.46</v>
      </c>
      <c r="D251">
        <v>0.35499999999999998</v>
      </c>
      <c r="E251">
        <v>0.11</v>
      </c>
      <c r="F251">
        <v>0.42549999999999999</v>
      </c>
      <c r="G251">
        <v>0.20150000000000001</v>
      </c>
      <c r="H251">
        <v>8.1000000000000003E-2</v>
      </c>
      <c r="I251">
        <v>0.13</v>
      </c>
      <c r="J251">
        <v>7</v>
      </c>
      <c r="K251">
        <v>4</v>
      </c>
      <c r="L251" t="s">
        <v>52</v>
      </c>
      <c r="M251" t="s">
        <v>53</v>
      </c>
      <c r="N251" t="s">
        <v>54</v>
      </c>
      <c r="O251">
        <v>7</v>
      </c>
      <c r="P251" t="s">
        <v>42</v>
      </c>
      <c r="Q251">
        <v>2.5</v>
      </c>
      <c r="R251" t="str" cm="1">
        <f t="array" ref="R2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51" t="e">
        <f>IF(Table13[[#This Row],[Category All]]="Category 1", "Yes",NA())</f>
        <v>#N/A</v>
      </c>
      <c r="T251" t="str">
        <f>IF(Table13[[#This Row],[Category All]]="Category 2", "Yes",NA())</f>
        <v>Yes</v>
      </c>
      <c r="U251" t="e">
        <f>IF(Table13[[#This Row],[Category All]]="Category 3", "Yes",NA())</f>
        <v>#N/A</v>
      </c>
      <c r="V251">
        <f>SUM(1,(1/3)*(Table13[[#This Row],[Length]]-0.5),(1/3)*(Table13[[#This Row],[Diameter]]-0.4),(1/3)*(Table13[[#This Row],[Height]]-0.4)*Table13[[#This Row],[Whole_weight]]*0.5)</f>
        <v>0.9511008333333334</v>
      </c>
      <c r="W251" cm="1">
        <f t="array" ref="W2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0.76088066666666676</v>
      </c>
      <c r="X251" t="e">
        <f>IF(Table13[[#This Row],[Category All]]="Category 1",Table13[[#This Row],[Base Abalone Value]]*1.5,NA())</f>
        <v>#N/A</v>
      </c>
      <c r="Y251">
        <f>IF(Table13[[#This Row],[Category All]]="Category 2",Table13[[#This Row],[Base Abalone Value]]*0.8,NA())</f>
        <v>0.76088066666666676</v>
      </c>
      <c r="Z251" t="e">
        <f>IF(Table13[[#This Row],[Category All]]="Category 3",Table13[[#This Row],[Base Abalone Value]],NA())</f>
        <v>#N/A</v>
      </c>
      <c r="AA251" s="2" t="e">
        <f>IF(Table13[[#This Row],[Gender]]="M",Table13[[#This Row],[Whole_weight]],NA())</f>
        <v>#N/A</v>
      </c>
      <c r="AB251" s="2" t="e">
        <f>IF(Table13[[#This Row],[Gender]]="F",Table13[[#This Row],[Whole_weight]],NA())</f>
        <v>#N/A</v>
      </c>
      <c r="AC251" s="2">
        <f>IF(Table13[[#This Row],[Gender]]="I",Table13[[#This Row],[Whole_weight]],NA())</f>
        <v>0.42549999999999999</v>
      </c>
      <c r="AD251" s="2" t="e">
        <f>IF(Table13[[#This Row],[Gender]]="M",Table13[[#This Row],[Diameter]],NA())</f>
        <v>#N/A</v>
      </c>
      <c r="AE251" s="2" t="e">
        <f>IF(Table13[[#This Row],[Gender]]="F",Table13[[#This Row],[Diameter]],NA())</f>
        <v>#N/A</v>
      </c>
      <c r="AF251" s="2">
        <f>IF(Table13[[#This Row],[Gender]]="I",Table13[[#This Row],[Diameter]],NA())</f>
        <v>0.35499999999999998</v>
      </c>
    </row>
    <row r="252" spans="1:32" x14ac:dyDescent="0.2">
      <c r="A252">
        <v>3624</v>
      </c>
      <c r="B252" t="s">
        <v>15</v>
      </c>
      <c r="C252">
        <v>0.66</v>
      </c>
      <c r="D252">
        <v>0.53</v>
      </c>
      <c r="E252">
        <v>0.17499999999999999</v>
      </c>
      <c r="F252">
        <v>1.583</v>
      </c>
      <c r="G252">
        <v>0.73950000000000005</v>
      </c>
      <c r="H252">
        <v>0.35049999999999998</v>
      </c>
      <c r="I252">
        <v>0.40500000000000003</v>
      </c>
      <c r="J252">
        <v>10</v>
      </c>
      <c r="K252">
        <v>2</v>
      </c>
      <c r="L252" t="s">
        <v>32</v>
      </c>
      <c r="M252" t="s">
        <v>33</v>
      </c>
      <c r="N252" t="s">
        <v>34</v>
      </c>
      <c r="O252">
        <v>2</v>
      </c>
      <c r="P252" t="s">
        <v>7</v>
      </c>
      <c r="Q252">
        <v>18</v>
      </c>
      <c r="R252" t="str" cm="1">
        <f t="array" ref="R2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52" t="e">
        <f>IF(Table13[[#This Row],[Category All]]="Category 1", "Yes",NA())</f>
        <v>#N/A</v>
      </c>
      <c r="T252" t="e">
        <f>IF(Table13[[#This Row],[Category All]]="Category 2", "Yes",NA())</f>
        <v>#N/A</v>
      </c>
      <c r="U252" t="str">
        <f>IF(Table13[[#This Row],[Category All]]="Category 3", "Yes",NA())</f>
        <v>Yes</v>
      </c>
      <c r="V252">
        <f>SUM(1,(1/3)*(Table13[[#This Row],[Length]]-0.5),(1/3)*(Table13[[#This Row],[Diameter]]-0.4),(1/3)*(Table13[[#This Row],[Height]]-0.4)*Table13[[#This Row],[Whole_weight]]*0.5)</f>
        <v>1.0373041666666667</v>
      </c>
      <c r="W252" cm="1">
        <f t="array" ref="W2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1.0373041666666667</v>
      </c>
      <c r="X252" t="e">
        <f>IF(Table13[[#This Row],[Category All]]="Category 1",Table13[[#This Row],[Base Abalone Value]]*1.5,NA())</f>
        <v>#N/A</v>
      </c>
      <c r="Y252" t="e">
        <f>IF(Table13[[#This Row],[Category All]]="Category 2",Table13[[#This Row],[Base Abalone Value]]*0.8,NA())</f>
        <v>#N/A</v>
      </c>
      <c r="Z252">
        <f>IF(Table13[[#This Row],[Category All]]="Category 3",Table13[[#This Row],[Base Abalone Value]],NA())</f>
        <v>1.0373041666666667</v>
      </c>
      <c r="AA252" s="2">
        <f>IF(Table13[[#This Row],[Gender]]="M",Table13[[#This Row],[Whole_weight]],NA())</f>
        <v>1.583</v>
      </c>
      <c r="AB252" s="2" t="e">
        <f>IF(Table13[[#This Row],[Gender]]="F",Table13[[#This Row],[Whole_weight]],NA())</f>
        <v>#N/A</v>
      </c>
      <c r="AC252" s="2" t="e">
        <f>IF(Table13[[#This Row],[Gender]]="I",Table13[[#This Row],[Whole_weight]],NA())</f>
        <v>#N/A</v>
      </c>
      <c r="AD252" s="2">
        <f>IF(Table13[[#This Row],[Gender]]="M",Table13[[#This Row],[Diameter]],NA())</f>
        <v>0.53</v>
      </c>
      <c r="AE252" s="2" t="e">
        <f>IF(Table13[[#This Row],[Gender]]="F",Table13[[#This Row],[Diameter]],NA())</f>
        <v>#N/A</v>
      </c>
      <c r="AF252" s="2" t="e">
        <f>IF(Table13[[#This Row],[Gender]]="I",Table13[[#This Row],[Diameter]],NA())</f>
        <v>#N/A</v>
      </c>
    </row>
    <row r="253" spans="1:32" x14ac:dyDescent="0.2">
      <c r="A253">
        <v>501</v>
      </c>
      <c r="B253" t="s">
        <v>0</v>
      </c>
      <c r="C253">
        <v>0.57999999999999996</v>
      </c>
      <c r="D253">
        <v>0.44</v>
      </c>
      <c r="E253">
        <v>0.18</v>
      </c>
      <c r="F253">
        <v>0.85399999999999998</v>
      </c>
      <c r="G253">
        <v>0.36649999999999999</v>
      </c>
      <c r="H253">
        <v>0.16350000000000001</v>
      </c>
      <c r="I253">
        <v>0.245</v>
      </c>
      <c r="J253">
        <v>12</v>
      </c>
      <c r="K253">
        <v>3</v>
      </c>
      <c r="L253" t="s">
        <v>43</v>
      </c>
      <c r="M253" t="s">
        <v>44</v>
      </c>
      <c r="N253" t="s">
        <v>45</v>
      </c>
      <c r="O253">
        <v>2</v>
      </c>
      <c r="P253" t="s">
        <v>7</v>
      </c>
      <c r="Q253">
        <v>18</v>
      </c>
      <c r="R253" t="str" cm="1">
        <f t="array" ref="R2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53" t="e">
        <f>IF(Table13[[#This Row],[Category All]]="Category 1", "Yes",NA())</f>
        <v>#N/A</v>
      </c>
      <c r="T253" t="str">
        <f>IF(Table13[[#This Row],[Category All]]="Category 2", "Yes",NA())</f>
        <v>Yes</v>
      </c>
      <c r="U253" t="e">
        <f>IF(Table13[[#This Row],[Category All]]="Category 3", "Yes",NA())</f>
        <v>#N/A</v>
      </c>
      <c r="V253">
        <f>SUM(1,(1/3)*(Table13[[#This Row],[Length]]-0.5),(1/3)*(Table13[[#This Row],[Diameter]]-0.4),(1/3)*(Table13[[#This Row],[Height]]-0.4)*Table13[[#This Row],[Whole_weight]]*0.5)</f>
        <v>1.0086866666666667</v>
      </c>
      <c r="W253" cm="1">
        <f t="array" ref="W2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0.80694933333333341</v>
      </c>
      <c r="X253" t="e">
        <f>IF(Table13[[#This Row],[Category All]]="Category 1",Table13[[#This Row],[Base Abalone Value]]*1.5,NA())</f>
        <v>#N/A</v>
      </c>
      <c r="Y253">
        <f>IF(Table13[[#This Row],[Category All]]="Category 2",Table13[[#This Row],[Base Abalone Value]]*0.8,NA())</f>
        <v>0.80694933333333341</v>
      </c>
      <c r="Z253" t="e">
        <f>IF(Table13[[#This Row],[Category All]]="Category 3",Table13[[#This Row],[Base Abalone Value]],NA())</f>
        <v>#N/A</v>
      </c>
      <c r="AA253" s="2" t="e">
        <f>IF(Table13[[#This Row],[Gender]]="M",Table13[[#This Row],[Whole_weight]],NA())</f>
        <v>#N/A</v>
      </c>
      <c r="AB253" s="2">
        <f>IF(Table13[[#This Row],[Gender]]="F",Table13[[#This Row],[Whole_weight]],NA())</f>
        <v>0.85399999999999998</v>
      </c>
      <c r="AC253" s="2" t="e">
        <f>IF(Table13[[#This Row],[Gender]]="I",Table13[[#This Row],[Whole_weight]],NA())</f>
        <v>#N/A</v>
      </c>
      <c r="AD253" s="2" t="e">
        <f>IF(Table13[[#This Row],[Gender]]="M",Table13[[#This Row],[Diameter]],NA())</f>
        <v>#N/A</v>
      </c>
      <c r="AE253" s="2">
        <f>IF(Table13[[#This Row],[Gender]]="F",Table13[[#This Row],[Diameter]],NA())</f>
        <v>0.44</v>
      </c>
      <c r="AF253" s="2" t="e">
        <f>IF(Table13[[#This Row],[Gender]]="I",Table13[[#This Row],[Diameter]],NA())</f>
        <v>#N/A</v>
      </c>
    </row>
    <row r="254" spans="1:32" x14ac:dyDescent="0.2">
      <c r="A254">
        <v>4148</v>
      </c>
      <c r="B254" t="s">
        <v>15</v>
      </c>
      <c r="C254">
        <v>0.69499999999999995</v>
      </c>
      <c r="D254">
        <v>0.55000000000000004</v>
      </c>
      <c r="E254">
        <v>0.19500000000000001</v>
      </c>
      <c r="F254">
        <v>1.6645000000000001</v>
      </c>
      <c r="G254">
        <v>0.72699999999999998</v>
      </c>
      <c r="H254">
        <v>0.36</v>
      </c>
      <c r="I254">
        <v>0.44500000000000001</v>
      </c>
      <c r="J254">
        <v>11</v>
      </c>
      <c r="K254">
        <v>2</v>
      </c>
      <c r="L254" t="s">
        <v>32</v>
      </c>
      <c r="M254" t="s">
        <v>33</v>
      </c>
      <c r="N254" t="s">
        <v>34</v>
      </c>
      <c r="O254">
        <v>8</v>
      </c>
      <c r="P254" t="s">
        <v>19</v>
      </c>
      <c r="Q254">
        <v>12.3</v>
      </c>
      <c r="R254" t="str" cm="1">
        <f t="array" ref="R2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54" t="e">
        <f>IF(Table13[[#This Row],[Category All]]="Category 1", "Yes",NA())</f>
        <v>#N/A</v>
      </c>
      <c r="T254" t="e">
        <f>IF(Table13[[#This Row],[Category All]]="Category 2", "Yes",NA())</f>
        <v>#N/A</v>
      </c>
      <c r="U254" t="str">
        <f>IF(Table13[[#This Row],[Category All]]="Category 3", "Yes",NA())</f>
        <v>Yes</v>
      </c>
      <c r="V254">
        <f>SUM(1,(1/3)*(Table13[[#This Row],[Length]]-0.5),(1/3)*(Table13[[#This Row],[Diameter]]-0.4),(1/3)*(Table13[[#This Row],[Height]]-0.4)*Table13[[#This Row],[Whole_weight]]*0.5)</f>
        <v>1.0581295833333333</v>
      </c>
      <c r="W254" cm="1">
        <f t="array" ref="W2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1.0581295833333333</v>
      </c>
      <c r="X254" t="e">
        <f>IF(Table13[[#This Row],[Category All]]="Category 1",Table13[[#This Row],[Base Abalone Value]]*1.5,NA())</f>
        <v>#N/A</v>
      </c>
      <c r="Y254" t="e">
        <f>IF(Table13[[#This Row],[Category All]]="Category 2",Table13[[#This Row],[Base Abalone Value]]*0.8,NA())</f>
        <v>#N/A</v>
      </c>
      <c r="Z254">
        <f>IF(Table13[[#This Row],[Category All]]="Category 3",Table13[[#This Row],[Base Abalone Value]],NA())</f>
        <v>1.0581295833333333</v>
      </c>
      <c r="AA254" s="2">
        <f>IF(Table13[[#This Row],[Gender]]="M",Table13[[#This Row],[Whole_weight]],NA())</f>
        <v>1.6645000000000001</v>
      </c>
      <c r="AB254" s="2" t="e">
        <f>IF(Table13[[#This Row],[Gender]]="F",Table13[[#This Row],[Whole_weight]],NA())</f>
        <v>#N/A</v>
      </c>
      <c r="AC254" s="2" t="e">
        <f>IF(Table13[[#This Row],[Gender]]="I",Table13[[#This Row],[Whole_weight]],NA())</f>
        <v>#N/A</v>
      </c>
      <c r="AD254" s="2">
        <f>IF(Table13[[#This Row],[Gender]]="M",Table13[[#This Row],[Diameter]],NA())</f>
        <v>0.55000000000000004</v>
      </c>
      <c r="AE254" s="2" t="e">
        <f>IF(Table13[[#This Row],[Gender]]="F",Table13[[#This Row],[Diameter]],NA())</f>
        <v>#N/A</v>
      </c>
      <c r="AF254" s="2" t="e">
        <f>IF(Table13[[#This Row],[Gender]]="I",Table13[[#This Row],[Diameter]],NA())</f>
        <v>#N/A</v>
      </c>
    </row>
    <row r="255" spans="1:32" x14ac:dyDescent="0.2">
      <c r="A255">
        <v>2358</v>
      </c>
      <c r="B255" t="s">
        <v>15</v>
      </c>
      <c r="C255">
        <v>0.58499999999999996</v>
      </c>
      <c r="D255">
        <v>0.45500000000000002</v>
      </c>
      <c r="E255">
        <v>0.125</v>
      </c>
      <c r="F255">
        <v>1.0269999999999999</v>
      </c>
      <c r="G255">
        <v>0.39100000000000001</v>
      </c>
      <c r="H255">
        <v>0.21199999999999999</v>
      </c>
      <c r="I255">
        <v>0.25</v>
      </c>
      <c r="J255">
        <v>17</v>
      </c>
      <c r="K255">
        <v>1</v>
      </c>
      <c r="L255" t="s">
        <v>8</v>
      </c>
      <c r="M255" t="s">
        <v>9</v>
      </c>
      <c r="N255" t="s">
        <v>3</v>
      </c>
      <c r="O255">
        <v>1</v>
      </c>
      <c r="P255" t="s">
        <v>4</v>
      </c>
      <c r="Q255">
        <v>22.1</v>
      </c>
      <c r="R255" t="str" cm="1">
        <f t="array" ref="R2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55" t="e">
        <f>IF(Table13[[#This Row],[Category All]]="Category 1", "Yes",NA())</f>
        <v>#N/A</v>
      </c>
      <c r="T255" t="str">
        <f>IF(Table13[[#This Row],[Category All]]="Category 2", "Yes",NA())</f>
        <v>Yes</v>
      </c>
      <c r="U255" t="e">
        <f>IF(Table13[[#This Row],[Category All]]="Category 3", "Yes",NA())</f>
        <v>#N/A</v>
      </c>
      <c r="V255">
        <f>SUM(1,(1/3)*(Table13[[#This Row],[Length]]-0.5),(1/3)*(Table13[[#This Row],[Diameter]]-0.4),(1/3)*(Table13[[#This Row],[Height]]-0.4)*Table13[[#This Row],[Whole_weight]]*0.5)</f>
        <v>0.99959583333333335</v>
      </c>
      <c r="W255" cm="1">
        <f t="array" ref="W2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0.7996766666666667</v>
      </c>
      <c r="X255" t="e">
        <f>IF(Table13[[#This Row],[Category All]]="Category 1",Table13[[#This Row],[Base Abalone Value]]*1.5,NA())</f>
        <v>#N/A</v>
      </c>
      <c r="Y255">
        <f>IF(Table13[[#This Row],[Category All]]="Category 2",Table13[[#This Row],[Base Abalone Value]]*0.8,NA())</f>
        <v>0.7996766666666667</v>
      </c>
      <c r="Z255" t="e">
        <f>IF(Table13[[#This Row],[Category All]]="Category 3",Table13[[#This Row],[Base Abalone Value]],NA())</f>
        <v>#N/A</v>
      </c>
      <c r="AA255" s="2">
        <f>IF(Table13[[#This Row],[Gender]]="M",Table13[[#This Row],[Whole_weight]],NA())</f>
        <v>1.0269999999999999</v>
      </c>
      <c r="AB255" s="2" t="e">
        <f>IF(Table13[[#This Row],[Gender]]="F",Table13[[#This Row],[Whole_weight]],NA())</f>
        <v>#N/A</v>
      </c>
      <c r="AC255" s="2" t="e">
        <f>IF(Table13[[#This Row],[Gender]]="I",Table13[[#This Row],[Whole_weight]],NA())</f>
        <v>#N/A</v>
      </c>
      <c r="AD255" s="2">
        <f>IF(Table13[[#This Row],[Gender]]="M",Table13[[#This Row],[Diameter]],NA())</f>
        <v>0.45500000000000002</v>
      </c>
      <c r="AE255" s="2" t="e">
        <f>IF(Table13[[#This Row],[Gender]]="F",Table13[[#This Row],[Diameter]],NA())</f>
        <v>#N/A</v>
      </c>
      <c r="AF255" s="2" t="e">
        <f>IF(Table13[[#This Row],[Gender]]="I",Table13[[#This Row],[Diameter]],NA())</f>
        <v>#N/A</v>
      </c>
    </row>
    <row r="256" spans="1:32" x14ac:dyDescent="0.2">
      <c r="A256">
        <v>2856</v>
      </c>
      <c r="B256" t="s">
        <v>0</v>
      </c>
      <c r="C256">
        <v>0.65500000000000003</v>
      </c>
      <c r="D256">
        <v>0.51500000000000001</v>
      </c>
      <c r="E256">
        <v>0.155</v>
      </c>
      <c r="F256">
        <v>1.3089999999999999</v>
      </c>
      <c r="G256">
        <v>0.52400000000000002</v>
      </c>
      <c r="H256">
        <v>0.34599999999999997</v>
      </c>
      <c r="I256">
        <v>0.38500000000000001</v>
      </c>
      <c r="J256">
        <v>11</v>
      </c>
      <c r="K256">
        <v>9</v>
      </c>
      <c r="L256" t="s">
        <v>20</v>
      </c>
      <c r="M256" t="s">
        <v>21</v>
      </c>
      <c r="N256" t="s">
        <v>22</v>
      </c>
      <c r="O256">
        <v>7</v>
      </c>
      <c r="P256" t="s">
        <v>42</v>
      </c>
      <c r="Q256">
        <v>2.5</v>
      </c>
      <c r="R256" t="str" cm="1">
        <f t="array" ref="R2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56" t="e">
        <f>IF(Table13[[#This Row],[Category All]]="Category 1", "Yes",NA())</f>
        <v>#N/A</v>
      </c>
      <c r="T256" t="e">
        <f>IF(Table13[[#This Row],[Category All]]="Category 2", "Yes",NA())</f>
        <v>#N/A</v>
      </c>
      <c r="U256" t="str">
        <f>IF(Table13[[#This Row],[Category All]]="Category 3", "Yes",NA())</f>
        <v>Yes</v>
      </c>
      <c r="V256">
        <f>SUM(1,(1/3)*(Table13[[#This Row],[Length]]-0.5),(1/3)*(Table13[[#This Row],[Diameter]]-0.4),(1/3)*(Table13[[#This Row],[Height]]-0.4)*Table13[[#This Row],[Whole_weight]]*0.5)</f>
        <v>1.0365491666666669</v>
      </c>
      <c r="W256" cm="1">
        <f t="array" ref="W2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1.0365491666666669</v>
      </c>
      <c r="X256" t="e">
        <f>IF(Table13[[#This Row],[Category All]]="Category 1",Table13[[#This Row],[Base Abalone Value]]*1.5,NA())</f>
        <v>#N/A</v>
      </c>
      <c r="Y256" t="e">
        <f>IF(Table13[[#This Row],[Category All]]="Category 2",Table13[[#This Row],[Base Abalone Value]]*0.8,NA())</f>
        <v>#N/A</v>
      </c>
      <c r="Z256">
        <f>IF(Table13[[#This Row],[Category All]]="Category 3",Table13[[#This Row],[Base Abalone Value]],NA())</f>
        <v>1.0365491666666669</v>
      </c>
      <c r="AA256" s="2" t="e">
        <f>IF(Table13[[#This Row],[Gender]]="M",Table13[[#This Row],[Whole_weight]],NA())</f>
        <v>#N/A</v>
      </c>
      <c r="AB256" s="2">
        <f>IF(Table13[[#This Row],[Gender]]="F",Table13[[#This Row],[Whole_weight]],NA())</f>
        <v>1.3089999999999999</v>
      </c>
      <c r="AC256" s="2" t="e">
        <f>IF(Table13[[#This Row],[Gender]]="I",Table13[[#This Row],[Whole_weight]],NA())</f>
        <v>#N/A</v>
      </c>
      <c r="AD256" s="2" t="e">
        <f>IF(Table13[[#This Row],[Gender]]="M",Table13[[#This Row],[Diameter]],NA())</f>
        <v>#N/A</v>
      </c>
      <c r="AE256" s="2">
        <f>IF(Table13[[#This Row],[Gender]]="F",Table13[[#This Row],[Diameter]],NA())</f>
        <v>0.51500000000000001</v>
      </c>
      <c r="AF256" s="2" t="e">
        <f>IF(Table13[[#This Row],[Gender]]="I",Table13[[#This Row],[Diameter]],NA())</f>
        <v>#N/A</v>
      </c>
    </row>
    <row r="257" spans="1:32" x14ac:dyDescent="0.2">
      <c r="A257">
        <v>1471</v>
      </c>
      <c r="B257" t="s">
        <v>11</v>
      </c>
      <c r="C257">
        <v>0.53</v>
      </c>
      <c r="D257">
        <v>0.43</v>
      </c>
      <c r="E257">
        <v>0.13</v>
      </c>
      <c r="F257">
        <v>0.70450000000000002</v>
      </c>
      <c r="G257">
        <v>0.34599999999999997</v>
      </c>
      <c r="H257">
        <v>0.14149999999999999</v>
      </c>
      <c r="I257">
        <v>0.189</v>
      </c>
      <c r="J257">
        <v>9</v>
      </c>
      <c r="K257">
        <v>11</v>
      </c>
      <c r="L257" t="s">
        <v>5</v>
      </c>
      <c r="M257" t="s">
        <v>6</v>
      </c>
      <c r="N257" t="s">
        <v>3</v>
      </c>
      <c r="O257">
        <v>8</v>
      </c>
      <c r="P257" t="s">
        <v>19</v>
      </c>
      <c r="Q257">
        <v>12.3</v>
      </c>
      <c r="R257" t="str" cm="1">
        <f t="array" ref="R2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57" t="e">
        <f>IF(Table13[[#This Row],[Category All]]="Category 1", "Yes",NA())</f>
        <v>#N/A</v>
      </c>
      <c r="T257" t="str">
        <f>IF(Table13[[#This Row],[Category All]]="Category 2", "Yes",NA())</f>
        <v>Yes</v>
      </c>
      <c r="U257" t="e">
        <f>IF(Table13[[#This Row],[Category All]]="Category 3", "Yes",NA())</f>
        <v>#N/A</v>
      </c>
      <c r="V257">
        <f>SUM(1,(1/3)*(Table13[[#This Row],[Length]]-0.5),(1/3)*(Table13[[#This Row],[Diameter]]-0.4),(1/3)*(Table13[[#This Row],[Height]]-0.4)*Table13[[#This Row],[Whole_weight]]*0.5)</f>
        <v>0.98829750000000005</v>
      </c>
      <c r="W257" cm="1">
        <f t="array" ref="W2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0.79063800000000006</v>
      </c>
      <c r="X257" t="e">
        <f>IF(Table13[[#This Row],[Category All]]="Category 1",Table13[[#This Row],[Base Abalone Value]]*1.5,NA())</f>
        <v>#N/A</v>
      </c>
      <c r="Y257">
        <f>IF(Table13[[#This Row],[Category All]]="Category 2",Table13[[#This Row],[Base Abalone Value]]*0.8,NA())</f>
        <v>0.79063800000000006</v>
      </c>
      <c r="Z257" t="e">
        <f>IF(Table13[[#This Row],[Category All]]="Category 3",Table13[[#This Row],[Base Abalone Value]],NA())</f>
        <v>#N/A</v>
      </c>
      <c r="AA257" s="2" t="e">
        <f>IF(Table13[[#This Row],[Gender]]="M",Table13[[#This Row],[Whole_weight]],NA())</f>
        <v>#N/A</v>
      </c>
      <c r="AB257" s="2" t="e">
        <f>IF(Table13[[#This Row],[Gender]]="F",Table13[[#This Row],[Whole_weight]],NA())</f>
        <v>#N/A</v>
      </c>
      <c r="AC257" s="2">
        <f>IF(Table13[[#This Row],[Gender]]="I",Table13[[#This Row],[Whole_weight]],NA())</f>
        <v>0.70450000000000002</v>
      </c>
      <c r="AD257" s="2" t="e">
        <f>IF(Table13[[#This Row],[Gender]]="M",Table13[[#This Row],[Diameter]],NA())</f>
        <v>#N/A</v>
      </c>
      <c r="AE257" s="2" t="e">
        <f>IF(Table13[[#This Row],[Gender]]="F",Table13[[#This Row],[Diameter]],NA())</f>
        <v>#N/A</v>
      </c>
      <c r="AF257" s="2">
        <f>IF(Table13[[#This Row],[Gender]]="I",Table13[[#This Row],[Diameter]],NA())</f>
        <v>0.43</v>
      </c>
    </row>
    <row r="258" spans="1:32" x14ac:dyDescent="0.2">
      <c r="A258">
        <v>1658</v>
      </c>
      <c r="B258" t="s">
        <v>15</v>
      </c>
      <c r="C258">
        <v>0.6</v>
      </c>
      <c r="D258">
        <v>0.48</v>
      </c>
      <c r="E258">
        <v>0.16500000000000001</v>
      </c>
      <c r="F258">
        <v>0.91649999999999998</v>
      </c>
      <c r="G258">
        <v>0.41349999999999998</v>
      </c>
      <c r="H258">
        <v>0.19650000000000001</v>
      </c>
      <c r="I258">
        <v>0.27250000000000002</v>
      </c>
      <c r="J258">
        <v>9</v>
      </c>
      <c r="K258">
        <v>14</v>
      </c>
      <c r="L258" t="s">
        <v>23</v>
      </c>
      <c r="M258" t="s">
        <v>24</v>
      </c>
      <c r="N258" t="s">
        <v>25</v>
      </c>
      <c r="O258">
        <v>2</v>
      </c>
      <c r="P258" t="s">
        <v>7</v>
      </c>
      <c r="Q258">
        <v>18</v>
      </c>
      <c r="R258" t="str" cm="1">
        <f t="array" ref="R2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58" t="e">
        <f>IF(Table13[[#This Row],[Category All]]="Category 1", "Yes",NA())</f>
        <v>#N/A</v>
      </c>
      <c r="T258" t="e">
        <f>IF(Table13[[#This Row],[Category All]]="Category 2", "Yes",NA())</f>
        <v>#N/A</v>
      </c>
      <c r="U258" t="str">
        <f>IF(Table13[[#This Row],[Category All]]="Category 3", "Yes",NA())</f>
        <v>Yes</v>
      </c>
      <c r="V258">
        <f>SUM(1,(1/3)*(Table13[[#This Row],[Length]]-0.5),(1/3)*(Table13[[#This Row],[Diameter]]-0.4),(1/3)*(Table13[[#This Row],[Height]]-0.4)*Table13[[#This Row],[Whole_weight]]*0.5)</f>
        <v>1.0241037499999999</v>
      </c>
      <c r="W258" cm="1">
        <f t="array" ref="W2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1.0241037499999999</v>
      </c>
      <c r="X258" t="e">
        <f>IF(Table13[[#This Row],[Category All]]="Category 1",Table13[[#This Row],[Base Abalone Value]]*1.5,NA())</f>
        <v>#N/A</v>
      </c>
      <c r="Y258" t="e">
        <f>IF(Table13[[#This Row],[Category All]]="Category 2",Table13[[#This Row],[Base Abalone Value]]*0.8,NA())</f>
        <v>#N/A</v>
      </c>
      <c r="Z258">
        <f>IF(Table13[[#This Row],[Category All]]="Category 3",Table13[[#This Row],[Base Abalone Value]],NA())</f>
        <v>1.0241037499999999</v>
      </c>
      <c r="AA258" s="2">
        <f>IF(Table13[[#This Row],[Gender]]="M",Table13[[#This Row],[Whole_weight]],NA())</f>
        <v>0.91649999999999998</v>
      </c>
      <c r="AB258" s="2" t="e">
        <f>IF(Table13[[#This Row],[Gender]]="F",Table13[[#This Row],[Whole_weight]],NA())</f>
        <v>#N/A</v>
      </c>
      <c r="AC258" s="2" t="e">
        <f>IF(Table13[[#This Row],[Gender]]="I",Table13[[#This Row],[Whole_weight]],NA())</f>
        <v>#N/A</v>
      </c>
      <c r="AD258" s="2">
        <f>IF(Table13[[#This Row],[Gender]]="M",Table13[[#This Row],[Diameter]],NA())</f>
        <v>0.48</v>
      </c>
      <c r="AE258" s="2" t="e">
        <f>IF(Table13[[#This Row],[Gender]]="F",Table13[[#This Row],[Diameter]],NA())</f>
        <v>#N/A</v>
      </c>
      <c r="AF258" s="2" t="e">
        <f>IF(Table13[[#This Row],[Gender]]="I",Table13[[#This Row],[Diameter]],NA())</f>
        <v>#N/A</v>
      </c>
    </row>
    <row r="259" spans="1:32" x14ac:dyDescent="0.2">
      <c r="A259">
        <v>4064</v>
      </c>
      <c r="B259" t="s">
        <v>0</v>
      </c>
      <c r="C259">
        <v>0.63</v>
      </c>
      <c r="D259">
        <v>0.51500000000000001</v>
      </c>
      <c r="E259">
        <v>0.16</v>
      </c>
      <c r="F259">
        <v>1.3360000000000001</v>
      </c>
      <c r="G259">
        <v>0.55300000000000005</v>
      </c>
      <c r="H259">
        <v>0.32050000000000001</v>
      </c>
      <c r="I259">
        <v>0.35</v>
      </c>
      <c r="J259">
        <v>11</v>
      </c>
      <c r="K259">
        <v>4</v>
      </c>
      <c r="L259" t="s">
        <v>52</v>
      </c>
      <c r="M259" t="s">
        <v>53</v>
      </c>
      <c r="N259" t="s">
        <v>54</v>
      </c>
      <c r="O259">
        <v>6</v>
      </c>
      <c r="P259" t="s">
        <v>47</v>
      </c>
      <c r="Q259">
        <v>14.1</v>
      </c>
      <c r="R259" t="str" cm="1">
        <f t="array" ref="R2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59" t="e">
        <f>IF(Table13[[#This Row],[Category All]]="Category 1", "Yes",NA())</f>
        <v>#N/A</v>
      </c>
      <c r="T259" t="e">
        <f>IF(Table13[[#This Row],[Category All]]="Category 2", "Yes",NA())</f>
        <v>#N/A</v>
      </c>
      <c r="U259" t="str">
        <f>IF(Table13[[#This Row],[Category All]]="Category 3", "Yes",NA())</f>
        <v>Yes</v>
      </c>
      <c r="V259">
        <f>SUM(1,(1/3)*(Table13[[#This Row],[Length]]-0.5),(1/3)*(Table13[[#This Row],[Diameter]]-0.4),(1/3)*(Table13[[#This Row],[Height]]-0.4)*Table13[[#This Row],[Whole_weight]]*0.5)</f>
        <v>1.0282266666666668</v>
      </c>
      <c r="W259" cm="1">
        <f t="array" ref="W2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1.0282266666666668</v>
      </c>
      <c r="X259" t="e">
        <f>IF(Table13[[#This Row],[Category All]]="Category 1",Table13[[#This Row],[Base Abalone Value]]*1.5,NA())</f>
        <v>#N/A</v>
      </c>
      <c r="Y259" t="e">
        <f>IF(Table13[[#This Row],[Category All]]="Category 2",Table13[[#This Row],[Base Abalone Value]]*0.8,NA())</f>
        <v>#N/A</v>
      </c>
      <c r="Z259">
        <f>IF(Table13[[#This Row],[Category All]]="Category 3",Table13[[#This Row],[Base Abalone Value]],NA())</f>
        <v>1.0282266666666668</v>
      </c>
      <c r="AA259" s="2" t="e">
        <f>IF(Table13[[#This Row],[Gender]]="M",Table13[[#This Row],[Whole_weight]],NA())</f>
        <v>#N/A</v>
      </c>
      <c r="AB259" s="2">
        <f>IF(Table13[[#This Row],[Gender]]="F",Table13[[#This Row],[Whole_weight]],NA())</f>
        <v>1.3360000000000001</v>
      </c>
      <c r="AC259" s="2" t="e">
        <f>IF(Table13[[#This Row],[Gender]]="I",Table13[[#This Row],[Whole_weight]],NA())</f>
        <v>#N/A</v>
      </c>
      <c r="AD259" s="2" t="e">
        <f>IF(Table13[[#This Row],[Gender]]="M",Table13[[#This Row],[Diameter]],NA())</f>
        <v>#N/A</v>
      </c>
      <c r="AE259" s="2">
        <f>IF(Table13[[#This Row],[Gender]]="F",Table13[[#This Row],[Diameter]],NA())</f>
        <v>0.51500000000000001</v>
      </c>
      <c r="AF259" s="2" t="e">
        <f>IF(Table13[[#This Row],[Gender]]="I",Table13[[#This Row],[Diameter]],NA())</f>
        <v>#N/A</v>
      </c>
    </row>
    <row r="260" spans="1:32" x14ac:dyDescent="0.2">
      <c r="A260">
        <v>1336</v>
      </c>
      <c r="B260" t="s">
        <v>0</v>
      </c>
      <c r="C260">
        <v>0.57499999999999996</v>
      </c>
      <c r="D260">
        <v>0.48</v>
      </c>
      <c r="E260">
        <v>0.16500000000000001</v>
      </c>
      <c r="F260">
        <v>1.0780000000000001</v>
      </c>
      <c r="G260">
        <v>0.51100000000000001</v>
      </c>
      <c r="H260">
        <v>0.20949999999999999</v>
      </c>
      <c r="I260">
        <v>0.30599999999999999</v>
      </c>
      <c r="J260">
        <v>9</v>
      </c>
      <c r="K260">
        <v>7</v>
      </c>
      <c r="L260" t="s">
        <v>35</v>
      </c>
      <c r="M260" t="s">
        <v>36</v>
      </c>
      <c r="N260" t="s">
        <v>37</v>
      </c>
      <c r="O260">
        <v>3</v>
      </c>
      <c r="P260" t="s">
        <v>48</v>
      </c>
      <c r="Q260">
        <v>3.6</v>
      </c>
      <c r="R260" t="str" cm="1">
        <f t="array" ref="R2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60" t="e">
        <f>IF(Table13[[#This Row],[Category All]]="Category 1", "Yes",NA())</f>
        <v>#N/A</v>
      </c>
      <c r="T260" t="e">
        <f>IF(Table13[[#This Row],[Category All]]="Category 2", "Yes",NA())</f>
        <v>#N/A</v>
      </c>
      <c r="U260" t="str">
        <f>IF(Table13[[#This Row],[Category All]]="Category 3", "Yes",NA())</f>
        <v>Yes</v>
      </c>
      <c r="V260">
        <f>SUM(1,(1/3)*(Table13[[#This Row],[Length]]-0.5),(1/3)*(Table13[[#This Row],[Diameter]]-0.4),(1/3)*(Table13[[#This Row],[Height]]-0.4)*Table13[[#This Row],[Whole_weight]]*0.5)</f>
        <v>1.0094449999999999</v>
      </c>
      <c r="W260" cm="1">
        <f t="array" ref="W2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1.0094449999999999</v>
      </c>
      <c r="X260" t="e">
        <f>IF(Table13[[#This Row],[Category All]]="Category 1",Table13[[#This Row],[Base Abalone Value]]*1.5,NA())</f>
        <v>#N/A</v>
      </c>
      <c r="Y260" t="e">
        <f>IF(Table13[[#This Row],[Category All]]="Category 2",Table13[[#This Row],[Base Abalone Value]]*0.8,NA())</f>
        <v>#N/A</v>
      </c>
      <c r="Z260">
        <f>IF(Table13[[#This Row],[Category All]]="Category 3",Table13[[#This Row],[Base Abalone Value]],NA())</f>
        <v>1.0094449999999999</v>
      </c>
      <c r="AA260" s="2" t="e">
        <f>IF(Table13[[#This Row],[Gender]]="M",Table13[[#This Row],[Whole_weight]],NA())</f>
        <v>#N/A</v>
      </c>
      <c r="AB260" s="2">
        <f>IF(Table13[[#This Row],[Gender]]="F",Table13[[#This Row],[Whole_weight]],NA())</f>
        <v>1.0780000000000001</v>
      </c>
      <c r="AC260" s="2" t="e">
        <f>IF(Table13[[#This Row],[Gender]]="I",Table13[[#This Row],[Whole_weight]],NA())</f>
        <v>#N/A</v>
      </c>
      <c r="AD260" s="2" t="e">
        <f>IF(Table13[[#This Row],[Gender]]="M",Table13[[#This Row],[Diameter]],NA())</f>
        <v>#N/A</v>
      </c>
      <c r="AE260" s="2">
        <f>IF(Table13[[#This Row],[Gender]]="F",Table13[[#This Row],[Diameter]],NA())</f>
        <v>0.48</v>
      </c>
      <c r="AF260" s="2" t="e">
        <f>IF(Table13[[#This Row],[Gender]]="I",Table13[[#This Row],[Diameter]],NA())</f>
        <v>#N/A</v>
      </c>
    </row>
    <row r="261" spans="1:32" x14ac:dyDescent="0.2">
      <c r="A261">
        <v>3828</v>
      </c>
      <c r="B261" t="s">
        <v>15</v>
      </c>
      <c r="C261">
        <v>0.68</v>
      </c>
      <c r="D261">
        <v>0.54</v>
      </c>
      <c r="E261">
        <v>0.19500000000000001</v>
      </c>
      <c r="F261">
        <v>1.7825</v>
      </c>
      <c r="G261">
        <v>0.55649999999999999</v>
      </c>
      <c r="H261">
        <v>0.32350000000000001</v>
      </c>
      <c r="I261">
        <v>0.42849999999999999</v>
      </c>
      <c r="J261">
        <v>11</v>
      </c>
      <c r="K261">
        <v>5</v>
      </c>
      <c r="L261" t="s">
        <v>26</v>
      </c>
      <c r="M261" t="s">
        <v>27</v>
      </c>
      <c r="N261" t="s">
        <v>28</v>
      </c>
      <c r="O261">
        <v>1</v>
      </c>
      <c r="P261" t="s">
        <v>4</v>
      </c>
      <c r="Q261">
        <v>22.1</v>
      </c>
      <c r="R261" t="str" cm="1">
        <f t="array" ref="R2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61" t="e">
        <f>IF(Table13[[#This Row],[Category All]]="Category 1", "Yes",NA())</f>
        <v>#N/A</v>
      </c>
      <c r="T261" t="e">
        <f>IF(Table13[[#This Row],[Category All]]="Category 2", "Yes",NA())</f>
        <v>#N/A</v>
      </c>
      <c r="U261" t="str">
        <f>IF(Table13[[#This Row],[Category All]]="Category 3", "Yes",NA())</f>
        <v>Yes</v>
      </c>
      <c r="V261">
        <f>SUM(1,(1/3)*(Table13[[#This Row],[Length]]-0.5),(1/3)*(Table13[[#This Row],[Diameter]]-0.4),(1/3)*(Table13[[#This Row],[Height]]-0.4)*Table13[[#This Row],[Whole_weight]]*0.5)</f>
        <v>1.0457645833333333</v>
      </c>
      <c r="W261" cm="1">
        <f t="array" ref="W2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1.0457645833333333</v>
      </c>
      <c r="X261" t="e">
        <f>IF(Table13[[#This Row],[Category All]]="Category 1",Table13[[#This Row],[Base Abalone Value]]*1.5,NA())</f>
        <v>#N/A</v>
      </c>
      <c r="Y261" t="e">
        <f>IF(Table13[[#This Row],[Category All]]="Category 2",Table13[[#This Row],[Base Abalone Value]]*0.8,NA())</f>
        <v>#N/A</v>
      </c>
      <c r="Z261">
        <f>IF(Table13[[#This Row],[Category All]]="Category 3",Table13[[#This Row],[Base Abalone Value]],NA())</f>
        <v>1.0457645833333333</v>
      </c>
      <c r="AA261" s="2">
        <f>IF(Table13[[#This Row],[Gender]]="M",Table13[[#This Row],[Whole_weight]],NA())</f>
        <v>1.7825</v>
      </c>
      <c r="AB261" s="2" t="e">
        <f>IF(Table13[[#This Row],[Gender]]="F",Table13[[#This Row],[Whole_weight]],NA())</f>
        <v>#N/A</v>
      </c>
      <c r="AC261" s="2" t="e">
        <f>IF(Table13[[#This Row],[Gender]]="I",Table13[[#This Row],[Whole_weight]],NA())</f>
        <v>#N/A</v>
      </c>
      <c r="AD261" s="2">
        <f>IF(Table13[[#This Row],[Gender]]="M",Table13[[#This Row],[Diameter]],NA())</f>
        <v>0.54</v>
      </c>
      <c r="AE261" s="2" t="e">
        <f>IF(Table13[[#This Row],[Gender]]="F",Table13[[#This Row],[Diameter]],NA())</f>
        <v>#N/A</v>
      </c>
      <c r="AF261" s="2" t="e">
        <f>IF(Table13[[#This Row],[Gender]]="I",Table13[[#This Row],[Diameter]],NA())</f>
        <v>#N/A</v>
      </c>
    </row>
    <row r="262" spans="1:32" x14ac:dyDescent="0.2">
      <c r="A262">
        <v>2173</v>
      </c>
      <c r="B262" t="s">
        <v>11</v>
      </c>
      <c r="C262">
        <v>0.215</v>
      </c>
      <c r="D262">
        <v>0.15</v>
      </c>
      <c r="E262">
        <v>0.03</v>
      </c>
      <c r="F262">
        <v>3.85E-2</v>
      </c>
      <c r="G262">
        <v>1.15E-2</v>
      </c>
      <c r="H262">
        <v>5.0000000000000001E-3</v>
      </c>
      <c r="I262">
        <v>0.01</v>
      </c>
      <c r="J262">
        <v>5</v>
      </c>
      <c r="K262">
        <v>4</v>
      </c>
      <c r="L262" t="s">
        <v>52</v>
      </c>
      <c r="M262" t="s">
        <v>53</v>
      </c>
      <c r="N262" t="s">
        <v>54</v>
      </c>
      <c r="O262">
        <v>4</v>
      </c>
      <c r="P262" t="s">
        <v>10</v>
      </c>
      <c r="Q262">
        <v>6.1</v>
      </c>
      <c r="R262" t="str" cm="1">
        <f t="array" ref="R2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62" t="e">
        <f>IF(Table13[[#This Row],[Category All]]="Category 1", "Yes",NA())</f>
        <v>#N/A</v>
      </c>
      <c r="T262" t="str">
        <f>IF(Table13[[#This Row],[Category All]]="Category 2", "Yes",NA())</f>
        <v>Yes</v>
      </c>
      <c r="U262" t="e">
        <f>IF(Table13[[#This Row],[Category All]]="Category 3", "Yes",NA())</f>
        <v>#N/A</v>
      </c>
      <c r="V262">
        <f>SUM(1,(1/3)*(Table13[[#This Row],[Length]]-0.5),(1/3)*(Table13[[#This Row],[Diameter]]-0.4),(1/3)*(Table13[[#This Row],[Height]]-0.4)*Table13[[#This Row],[Whole_weight]]*0.5)</f>
        <v>0.81929249999999998</v>
      </c>
      <c r="W262" cm="1">
        <f t="array" ref="W2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0.65543400000000007</v>
      </c>
      <c r="X262" t="e">
        <f>IF(Table13[[#This Row],[Category All]]="Category 1",Table13[[#This Row],[Base Abalone Value]]*1.5,NA())</f>
        <v>#N/A</v>
      </c>
      <c r="Y262">
        <f>IF(Table13[[#This Row],[Category All]]="Category 2",Table13[[#This Row],[Base Abalone Value]]*0.8,NA())</f>
        <v>0.65543400000000007</v>
      </c>
      <c r="Z262" t="e">
        <f>IF(Table13[[#This Row],[Category All]]="Category 3",Table13[[#This Row],[Base Abalone Value]],NA())</f>
        <v>#N/A</v>
      </c>
      <c r="AA262" s="2" t="e">
        <f>IF(Table13[[#This Row],[Gender]]="M",Table13[[#This Row],[Whole_weight]],NA())</f>
        <v>#N/A</v>
      </c>
      <c r="AB262" s="2" t="e">
        <f>IF(Table13[[#This Row],[Gender]]="F",Table13[[#This Row],[Whole_weight]],NA())</f>
        <v>#N/A</v>
      </c>
      <c r="AC262" s="2">
        <f>IF(Table13[[#This Row],[Gender]]="I",Table13[[#This Row],[Whole_weight]],NA())</f>
        <v>3.85E-2</v>
      </c>
      <c r="AD262" s="2" t="e">
        <f>IF(Table13[[#This Row],[Gender]]="M",Table13[[#This Row],[Diameter]],NA())</f>
        <v>#N/A</v>
      </c>
      <c r="AE262" s="2" t="e">
        <f>IF(Table13[[#This Row],[Gender]]="F",Table13[[#This Row],[Diameter]],NA())</f>
        <v>#N/A</v>
      </c>
      <c r="AF262" s="2">
        <f>IF(Table13[[#This Row],[Gender]]="I",Table13[[#This Row],[Diameter]],NA())</f>
        <v>0.15</v>
      </c>
    </row>
    <row r="263" spans="1:32" x14ac:dyDescent="0.2">
      <c r="A263">
        <v>2008</v>
      </c>
      <c r="B263" t="s">
        <v>11</v>
      </c>
      <c r="C263">
        <v>0.41499999999999998</v>
      </c>
      <c r="D263">
        <v>0.32500000000000001</v>
      </c>
      <c r="E263">
        <v>0.11</v>
      </c>
      <c r="F263">
        <v>0.316</v>
      </c>
      <c r="G263">
        <v>0.13850000000000001</v>
      </c>
      <c r="H263">
        <v>7.9500000000000001E-2</v>
      </c>
      <c r="I263">
        <v>9.2499999999999999E-2</v>
      </c>
      <c r="J263">
        <v>8</v>
      </c>
      <c r="K263">
        <v>2</v>
      </c>
      <c r="L263" t="s">
        <v>32</v>
      </c>
      <c r="M263" t="s">
        <v>33</v>
      </c>
      <c r="N263" t="s">
        <v>34</v>
      </c>
      <c r="O263">
        <v>1</v>
      </c>
      <c r="P263" t="s">
        <v>4</v>
      </c>
      <c r="Q263">
        <v>22.1</v>
      </c>
      <c r="R263" t="str" cm="1">
        <f t="array" ref="R2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63" t="e">
        <f>IF(Table13[[#This Row],[Category All]]="Category 1", "Yes",NA())</f>
        <v>#N/A</v>
      </c>
      <c r="T263" t="str">
        <f>IF(Table13[[#This Row],[Category All]]="Category 2", "Yes",NA())</f>
        <v>Yes</v>
      </c>
      <c r="U263" t="e">
        <f>IF(Table13[[#This Row],[Category All]]="Category 3", "Yes",NA())</f>
        <v>#N/A</v>
      </c>
      <c r="V263">
        <f>SUM(1,(1/3)*(Table13[[#This Row],[Length]]-0.5),(1/3)*(Table13[[#This Row],[Diameter]]-0.4),(1/3)*(Table13[[#This Row],[Height]]-0.4)*Table13[[#This Row],[Whole_weight]]*0.5)</f>
        <v>0.9313933333333333</v>
      </c>
      <c r="W263" cm="1">
        <f t="array" ref="W2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0.7451146666666667</v>
      </c>
      <c r="X263" t="e">
        <f>IF(Table13[[#This Row],[Category All]]="Category 1",Table13[[#This Row],[Base Abalone Value]]*1.5,NA())</f>
        <v>#N/A</v>
      </c>
      <c r="Y263">
        <f>IF(Table13[[#This Row],[Category All]]="Category 2",Table13[[#This Row],[Base Abalone Value]]*0.8,NA())</f>
        <v>0.7451146666666667</v>
      </c>
      <c r="Z263" t="e">
        <f>IF(Table13[[#This Row],[Category All]]="Category 3",Table13[[#This Row],[Base Abalone Value]],NA())</f>
        <v>#N/A</v>
      </c>
      <c r="AA263" s="2" t="e">
        <f>IF(Table13[[#This Row],[Gender]]="M",Table13[[#This Row],[Whole_weight]],NA())</f>
        <v>#N/A</v>
      </c>
      <c r="AB263" s="2" t="e">
        <f>IF(Table13[[#This Row],[Gender]]="F",Table13[[#This Row],[Whole_weight]],NA())</f>
        <v>#N/A</v>
      </c>
      <c r="AC263" s="2">
        <f>IF(Table13[[#This Row],[Gender]]="I",Table13[[#This Row],[Whole_weight]],NA())</f>
        <v>0.316</v>
      </c>
      <c r="AD263" s="2" t="e">
        <f>IF(Table13[[#This Row],[Gender]]="M",Table13[[#This Row],[Diameter]],NA())</f>
        <v>#N/A</v>
      </c>
      <c r="AE263" s="2" t="e">
        <f>IF(Table13[[#This Row],[Gender]]="F",Table13[[#This Row],[Diameter]],NA())</f>
        <v>#N/A</v>
      </c>
      <c r="AF263" s="2">
        <f>IF(Table13[[#This Row],[Gender]]="I",Table13[[#This Row],[Diameter]],NA())</f>
        <v>0.32500000000000001</v>
      </c>
    </row>
    <row r="264" spans="1:32" x14ac:dyDescent="0.2">
      <c r="A264">
        <v>75</v>
      </c>
      <c r="B264" t="s">
        <v>0</v>
      </c>
      <c r="C264">
        <v>0.60499999999999998</v>
      </c>
      <c r="D264">
        <v>0.45</v>
      </c>
      <c r="E264">
        <v>0.19500000000000001</v>
      </c>
      <c r="F264">
        <v>1.0980000000000001</v>
      </c>
      <c r="G264">
        <v>0.48099999999999998</v>
      </c>
      <c r="H264">
        <v>0.28949999999999998</v>
      </c>
      <c r="I264">
        <v>0.315</v>
      </c>
      <c r="J264">
        <v>13</v>
      </c>
      <c r="K264">
        <v>5</v>
      </c>
      <c r="L264" t="s">
        <v>26</v>
      </c>
      <c r="M264" t="s">
        <v>27</v>
      </c>
      <c r="N264" t="s">
        <v>28</v>
      </c>
      <c r="O264">
        <v>3</v>
      </c>
      <c r="P264" t="s">
        <v>48</v>
      </c>
      <c r="Q264">
        <v>3.6</v>
      </c>
      <c r="R264" t="str" cm="1">
        <f t="array" ref="R2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64" t="e">
        <f>IF(Table13[[#This Row],[Category All]]="Category 1", "Yes",NA())</f>
        <v>#N/A</v>
      </c>
      <c r="T264" t="e">
        <f>IF(Table13[[#This Row],[Category All]]="Category 2", "Yes",NA())</f>
        <v>#N/A</v>
      </c>
      <c r="U264" t="str">
        <f>IF(Table13[[#This Row],[Category All]]="Category 3", "Yes",NA())</f>
        <v>Yes</v>
      </c>
      <c r="V264">
        <f>SUM(1,(1/3)*(Table13[[#This Row],[Length]]-0.5),(1/3)*(Table13[[#This Row],[Diameter]]-0.4),(1/3)*(Table13[[#This Row],[Height]]-0.4)*Table13[[#This Row],[Whole_weight]]*0.5)</f>
        <v>1.0141516666666666</v>
      </c>
      <c r="W264" cm="1">
        <f t="array" ref="W2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1.0141516666666666</v>
      </c>
      <c r="X264" t="e">
        <f>IF(Table13[[#This Row],[Category All]]="Category 1",Table13[[#This Row],[Base Abalone Value]]*1.5,NA())</f>
        <v>#N/A</v>
      </c>
      <c r="Y264" t="e">
        <f>IF(Table13[[#This Row],[Category All]]="Category 2",Table13[[#This Row],[Base Abalone Value]]*0.8,NA())</f>
        <v>#N/A</v>
      </c>
      <c r="Z264">
        <f>IF(Table13[[#This Row],[Category All]]="Category 3",Table13[[#This Row],[Base Abalone Value]],NA())</f>
        <v>1.0141516666666666</v>
      </c>
      <c r="AA264" s="2" t="e">
        <f>IF(Table13[[#This Row],[Gender]]="M",Table13[[#This Row],[Whole_weight]],NA())</f>
        <v>#N/A</v>
      </c>
      <c r="AB264" s="2">
        <f>IF(Table13[[#This Row],[Gender]]="F",Table13[[#This Row],[Whole_weight]],NA())</f>
        <v>1.0980000000000001</v>
      </c>
      <c r="AC264" s="2" t="e">
        <f>IF(Table13[[#This Row],[Gender]]="I",Table13[[#This Row],[Whole_weight]],NA())</f>
        <v>#N/A</v>
      </c>
      <c r="AD264" s="2" t="e">
        <f>IF(Table13[[#This Row],[Gender]]="M",Table13[[#This Row],[Diameter]],NA())</f>
        <v>#N/A</v>
      </c>
      <c r="AE264" s="2">
        <f>IF(Table13[[#This Row],[Gender]]="F",Table13[[#This Row],[Diameter]],NA())</f>
        <v>0.45</v>
      </c>
      <c r="AF264" s="2" t="e">
        <f>IF(Table13[[#This Row],[Gender]]="I",Table13[[#This Row],[Diameter]],NA())</f>
        <v>#N/A</v>
      </c>
    </row>
    <row r="265" spans="1:32" x14ac:dyDescent="0.2">
      <c r="A265">
        <v>1440</v>
      </c>
      <c r="B265" t="s">
        <v>11</v>
      </c>
      <c r="C265">
        <v>0.40500000000000003</v>
      </c>
      <c r="D265">
        <v>0.31</v>
      </c>
      <c r="E265">
        <v>9.5000000000000001E-2</v>
      </c>
      <c r="F265">
        <v>0.34250000000000003</v>
      </c>
      <c r="G265">
        <v>0.17849999999999999</v>
      </c>
      <c r="H265">
        <v>6.4000000000000001E-2</v>
      </c>
      <c r="I265">
        <v>8.5500000000000007E-2</v>
      </c>
      <c r="J265">
        <v>8</v>
      </c>
      <c r="K265">
        <v>1</v>
      </c>
      <c r="L265" t="s">
        <v>8</v>
      </c>
      <c r="M265" t="s">
        <v>9</v>
      </c>
      <c r="N265" t="s">
        <v>3</v>
      </c>
      <c r="O265">
        <v>4</v>
      </c>
      <c r="P265" t="s">
        <v>10</v>
      </c>
      <c r="Q265">
        <v>6.1</v>
      </c>
      <c r="R265" t="str" cm="1">
        <f t="array" ref="R2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65" t="e">
        <f>IF(Table13[[#This Row],[Category All]]="Category 1", "Yes",NA())</f>
        <v>#N/A</v>
      </c>
      <c r="T265" t="str">
        <f>IF(Table13[[#This Row],[Category All]]="Category 2", "Yes",NA())</f>
        <v>Yes</v>
      </c>
      <c r="U265" t="e">
        <f>IF(Table13[[#This Row],[Category All]]="Category 3", "Yes",NA())</f>
        <v>#N/A</v>
      </c>
      <c r="V265">
        <f>SUM(1,(1/3)*(Table13[[#This Row],[Length]]-0.5),(1/3)*(Table13[[#This Row],[Diameter]]-0.4),(1/3)*(Table13[[#This Row],[Height]]-0.4)*Table13[[#This Row],[Whole_weight]]*0.5)</f>
        <v>0.9209229166666667</v>
      </c>
      <c r="W265" cm="1">
        <f t="array" ref="W2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0.73673833333333338</v>
      </c>
      <c r="X265" t="e">
        <f>IF(Table13[[#This Row],[Category All]]="Category 1",Table13[[#This Row],[Base Abalone Value]]*1.5,NA())</f>
        <v>#N/A</v>
      </c>
      <c r="Y265">
        <f>IF(Table13[[#This Row],[Category All]]="Category 2",Table13[[#This Row],[Base Abalone Value]]*0.8,NA())</f>
        <v>0.73673833333333338</v>
      </c>
      <c r="Z265" t="e">
        <f>IF(Table13[[#This Row],[Category All]]="Category 3",Table13[[#This Row],[Base Abalone Value]],NA())</f>
        <v>#N/A</v>
      </c>
      <c r="AA265" s="2" t="e">
        <f>IF(Table13[[#This Row],[Gender]]="M",Table13[[#This Row],[Whole_weight]],NA())</f>
        <v>#N/A</v>
      </c>
      <c r="AB265" s="2" t="e">
        <f>IF(Table13[[#This Row],[Gender]]="F",Table13[[#This Row],[Whole_weight]],NA())</f>
        <v>#N/A</v>
      </c>
      <c r="AC265" s="2">
        <f>IF(Table13[[#This Row],[Gender]]="I",Table13[[#This Row],[Whole_weight]],NA())</f>
        <v>0.34250000000000003</v>
      </c>
      <c r="AD265" s="2" t="e">
        <f>IF(Table13[[#This Row],[Gender]]="M",Table13[[#This Row],[Diameter]],NA())</f>
        <v>#N/A</v>
      </c>
      <c r="AE265" s="2" t="e">
        <f>IF(Table13[[#This Row],[Gender]]="F",Table13[[#This Row],[Diameter]],NA())</f>
        <v>#N/A</v>
      </c>
      <c r="AF265" s="2">
        <f>IF(Table13[[#This Row],[Gender]]="I",Table13[[#This Row],[Diameter]],NA())</f>
        <v>0.31</v>
      </c>
    </row>
    <row r="266" spans="1:32" x14ac:dyDescent="0.2">
      <c r="A266">
        <v>3151</v>
      </c>
      <c r="B266" t="s">
        <v>0</v>
      </c>
      <c r="C266">
        <v>0.65500000000000003</v>
      </c>
      <c r="D266">
        <v>0.505</v>
      </c>
      <c r="E266">
        <v>0.16500000000000001</v>
      </c>
      <c r="F266">
        <v>1.367</v>
      </c>
      <c r="G266">
        <v>0.58350000000000002</v>
      </c>
      <c r="H266">
        <v>0.35149999999999998</v>
      </c>
      <c r="I266">
        <v>0.39600000000000002</v>
      </c>
      <c r="J266">
        <v>10</v>
      </c>
      <c r="K266">
        <v>6</v>
      </c>
      <c r="L266" t="s">
        <v>39</v>
      </c>
      <c r="M266" t="s">
        <v>40</v>
      </c>
      <c r="N266" t="s">
        <v>41</v>
      </c>
      <c r="O266">
        <v>10</v>
      </c>
      <c r="P266" t="s">
        <v>38</v>
      </c>
      <c r="Q266">
        <v>24.1</v>
      </c>
      <c r="R266" t="str" cm="1">
        <f t="array" ref="R2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66" t="e">
        <f>IF(Table13[[#This Row],[Category All]]="Category 1", "Yes",NA())</f>
        <v>#N/A</v>
      </c>
      <c r="T266" t="e">
        <f>IF(Table13[[#This Row],[Category All]]="Category 2", "Yes",NA())</f>
        <v>#N/A</v>
      </c>
      <c r="U266" t="str">
        <f>IF(Table13[[#This Row],[Category All]]="Category 3", "Yes",NA())</f>
        <v>Yes</v>
      </c>
      <c r="V266">
        <f>SUM(1,(1/3)*(Table13[[#This Row],[Length]]-0.5),(1/3)*(Table13[[#This Row],[Diameter]]-0.4),(1/3)*(Table13[[#This Row],[Height]]-0.4)*Table13[[#This Row],[Whole_weight]]*0.5)</f>
        <v>1.0331258333333333</v>
      </c>
      <c r="W266" cm="1">
        <f t="array" ref="W2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1.0331258333333333</v>
      </c>
      <c r="X266" t="e">
        <f>IF(Table13[[#This Row],[Category All]]="Category 1",Table13[[#This Row],[Base Abalone Value]]*1.5,NA())</f>
        <v>#N/A</v>
      </c>
      <c r="Y266" t="e">
        <f>IF(Table13[[#This Row],[Category All]]="Category 2",Table13[[#This Row],[Base Abalone Value]]*0.8,NA())</f>
        <v>#N/A</v>
      </c>
      <c r="Z266">
        <f>IF(Table13[[#This Row],[Category All]]="Category 3",Table13[[#This Row],[Base Abalone Value]],NA())</f>
        <v>1.0331258333333333</v>
      </c>
      <c r="AA266" s="2" t="e">
        <f>IF(Table13[[#This Row],[Gender]]="M",Table13[[#This Row],[Whole_weight]],NA())</f>
        <v>#N/A</v>
      </c>
      <c r="AB266" s="2">
        <f>IF(Table13[[#This Row],[Gender]]="F",Table13[[#This Row],[Whole_weight]],NA())</f>
        <v>1.367</v>
      </c>
      <c r="AC266" s="2" t="e">
        <f>IF(Table13[[#This Row],[Gender]]="I",Table13[[#This Row],[Whole_weight]],NA())</f>
        <v>#N/A</v>
      </c>
      <c r="AD266" s="2" t="e">
        <f>IF(Table13[[#This Row],[Gender]]="M",Table13[[#This Row],[Diameter]],NA())</f>
        <v>#N/A</v>
      </c>
      <c r="AE266" s="2">
        <f>IF(Table13[[#This Row],[Gender]]="F",Table13[[#This Row],[Diameter]],NA())</f>
        <v>0.505</v>
      </c>
      <c r="AF266" s="2" t="e">
        <f>IF(Table13[[#This Row],[Gender]]="I",Table13[[#This Row],[Diameter]],NA())</f>
        <v>#N/A</v>
      </c>
    </row>
    <row r="267" spans="1:32" x14ac:dyDescent="0.2">
      <c r="A267">
        <v>1685</v>
      </c>
      <c r="B267" t="s">
        <v>11</v>
      </c>
      <c r="C267">
        <v>0.62</v>
      </c>
      <c r="D267">
        <v>0.47</v>
      </c>
      <c r="E267">
        <v>0.14000000000000001</v>
      </c>
      <c r="F267">
        <v>0.85650000000000004</v>
      </c>
      <c r="G267">
        <v>0.35949999999999999</v>
      </c>
      <c r="H267">
        <v>0.16</v>
      </c>
      <c r="I267">
        <v>0.29499999999999998</v>
      </c>
      <c r="J267">
        <v>9</v>
      </c>
      <c r="K267">
        <v>8</v>
      </c>
      <c r="L267" t="s">
        <v>29</v>
      </c>
      <c r="M267" t="s">
        <v>30</v>
      </c>
      <c r="N267" t="s">
        <v>31</v>
      </c>
      <c r="O267">
        <v>6</v>
      </c>
      <c r="P267" t="s">
        <v>47</v>
      </c>
      <c r="Q267">
        <v>14.1</v>
      </c>
      <c r="R267" t="str" cm="1">
        <f t="array" ref="R2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67" t="e">
        <f>IF(Table13[[#This Row],[Category All]]="Category 1", "Yes",NA())</f>
        <v>#N/A</v>
      </c>
      <c r="T267" t="str">
        <f>IF(Table13[[#This Row],[Category All]]="Category 2", "Yes",NA())</f>
        <v>Yes</v>
      </c>
      <c r="U267" t="e">
        <f>IF(Table13[[#This Row],[Category All]]="Category 3", "Yes",NA())</f>
        <v>#N/A</v>
      </c>
      <c r="V267">
        <f>SUM(1,(1/3)*(Table13[[#This Row],[Length]]-0.5),(1/3)*(Table13[[#This Row],[Diameter]]-0.4),(1/3)*(Table13[[#This Row],[Height]]-0.4)*Table13[[#This Row],[Whole_weight]]*0.5)</f>
        <v>1.0262183333333335</v>
      </c>
      <c r="W267" cm="1">
        <f t="array" ref="W2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0.82097466666666685</v>
      </c>
      <c r="X267" t="e">
        <f>IF(Table13[[#This Row],[Category All]]="Category 1",Table13[[#This Row],[Base Abalone Value]]*1.5,NA())</f>
        <v>#N/A</v>
      </c>
      <c r="Y267">
        <f>IF(Table13[[#This Row],[Category All]]="Category 2",Table13[[#This Row],[Base Abalone Value]]*0.8,NA())</f>
        <v>0.82097466666666685</v>
      </c>
      <c r="Z267" t="e">
        <f>IF(Table13[[#This Row],[Category All]]="Category 3",Table13[[#This Row],[Base Abalone Value]],NA())</f>
        <v>#N/A</v>
      </c>
      <c r="AA267" s="2" t="e">
        <f>IF(Table13[[#This Row],[Gender]]="M",Table13[[#This Row],[Whole_weight]],NA())</f>
        <v>#N/A</v>
      </c>
      <c r="AB267" s="2" t="e">
        <f>IF(Table13[[#This Row],[Gender]]="F",Table13[[#This Row],[Whole_weight]],NA())</f>
        <v>#N/A</v>
      </c>
      <c r="AC267" s="2">
        <f>IF(Table13[[#This Row],[Gender]]="I",Table13[[#This Row],[Whole_weight]],NA())</f>
        <v>0.85650000000000004</v>
      </c>
      <c r="AD267" s="2" t="e">
        <f>IF(Table13[[#This Row],[Gender]]="M",Table13[[#This Row],[Diameter]],NA())</f>
        <v>#N/A</v>
      </c>
      <c r="AE267" s="2" t="e">
        <f>IF(Table13[[#This Row],[Gender]]="F",Table13[[#This Row],[Diameter]],NA())</f>
        <v>#N/A</v>
      </c>
      <c r="AF267" s="2">
        <f>IF(Table13[[#This Row],[Gender]]="I",Table13[[#This Row],[Diameter]],NA())</f>
        <v>0.47</v>
      </c>
    </row>
    <row r="268" spans="1:32" x14ac:dyDescent="0.2">
      <c r="A268">
        <v>3560</v>
      </c>
      <c r="B268" t="s">
        <v>0</v>
      </c>
      <c r="C268">
        <v>0.56499999999999995</v>
      </c>
      <c r="D268">
        <v>0.45</v>
      </c>
      <c r="E268">
        <v>0.17499999999999999</v>
      </c>
      <c r="F268">
        <v>1.2364999999999999</v>
      </c>
      <c r="G268">
        <v>0.53049999999999997</v>
      </c>
      <c r="H268">
        <v>0.2455</v>
      </c>
      <c r="I268">
        <v>0.308</v>
      </c>
      <c r="J268">
        <v>10</v>
      </c>
      <c r="K268">
        <v>4</v>
      </c>
      <c r="L268" t="s">
        <v>52</v>
      </c>
      <c r="M268" t="s">
        <v>53</v>
      </c>
      <c r="N268" t="s">
        <v>54</v>
      </c>
      <c r="O268">
        <v>7</v>
      </c>
      <c r="P268" t="s">
        <v>42</v>
      </c>
      <c r="Q268">
        <v>2.5</v>
      </c>
      <c r="R268" t="str" cm="1">
        <f t="array" ref="R2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68" t="e">
        <f>IF(Table13[[#This Row],[Category All]]="Category 1", "Yes",NA())</f>
        <v>#N/A</v>
      </c>
      <c r="T268" t="e">
        <f>IF(Table13[[#This Row],[Category All]]="Category 2", "Yes",NA())</f>
        <v>#N/A</v>
      </c>
      <c r="U268" t="str">
        <f>IF(Table13[[#This Row],[Category All]]="Category 3", "Yes",NA())</f>
        <v>Yes</v>
      </c>
      <c r="V268">
        <f>SUM(1,(1/3)*(Table13[[#This Row],[Length]]-0.5),(1/3)*(Table13[[#This Row],[Diameter]]-0.4),(1/3)*(Table13[[#This Row],[Height]]-0.4)*Table13[[#This Row],[Whole_weight]]*0.5)</f>
        <v>0.99196458333333337</v>
      </c>
      <c r="W268" cm="1">
        <f t="array" ref="W2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0.99196458333333337</v>
      </c>
      <c r="X268" t="e">
        <f>IF(Table13[[#This Row],[Category All]]="Category 1",Table13[[#This Row],[Base Abalone Value]]*1.5,NA())</f>
        <v>#N/A</v>
      </c>
      <c r="Y268" t="e">
        <f>IF(Table13[[#This Row],[Category All]]="Category 2",Table13[[#This Row],[Base Abalone Value]]*0.8,NA())</f>
        <v>#N/A</v>
      </c>
      <c r="Z268">
        <f>IF(Table13[[#This Row],[Category All]]="Category 3",Table13[[#This Row],[Base Abalone Value]],NA())</f>
        <v>0.99196458333333337</v>
      </c>
      <c r="AA268" s="2" t="e">
        <f>IF(Table13[[#This Row],[Gender]]="M",Table13[[#This Row],[Whole_weight]],NA())</f>
        <v>#N/A</v>
      </c>
      <c r="AB268" s="2">
        <f>IF(Table13[[#This Row],[Gender]]="F",Table13[[#This Row],[Whole_weight]],NA())</f>
        <v>1.2364999999999999</v>
      </c>
      <c r="AC268" s="2" t="e">
        <f>IF(Table13[[#This Row],[Gender]]="I",Table13[[#This Row],[Whole_weight]],NA())</f>
        <v>#N/A</v>
      </c>
      <c r="AD268" s="2" t="e">
        <f>IF(Table13[[#This Row],[Gender]]="M",Table13[[#This Row],[Diameter]],NA())</f>
        <v>#N/A</v>
      </c>
      <c r="AE268" s="2">
        <f>IF(Table13[[#This Row],[Gender]]="F",Table13[[#This Row],[Diameter]],NA())</f>
        <v>0.45</v>
      </c>
      <c r="AF268" s="2" t="e">
        <f>IF(Table13[[#This Row],[Gender]]="I",Table13[[#This Row],[Diameter]],NA())</f>
        <v>#N/A</v>
      </c>
    </row>
    <row r="269" spans="1:32" x14ac:dyDescent="0.2">
      <c r="A269">
        <v>3054</v>
      </c>
      <c r="B269" t="s">
        <v>0</v>
      </c>
      <c r="C269">
        <v>0.6</v>
      </c>
      <c r="D269">
        <v>0.45</v>
      </c>
      <c r="E269">
        <v>0.14000000000000001</v>
      </c>
      <c r="F269">
        <v>0.86899999999999999</v>
      </c>
      <c r="G269">
        <v>0.34250000000000003</v>
      </c>
      <c r="H269">
        <v>0.19500000000000001</v>
      </c>
      <c r="I269">
        <v>0.29099999999999998</v>
      </c>
      <c r="J269">
        <v>11</v>
      </c>
      <c r="K269">
        <v>5</v>
      </c>
      <c r="L269" t="s">
        <v>26</v>
      </c>
      <c r="M269" t="s">
        <v>27</v>
      </c>
      <c r="N269" t="s">
        <v>28</v>
      </c>
      <c r="O269">
        <v>7</v>
      </c>
      <c r="P269" t="s">
        <v>42</v>
      </c>
      <c r="Q269">
        <v>2.5</v>
      </c>
      <c r="R269" t="str" cm="1">
        <f t="array" ref="R2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69" t="e">
        <f>IF(Table13[[#This Row],[Category All]]="Category 1", "Yes",NA())</f>
        <v>#N/A</v>
      </c>
      <c r="T269" t="str">
        <f>IF(Table13[[#This Row],[Category All]]="Category 2", "Yes",NA())</f>
        <v>Yes</v>
      </c>
      <c r="U269" t="e">
        <f>IF(Table13[[#This Row],[Category All]]="Category 3", "Yes",NA())</f>
        <v>#N/A</v>
      </c>
      <c r="V269">
        <f>SUM(1,(1/3)*(Table13[[#This Row],[Length]]-0.5),(1/3)*(Table13[[#This Row],[Diameter]]-0.4),(1/3)*(Table13[[#This Row],[Height]]-0.4)*Table13[[#This Row],[Whole_weight]]*0.5)</f>
        <v>1.0123433333333332</v>
      </c>
      <c r="W269" cm="1">
        <f t="array" ref="W2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0.80987466666666652</v>
      </c>
      <c r="X269" t="e">
        <f>IF(Table13[[#This Row],[Category All]]="Category 1",Table13[[#This Row],[Base Abalone Value]]*1.5,NA())</f>
        <v>#N/A</v>
      </c>
      <c r="Y269">
        <f>IF(Table13[[#This Row],[Category All]]="Category 2",Table13[[#This Row],[Base Abalone Value]]*0.8,NA())</f>
        <v>0.80987466666666652</v>
      </c>
      <c r="Z269" t="e">
        <f>IF(Table13[[#This Row],[Category All]]="Category 3",Table13[[#This Row],[Base Abalone Value]],NA())</f>
        <v>#N/A</v>
      </c>
      <c r="AA269" s="2" t="e">
        <f>IF(Table13[[#This Row],[Gender]]="M",Table13[[#This Row],[Whole_weight]],NA())</f>
        <v>#N/A</v>
      </c>
      <c r="AB269" s="2">
        <f>IF(Table13[[#This Row],[Gender]]="F",Table13[[#This Row],[Whole_weight]],NA())</f>
        <v>0.86899999999999999</v>
      </c>
      <c r="AC269" s="2" t="e">
        <f>IF(Table13[[#This Row],[Gender]]="I",Table13[[#This Row],[Whole_weight]],NA())</f>
        <v>#N/A</v>
      </c>
      <c r="AD269" s="2" t="e">
        <f>IF(Table13[[#This Row],[Gender]]="M",Table13[[#This Row],[Diameter]],NA())</f>
        <v>#N/A</v>
      </c>
      <c r="AE269" s="2">
        <f>IF(Table13[[#This Row],[Gender]]="F",Table13[[#This Row],[Diameter]],NA())</f>
        <v>0.45</v>
      </c>
      <c r="AF269" s="2" t="e">
        <f>IF(Table13[[#This Row],[Gender]]="I",Table13[[#This Row],[Diameter]],NA())</f>
        <v>#N/A</v>
      </c>
    </row>
    <row r="270" spans="1:32" x14ac:dyDescent="0.2">
      <c r="A270">
        <v>1194</v>
      </c>
      <c r="B270" t="s">
        <v>15</v>
      </c>
      <c r="C270">
        <v>0.7</v>
      </c>
      <c r="D270">
        <v>0.57499999999999996</v>
      </c>
      <c r="E270">
        <v>0.19</v>
      </c>
      <c r="F270">
        <v>2.2730000000000001</v>
      </c>
      <c r="G270">
        <v>1.095</v>
      </c>
      <c r="H270">
        <v>0.41799999999999998</v>
      </c>
      <c r="I270">
        <v>0.63800000000000001</v>
      </c>
      <c r="J270">
        <v>12</v>
      </c>
      <c r="K270">
        <v>1</v>
      </c>
      <c r="L270" t="s">
        <v>8</v>
      </c>
      <c r="M270" t="s">
        <v>9</v>
      </c>
      <c r="N270" t="s">
        <v>3</v>
      </c>
      <c r="O270">
        <v>7</v>
      </c>
      <c r="P270" t="s">
        <v>42</v>
      </c>
      <c r="Q270">
        <v>2.5</v>
      </c>
      <c r="R270" t="str" cm="1">
        <f t="array" ref="R2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70" t="e">
        <f>IF(Table13[[#This Row],[Category All]]="Category 1", "Yes",NA())</f>
        <v>#N/A</v>
      </c>
      <c r="T270" t="e">
        <f>IF(Table13[[#This Row],[Category All]]="Category 2", "Yes",NA())</f>
        <v>#N/A</v>
      </c>
      <c r="U270" t="str">
        <f>IF(Table13[[#This Row],[Category All]]="Category 3", "Yes",NA())</f>
        <v>Yes</v>
      </c>
      <c r="V270">
        <f>SUM(1,(1/3)*(Table13[[#This Row],[Length]]-0.5),(1/3)*(Table13[[#This Row],[Diameter]]-0.4),(1/3)*(Table13[[#This Row],[Height]]-0.4)*Table13[[#This Row],[Whole_weight]]*0.5)</f>
        <v>1.045445</v>
      </c>
      <c r="W270" cm="1">
        <f t="array" ref="W2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1.045445</v>
      </c>
      <c r="X270" t="e">
        <f>IF(Table13[[#This Row],[Category All]]="Category 1",Table13[[#This Row],[Base Abalone Value]]*1.5,NA())</f>
        <v>#N/A</v>
      </c>
      <c r="Y270" t="e">
        <f>IF(Table13[[#This Row],[Category All]]="Category 2",Table13[[#This Row],[Base Abalone Value]]*0.8,NA())</f>
        <v>#N/A</v>
      </c>
      <c r="Z270">
        <f>IF(Table13[[#This Row],[Category All]]="Category 3",Table13[[#This Row],[Base Abalone Value]],NA())</f>
        <v>1.045445</v>
      </c>
      <c r="AA270" s="2">
        <f>IF(Table13[[#This Row],[Gender]]="M",Table13[[#This Row],[Whole_weight]],NA())</f>
        <v>2.2730000000000001</v>
      </c>
      <c r="AB270" s="2" t="e">
        <f>IF(Table13[[#This Row],[Gender]]="F",Table13[[#This Row],[Whole_weight]],NA())</f>
        <v>#N/A</v>
      </c>
      <c r="AC270" s="2" t="e">
        <f>IF(Table13[[#This Row],[Gender]]="I",Table13[[#This Row],[Whole_weight]],NA())</f>
        <v>#N/A</v>
      </c>
      <c r="AD270" s="2">
        <f>IF(Table13[[#This Row],[Gender]]="M",Table13[[#This Row],[Diameter]],NA())</f>
        <v>0.57499999999999996</v>
      </c>
      <c r="AE270" s="2" t="e">
        <f>IF(Table13[[#This Row],[Gender]]="F",Table13[[#This Row],[Diameter]],NA())</f>
        <v>#N/A</v>
      </c>
      <c r="AF270" s="2" t="e">
        <f>IF(Table13[[#This Row],[Gender]]="I",Table13[[#This Row],[Diameter]],NA())</f>
        <v>#N/A</v>
      </c>
    </row>
    <row r="271" spans="1:32" x14ac:dyDescent="0.2">
      <c r="A271">
        <v>85</v>
      </c>
      <c r="B271" t="s">
        <v>15</v>
      </c>
      <c r="C271">
        <v>0.57999999999999996</v>
      </c>
      <c r="D271">
        <v>0.45</v>
      </c>
      <c r="E271">
        <v>0.14000000000000001</v>
      </c>
      <c r="F271">
        <v>1.0129999999999999</v>
      </c>
      <c r="G271">
        <v>0.38</v>
      </c>
      <c r="H271">
        <v>0.216</v>
      </c>
      <c r="I271">
        <v>0.36</v>
      </c>
      <c r="J271">
        <v>14</v>
      </c>
      <c r="K271">
        <v>14</v>
      </c>
      <c r="L271" t="s">
        <v>23</v>
      </c>
      <c r="M271" t="s">
        <v>24</v>
      </c>
      <c r="N271" t="s">
        <v>25</v>
      </c>
      <c r="O271">
        <v>4</v>
      </c>
      <c r="P271" t="s">
        <v>10</v>
      </c>
      <c r="Q271">
        <v>6.1</v>
      </c>
      <c r="R271" t="str" cm="1">
        <f t="array" ref="R2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71" t="e">
        <f>IF(Table13[[#This Row],[Category All]]="Category 1", "Yes",NA())</f>
        <v>#N/A</v>
      </c>
      <c r="T271" t="str">
        <f>IF(Table13[[#This Row],[Category All]]="Category 2", "Yes",NA())</f>
        <v>Yes</v>
      </c>
      <c r="U271" t="e">
        <f>IF(Table13[[#This Row],[Category All]]="Category 3", "Yes",NA())</f>
        <v>#N/A</v>
      </c>
      <c r="V271">
        <f>SUM(1,(1/3)*(Table13[[#This Row],[Length]]-0.5),(1/3)*(Table13[[#This Row],[Diameter]]-0.4),(1/3)*(Table13[[#This Row],[Height]]-0.4)*Table13[[#This Row],[Whole_weight]]*0.5)</f>
        <v>0.99943666666666653</v>
      </c>
      <c r="W271" cm="1">
        <f t="array" ref="W2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0.79954933333333322</v>
      </c>
      <c r="X271" t="e">
        <f>IF(Table13[[#This Row],[Category All]]="Category 1",Table13[[#This Row],[Base Abalone Value]]*1.5,NA())</f>
        <v>#N/A</v>
      </c>
      <c r="Y271">
        <f>IF(Table13[[#This Row],[Category All]]="Category 2",Table13[[#This Row],[Base Abalone Value]]*0.8,NA())</f>
        <v>0.79954933333333322</v>
      </c>
      <c r="Z271" t="e">
        <f>IF(Table13[[#This Row],[Category All]]="Category 3",Table13[[#This Row],[Base Abalone Value]],NA())</f>
        <v>#N/A</v>
      </c>
      <c r="AA271" s="2">
        <f>IF(Table13[[#This Row],[Gender]]="M",Table13[[#This Row],[Whole_weight]],NA())</f>
        <v>1.0129999999999999</v>
      </c>
      <c r="AB271" s="2" t="e">
        <f>IF(Table13[[#This Row],[Gender]]="F",Table13[[#This Row],[Whole_weight]],NA())</f>
        <v>#N/A</v>
      </c>
      <c r="AC271" s="2" t="e">
        <f>IF(Table13[[#This Row],[Gender]]="I",Table13[[#This Row],[Whole_weight]],NA())</f>
        <v>#N/A</v>
      </c>
      <c r="AD271" s="2">
        <f>IF(Table13[[#This Row],[Gender]]="M",Table13[[#This Row],[Diameter]],NA())</f>
        <v>0.45</v>
      </c>
      <c r="AE271" s="2" t="e">
        <f>IF(Table13[[#This Row],[Gender]]="F",Table13[[#This Row],[Diameter]],NA())</f>
        <v>#N/A</v>
      </c>
      <c r="AF271" s="2" t="e">
        <f>IF(Table13[[#This Row],[Gender]]="I",Table13[[#This Row],[Diameter]],NA())</f>
        <v>#N/A</v>
      </c>
    </row>
    <row r="272" spans="1:32" x14ac:dyDescent="0.2">
      <c r="A272">
        <v>2110</v>
      </c>
      <c r="B272" t="s">
        <v>15</v>
      </c>
      <c r="C272">
        <v>0.62</v>
      </c>
      <c r="D272">
        <v>0.49</v>
      </c>
      <c r="E272">
        <v>0.17</v>
      </c>
      <c r="F272">
        <v>1.2104999999999999</v>
      </c>
      <c r="G272">
        <v>0.51849999999999996</v>
      </c>
      <c r="H272">
        <v>0.2555</v>
      </c>
      <c r="I272">
        <v>0.33500000000000002</v>
      </c>
      <c r="J272">
        <v>13</v>
      </c>
      <c r="K272">
        <v>8</v>
      </c>
      <c r="L272" t="s">
        <v>29</v>
      </c>
      <c r="M272" t="s">
        <v>30</v>
      </c>
      <c r="N272" t="s">
        <v>31</v>
      </c>
      <c r="O272">
        <v>8</v>
      </c>
      <c r="P272" t="s">
        <v>19</v>
      </c>
      <c r="Q272">
        <v>12.3</v>
      </c>
      <c r="R272" t="str" cm="1">
        <f t="array" ref="R2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72" t="e">
        <f>IF(Table13[[#This Row],[Category All]]="Category 1", "Yes",NA())</f>
        <v>#N/A</v>
      </c>
      <c r="T272" t="e">
        <f>IF(Table13[[#This Row],[Category All]]="Category 2", "Yes",NA())</f>
        <v>#N/A</v>
      </c>
      <c r="U272" t="str">
        <f>IF(Table13[[#This Row],[Category All]]="Category 3", "Yes",NA())</f>
        <v>Yes</v>
      </c>
      <c r="V272">
        <f>SUM(1,(1/3)*(Table13[[#This Row],[Length]]-0.5),(1/3)*(Table13[[#This Row],[Diameter]]-0.4),(1/3)*(Table13[[#This Row],[Height]]-0.4)*Table13[[#This Row],[Whole_weight]]*0.5)</f>
        <v>1.0235975000000002</v>
      </c>
      <c r="W272" cm="1">
        <f t="array" ref="W2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1.0235975000000002</v>
      </c>
      <c r="X272" t="e">
        <f>IF(Table13[[#This Row],[Category All]]="Category 1",Table13[[#This Row],[Base Abalone Value]]*1.5,NA())</f>
        <v>#N/A</v>
      </c>
      <c r="Y272" t="e">
        <f>IF(Table13[[#This Row],[Category All]]="Category 2",Table13[[#This Row],[Base Abalone Value]]*0.8,NA())</f>
        <v>#N/A</v>
      </c>
      <c r="Z272">
        <f>IF(Table13[[#This Row],[Category All]]="Category 3",Table13[[#This Row],[Base Abalone Value]],NA())</f>
        <v>1.0235975000000002</v>
      </c>
      <c r="AA272" s="2">
        <f>IF(Table13[[#This Row],[Gender]]="M",Table13[[#This Row],[Whole_weight]],NA())</f>
        <v>1.2104999999999999</v>
      </c>
      <c r="AB272" s="2" t="e">
        <f>IF(Table13[[#This Row],[Gender]]="F",Table13[[#This Row],[Whole_weight]],NA())</f>
        <v>#N/A</v>
      </c>
      <c r="AC272" s="2" t="e">
        <f>IF(Table13[[#This Row],[Gender]]="I",Table13[[#This Row],[Whole_weight]],NA())</f>
        <v>#N/A</v>
      </c>
      <c r="AD272" s="2">
        <f>IF(Table13[[#This Row],[Gender]]="M",Table13[[#This Row],[Diameter]],NA())</f>
        <v>0.49</v>
      </c>
      <c r="AE272" s="2" t="e">
        <f>IF(Table13[[#This Row],[Gender]]="F",Table13[[#This Row],[Diameter]],NA())</f>
        <v>#N/A</v>
      </c>
      <c r="AF272" s="2" t="e">
        <f>IF(Table13[[#This Row],[Gender]]="I",Table13[[#This Row],[Diameter]],NA())</f>
        <v>#N/A</v>
      </c>
    </row>
    <row r="273" spans="1:32" x14ac:dyDescent="0.2">
      <c r="A273">
        <v>3713</v>
      </c>
      <c r="B273" t="s">
        <v>0</v>
      </c>
      <c r="C273">
        <v>0.70499999999999996</v>
      </c>
      <c r="D273">
        <v>0.53</v>
      </c>
      <c r="E273">
        <v>0.17</v>
      </c>
      <c r="F273">
        <v>1.5640000000000001</v>
      </c>
      <c r="G273">
        <v>0.61199999999999999</v>
      </c>
      <c r="H273">
        <v>0.39400000000000002</v>
      </c>
      <c r="I273">
        <v>0.44</v>
      </c>
      <c r="J273">
        <v>10</v>
      </c>
      <c r="K273">
        <v>13</v>
      </c>
      <c r="L273" t="s">
        <v>12</v>
      </c>
      <c r="M273" t="s">
        <v>13</v>
      </c>
      <c r="N273" t="s">
        <v>3</v>
      </c>
      <c r="O273">
        <v>5</v>
      </c>
      <c r="P273" t="s">
        <v>14</v>
      </c>
      <c r="Q273">
        <v>12.8</v>
      </c>
      <c r="R273" t="str" cm="1">
        <f t="array" ref="R2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73" t="e">
        <f>IF(Table13[[#This Row],[Category All]]="Category 1", "Yes",NA())</f>
        <v>#N/A</v>
      </c>
      <c r="T273" t="e">
        <f>IF(Table13[[#This Row],[Category All]]="Category 2", "Yes",NA())</f>
        <v>#N/A</v>
      </c>
      <c r="U273" t="str">
        <f>IF(Table13[[#This Row],[Category All]]="Category 3", "Yes",NA())</f>
        <v>Yes</v>
      </c>
      <c r="V273">
        <f>SUM(1,(1/3)*(Table13[[#This Row],[Length]]-0.5),(1/3)*(Table13[[#This Row],[Diameter]]-0.4),(1/3)*(Table13[[#This Row],[Height]]-0.4)*Table13[[#This Row],[Whole_weight]]*0.5)</f>
        <v>1.0517133333333335</v>
      </c>
      <c r="W273" cm="1">
        <f t="array" ref="W2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1.0517133333333335</v>
      </c>
      <c r="X273" t="e">
        <f>IF(Table13[[#This Row],[Category All]]="Category 1",Table13[[#This Row],[Base Abalone Value]]*1.5,NA())</f>
        <v>#N/A</v>
      </c>
      <c r="Y273" t="e">
        <f>IF(Table13[[#This Row],[Category All]]="Category 2",Table13[[#This Row],[Base Abalone Value]]*0.8,NA())</f>
        <v>#N/A</v>
      </c>
      <c r="Z273">
        <f>IF(Table13[[#This Row],[Category All]]="Category 3",Table13[[#This Row],[Base Abalone Value]],NA())</f>
        <v>1.0517133333333335</v>
      </c>
      <c r="AA273" s="2" t="e">
        <f>IF(Table13[[#This Row],[Gender]]="M",Table13[[#This Row],[Whole_weight]],NA())</f>
        <v>#N/A</v>
      </c>
      <c r="AB273" s="2">
        <f>IF(Table13[[#This Row],[Gender]]="F",Table13[[#This Row],[Whole_weight]],NA())</f>
        <v>1.5640000000000001</v>
      </c>
      <c r="AC273" s="2" t="e">
        <f>IF(Table13[[#This Row],[Gender]]="I",Table13[[#This Row],[Whole_weight]],NA())</f>
        <v>#N/A</v>
      </c>
      <c r="AD273" s="2" t="e">
        <f>IF(Table13[[#This Row],[Gender]]="M",Table13[[#This Row],[Diameter]],NA())</f>
        <v>#N/A</v>
      </c>
      <c r="AE273" s="2">
        <f>IF(Table13[[#This Row],[Gender]]="F",Table13[[#This Row],[Diameter]],NA())</f>
        <v>0.53</v>
      </c>
      <c r="AF273" s="2" t="e">
        <f>IF(Table13[[#This Row],[Gender]]="I",Table13[[#This Row],[Diameter]],NA())</f>
        <v>#N/A</v>
      </c>
    </row>
    <row r="274" spans="1:32" x14ac:dyDescent="0.2">
      <c r="A274">
        <v>2185</v>
      </c>
      <c r="B274" t="s">
        <v>11</v>
      </c>
      <c r="C274">
        <v>0.32</v>
      </c>
      <c r="D274">
        <v>0.23499999999999999</v>
      </c>
      <c r="E274">
        <v>0.08</v>
      </c>
      <c r="F274">
        <v>0.14849999999999999</v>
      </c>
      <c r="G274">
        <v>6.4000000000000001E-2</v>
      </c>
      <c r="H274">
        <v>3.1E-2</v>
      </c>
      <c r="I274">
        <v>4.4999999999999998E-2</v>
      </c>
      <c r="J274">
        <v>6</v>
      </c>
      <c r="K274">
        <v>3</v>
      </c>
      <c r="L274" t="s">
        <v>43</v>
      </c>
      <c r="M274" t="s">
        <v>44</v>
      </c>
      <c r="N274" t="s">
        <v>45</v>
      </c>
      <c r="O274">
        <v>7</v>
      </c>
      <c r="P274" t="s">
        <v>42</v>
      </c>
      <c r="Q274">
        <v>2.5</v>
      </c>
      <c r="R274" t="str" cm="1">
        <f t="array" ref="R2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74" t="e">
        <f>IF(Table13[[#This Row],[Category All]]="Category 1", "Yes",NA())</f>
        <v>#N/A</v>
      </c>
      <c r="T274" t="str">
        <f>IF(Table13[[#This Row],[Category All]]="Category 2", "Yes",NA())</f>
        <v>Yes</v>
      </c>
      <c r="U274" t="e">
        <f>IF(Table13[[#This Row],[Category All]]="Category 3", "Yes",NA())</f>
        <v>#N/A</v>
      </c>
      <c r="V274">
        <f>SUM(1,(1/3)*(Table13[[#This Row],[Length]]-0.5),(1/3)*(Table13[[#This Row],[Diameter]]-0.4),(1/3)*(Table13[[#This Row],[Height]]-0.4)*Table13[[#This Row],[Whole_weight]]*0.5)</f>
        <v>0.87707999999999986</v>
      </c>
      <c r="W274" cm="1">
        <f t="array" ref="W2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0.70166399999999995</v>
      </c>
      <c r="X274" t="e">
        <f>IF(Table13[[#This Row],[Category All]]="Category 1",Table13[[#This Row],[Base Abalone Value]]*1.5,NA())</f>
        <v>#N/A</v>
      </c>
      <c r="Y274">
        <f>IF(Table13[[#This Row],[Category All]]="Category 2",Table13[[#This Row],[Base Abalone Value]]*0.8,NA())</f>
        <v>0.70166399999999995</v>
      </c>
      <c r="Z274" t="e">
        <f>IF(Table13[[#This Row],[Category All]]="Category 3",Table13[[#This Row],[Base Abalone Value]],NA())</f>
        <v>#N/A</v>
      </c>
      <c r="AA274" s="2" t="e">
        <f>IF(Table13[[#This Row],[Gender]]="M",Table13[[#This Row],[Whole_weight]],NA())</f>
        <v>#N/A</v>
      </c>
      <c r="AB274" s="2" t="e">
        <f>IF(Table13[[#This Row],[Gender]]="F",Table13[[#This Row],[Whole_weight]],NA())</f>
        <v>#N/A</v>
      </c>
      <c r="AC274" s="2">
        <f>IF(Table13[[#This Row],[Gender]]="I",Table13[[#This Row],[Whole_weight]],NA())</f>
        <v>0.14849999999999999</v>
      </c>
      <c r="AD274" s="2" t="e">
        <f>IF(Table13[[#This Row],[Gender]]="M",Table13[[#This Row],[Diameter]],NA())</f>
        <v>#N/A</v>
      </c>
      <c r="AE274" s="2" t="e">
        <f>IF(Table13[[#This Row],[Gender]]="F",Table13[[#This Row],[Diameter]],NA())</f>
        <v>#N/A</v>
      </c>
      <c r="AF274" s="2">
        <f>IF(Table13[[#This Row],[Gender]]="I",Table13[[#This Row],[Diameter]],NA())</f>
        <v>0.23499999999999999</v>
      </c>
    </row>
    <row r="275" spans="1:32" x14ac:dyDescent="0.2">
      <c r="A275">
        <v>2725</v>
      </c>
      <c r="B275" t="s">
        <v>11</v>
      </c>
      <c r="C275">
        <v>0.38500000000000001</v>
      </c>
      <c r="D275">
        <v>0.28499999999999998</v>
      </c>
      <c r="E275">
        <v>8.5000000000000006E-2</v>
      </c>
      <c r="F275">
        <v>0.24399999999999999</v>
      </c>
      <c r="G275">
        <v>0.1215</v>
      </c>
      <c r="H275">
        <v>4.4499999999999998E-2</v>
      </c>
      <c r="I275">
        <v>6.8000000000000005E-2</v>
      </c>
      <c r="J275">
        <v>8</v>
      </c>
      <c r="K275">
        <v>5</v>
      </c>
      <c r="L275" t="s">
        <v>26</v>
      </c>
      <c r="M275" t="s">
        <v>27</v>
      </c>
      <c r="N275" t="s">
        <v>28</v>
      </c>
      <c r="O275">
        <v>2</v>
      </c>
      <c r="P275" t="s">
        <v>7</v>
      </c>
      <c r="Q275">
        <v>18</v>
      </c>
      <c r="R275" t="str" cm="1">
        <f t="array" ref="R2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75" t="e">
        <f>IF(Table13[[#This Row],[Category All]]="Category 1", "Yes",NA())</f>
        <v>#N/A</v>
      </c>
      <c r="T275" t="str">
        <f>IF(Table13[[#This Row],[Category All]]="Category 2", "Yes",NA())</f>
        <v>Yes</v>
      </c>
      <c r="U275" t="e">
        <f>IF(Table13[[#This Row],[Category All]]="Category 3", "Yes",NA())</f>
        <v>#N/A</v>
      </c>
      <c r="V275">
        <f>SUM(1,(1/3)*(Table13[[#This Row],[Length]]-0.5),(1/3)*(Table13[[#This Row],[Diameter]]-0.4),(1/3)*(Table13[[#This Row],[Height]]-0.4)*Table13[[#This Row],[Whole_weight]]*0.5)</f>
        <v>0.91052333333333335</v>
      </c>
      <c r="W275" cm="1">
        <f t="array" ref="W2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0.72841866666666677</v>
      </c>
      <c r="X275" t="e">
        <f>IF(Table13[[#This Row],[Category All]]="Category 1",Table13[[#This Row],[Base Abalone Value]]*1.5,NA())</f>
        <v>#N/A</v>
      </c>
      <c r="Y275">
        <f>IF(Table13[[#This Row],[Category All]]="Category 2",Table13[[#This Row],[Base Abalone Value]]*0.8,NA())</f>
        <v>0.72841866666666677</v>
      </c>
      <c r="Z275" t="e">
        <f>IF(Table13[[#This Row],[Category All]]="Category 3",Table13[[#This Row],[Base Abalone Value]],NA())</f>
        <v>#N/A</v>
      </c>
      <c r="AA275" s="2" t="e">
        <f>IF(Table13[[#This Row],[Gender]]="M",Table13[[#This Row],[Whole_weight]],NA())</f>
        <v>#N/A</v>
      </c>
      <c r="AB275" s="2" t="e">
        <f>IF(Table13[[#This Row],[Gender]]="F",Table13[[#This Row],[Whole_weight]],NA())</f>
        <v>#N/A</v>
      </c>
      <c r="AC275" s="2">
        <f>IF(Table13[[#This Row],[Gender]]="I",Table13[[#This Row],[Whole_weight]],NA())</f>
        <v>0.24399999999999999</v>
      </c>
      <c r="AD275" s="2" t="e">
        <f>IF(Table13[[#This Row],[Gender]]="M",Table13[[#This Row],[Diameter]],NA())</f>
        <v>#N/A</v>
      </c>
      <c r="AE275" s="2" t="e">
        <f>IF(Table13[[#This Row],[Gender]]="F",Table13[[#This Row],[Diameter]],NA())</f>
        <v>#N/A</v>
      </c>
      <c r="AF275" s="2">
        <f>IF(Table13[[#This Row],[Gender]]="I",Table13[[#This Row],[Diameter]],NA())</f>
        <v>0.28499999999999998</v>
      </c>
    </row>
    <row r="276" spans="1:32" x14ac:dyDescent="0.2">
      <c r="A276">
        <v>3095</v>
      </c>
      <c r="B276" t="s">
        <v>15</v>
      </c>
      <c r="C276">
        <v>0.52500000000000002</v>
      </c>
      <c r="D276">
        <v>0.4</v>
      </c>
      <c r="E276">
        <v>0.13</v>
      </c>
      <c r="F276">
        <v>0.622</v>
      </c>
      <c r="G276">
        <v>0.26550000000000001</v>
      </c>
      <c r="H276">
        <v>0.14699999999999999</v>
      </c>
      <c r="I276">
        <v>0.184</v>
      </c>
      <c r="J276">
        <v>9</v>
      </c>
      <c r="K276">
        <v>1</v>
      </c>
      <c r="L276" t="s">
        <v>8</v>
      </c>
      <c r="M276" t="s">
        <v>9</v>
      </c>
      <c r="N276" t="s">
        <v>3</v>
      </c>
      <c r="O276">
        <v>1</v>
      </c>
      <c r="P276" t="s">
        <v>4</v>
      </c>
      <c r="Q276">
        <v>22.1</v>
      </c>
      <c r="R276" t="str" cm="1">
        <f t="array" ref="R2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76" t="e">
        <f>IF(Table13[[#This Row],[Category All]]="Category 1", "Yes",NA())</f>
        <v>#N/A</v>
      </c>
      <c r="T276" t="str">
        <f>IF(Table13[[#This Row],[Category All]]="Category 2", "Yes",NA())</f>
        <v>Yes</v>
      </c>
      <c r="U276" t="e">
        <f>IF(Table13[[#This Row],[Category All]]="Category 3", "Yes",NA())</f>
        <v>#N/A</v>
      </c>
      <c r="V276">
        <f>SUM(1,(1/3)*(Table13[[#This Row],[Length]]-0.5),(1/3)*(Table13[[#This Row],[Diameter]]-0.4),(1/3)*(Table13[[#This Row],[Height]]-0.4)*Table13[[#This Row],[Whole_weight]]*0.5)</f>
        <v>0.98034333333333334</v>
      </c>
      <c r="W276" cm="1">
        <f t="array" ref="W2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0.78427466666666668</v>
      </c>
      <c r="X276" t="e">
        <f>IF(Table13[[#This Row],[Category All]]="Category 1",Table13[[#This Row],[Base Abalone Value]]*1.5,NA())</f>
        <v>#N/A</v>
      </c>
      <c r="Y276">
        <f>IF(Table13[[#This Row],[Category All]]="Category 2",Table13[[#This Row],[Base Abalone Value]]*0.8,NA())</f>
        <v>0.78427466666666668</v>
      </c>
      <c r="Z276" t="e">
        <f>IF(Table13[[#This Row],[Category All]]="Category 3",Table13[[#This Row],[Base Abalone Value]],NA())</f>
        <v>#N/A</v>
      </c>
      <c r="AA276" s="2">
        <f>IF(Table13[[#This Row],[Gender]]="M",Table13[[#This Row],[Whole_weight]],NA())</f>
        <v>0.622</v>
      </c>
      <c r="AB276" s="2" t="e">
        <f>IF(Table13[[#This Row],[Gender]]="F",Table13[[#This Row],[Whole_weight]],NA())</f>
        <v>#N/A</v>
      </c>
      <c r="AC276" s="2" t="e">
        <f>IF(Table13[[#This Row],[Gender]]="I",Table13[[#This Row],[Whole_weight]],NA())</f>
        <v>#N/A</v>
      </c>
      <c r="AD276" s="2">
        <f>IF(Table13[[#This Row],[Gender]]="M",Table13[[#This Row],[Diameter]],NA())</f>
        <v>0.4</v>
      </c>
      <c r="AE276" s="2" t="e">
        <f>IF(Table13[[#This Row],[Gender]]="F",Table13[[#This Row],[Diameter]],NA())</f>
        <v>#N/A</v>
      </c>
      <c r="AF276" s="2" t="e">
        <f>IF(Table13[[#This Row],[Gender]]="I",Table13[[#This Row],[Diameter]],NA())</f>
        <v>#N/A</v>
      </c>
    </row>
    <row r="277" spans="1:32" x14ac:dyDescent="0.2">
      <c r="A277">
        <v>2657</v>
      </c>
      <c r="B277" t="s">
        <v>15</v>
      </c>
      <c r="C277">
        <v>0.54500000000000004</v>
      </c>
      <c r="D277">
        <v>0.42</v>
      </c>
      <c r="E277">
        <v>0.12</v>
      </c>
      <c r="F277">
        <v>0.78649999999999998</v>
      </c>
      <c r="G277">
        <v>0.40300000000000002</v>
      </c>
      <c r="H277">
        <v>0.185</v>
      </c>
      <c r="I277">
        <v>0.17</v>
      </c>
      <c r="J277">
        <v>7</v>
      </c>
      <c r="K277">
        <v>13</v>
      </c>
      <c r="L277" t="s">
        <v>12</v>
      </c>
      <c r="M277" t="s">
        <v>13</v>
      </c>
      <c r="N277" t="s">
        <v>3</v>
      </c>
      <c r="O277">
        <v>5</v>
      </c>
      <c r="P277" t="s">
        <v>14</v>
      </c>
      <c r="Q277">
        <v>12.8</v>
      </c>
      <c r="R277" t="str" cm="1">
        <f t="array" ref="R2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77" t="e">
        <f>IF(Table13[[#This Row],[Category All]]="Category 1", "Yes",NA())</f>
        <v>#N/A</v>
      </c>
      <c r="T277" t="e">
        <f>IF(Table13[[#This Row],[Category All]]="Category 2", "Yes",NA())</f>
        <v>#N/A</v>
      </c>
      <c r="U277" t="str">
        <f>IF(Table13[[#This Row],[Category All]]="Category 3", "Yes",NA())</f>
        <v>Yes</v>
      </c>
      <c r="V277">
        <f>SUM(1,(1/3)*(Table13[[#This Row],[Length]]-0.5),(1/3)*(Table13[[#This Row],[Diameter]]-0.4),(1/3)*(Table13[[#This Row],[Height]]-0.4)*Table13[[#This Row],[Whole_weight]]*0.5)</f>
        <v>0.98496333333333341</v>
      </c>
      <c r="W277" cm="1">
        <f t="array" ref="W2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0.98496333333333341</v>
      </c>
      <c r="X277" t="e">
        <f>IF(Table13[[#This Row],[Category All]]="Category 1",Table13[[#This Row],[Base Abalone Value]]*1.5,NA())</f>
        <v>#N/A</v>
      </c>
      <c r="Y277" t="e">
        <f>IF(Table13[[#This Row],[Category All]]="Category 2",Table13[[#This Row],[Base Abalone Value]]*0.8,NA())</f>
        <v>#N/A</v>
      </c>
      <c r="Z277">
        <f>IF(Table13[[#This Row],[Category All]]="Category 3",Table13[[#This Row],[Base Abalone Value]],NA())</f>
        <v>0.98496333333333341</v>
      </c>
      <c r="AA277" s="2">
        <f>IF(Table13[[#This Row],[Gender]]="M",Table13[[#This Row],[Whole_weight]],NA())</f>
        <v>0.78649999999999998</v>
      </c>
      <c r="AB277" s="2" t="e">
        <f>IF(Table13[[#This Row],[Gender]]="F",Table13[[#This Row],[Whole_weight]],NA())</f>
        <v>#N/A</v>
      </c>
      <c r="AC277" s="2" t="e">
        <f>IF(Table13[[#This Row],[Gender]]="I",Table13[[#This Row],[Whole_weight]],NA())</f>
        <v>#N/A</v>
      </c>
      <c r="AD277" s="2">
        <f>IF(Table13[[#This Row],[Gender]]="M",Table13[[#This Row],[Diameter]],NA())</f>
        <v>0.42</v>
      </c>
      <c r="AE277" s="2" t="e">
        <f>IF(Table13[[#This Row],[Gender]]="F",Table13[[#This Row],[Diameter]],NA())</f>
        <v>#N/A</v>
      </c>
      <c r="AF277" s="2" t="e">
        <f>IF(Table13[[#This Row],[Gender]]="I",Table13[[#This Row],[Diameter]],NA())</f>
        <v>#N/A</v>
      </c>
    </row>
    <row r="278" spans="1:32" x14ac:dyDescent="0.2">
      <c r="A278">
        <v>4013</v>
      </c>
      <c r="B278" t="s">
        <v>0</v>
      </c>
      <c r="C278">
        <v>0.62</v>
      </c>
      <c r="D278">
        <v>0.46500000000000002</v>
      </c>
      <c r="E278">
        <v>0.14000000000000001</v>
      </c>
      <c r="F278">
        <v>1.0109999999999999</v>
      </c>
      <c r="G278">
        <v>0.47899999999999998</v>
      </c>
      <c r="H278">
        <v>0.23849999999999999</v>
      </c>
      <c r="I278">
        <v>0.255</v>
      </c>
      <c r="J278">
        <v>8</v>
      </c>
      <c r="K278">
        <v>2</v>
      </c>
      <c r="L278" t="s">
        <v>32</v>
      </c>
      <c r="M278" t="s">
        <v>33</v>
      </c>
      <c r="N278" t="s">
        <v>34</v>
      </c>
      <c r="O278">
        <v>5</v>
      </c>
      <c r="P278" t="s">
        <v>14</v>
      </c>
      <c r="Q278">
        <v>12.8</v>
      </c>
      <c r="R278" t="str" cm="1">
        <f t="array" ref="R2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78" t="e">
        <f>IF(Table13[[#This Row],[Category All]]="Category 1", "Yes",NA())</f>
        <v>#N/A</v>
      </c>
      <c r="T278" t="e">
        <f>IF(Table13[[#This Row],[Category All]]="Category 2", "Yes",NA())</f>
        <v>#N/A</v>
      </c>
      <c r="U278" t="str">
        <f>IF(Table13[[#This Row],[Category All]]="Category 3", "Yes",NA())</f>
        <v>Yes</v>
      </c>
      <c r="V278">
        <f>SUM(1,(1/3)*(Table13[[#This Row],[Length]]-0.5),(1/3)*(Table13[[#This Row],[Diameter]]-0.4),(1/3)*(Table13[[#This Row],[Height]]-0.4)*Table13[[#This Row],[Whole_weight]]*0.5)</f>
        <v>1.0178566666666669</v>
      </c>
      <c r="W278" cm="1">
        <f t="array" ref="W2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1.0178566666666669</v>
      </c>
      <c r="X278" t="e">
        <f>IF(Table13[[#This Row],[Category All]]="Category 1",Table13[[#This Row],[Base Abalone Value]]*1.5,NA())</f>
        <v>#N/A</v>
      </c>
      <c r="Y278" t="e">
        <f>IF(Table13[[#This Row],[Category All]]="Category 2",Table13[[#This Row],[Base Abalone Value]]*0.8,NA())</f>
        <v>#N/A</v>
      </c>
      <c r="Z278">
        <f>IF(Table13[[#This Row],[Category All]]="Category 3",Table13[[#This Row],[Base Abalone Value]],NA())</f>
        <v>1.0178566666666669</v>
      </c>
      <c r="AA278" s="2" t="e">
        <f>IF(Table13[[#This Row],[Gender]]="M",Table13[[#This Row],[Whole_weight]],NA())</f>
        <v>#N/A</v>
      </c>
      <c r="AB278" s="2">
        <f>IF(Table13[[#This Row],[Gender]]="F",Table13[[#This Row],[Whole_weight]],NA())</f>
        <v>1.0109999999999999</v>
      </c>
      <c r="AC278" s="2" t="e">
        <f>IF(Table13[[#This Row],[Gender]]="I",Table13[[#This Row],[Whole_weight]],NA())</f>
        <v>#N/A</v>
      </c>
      <c r="AD278" s="2" t="e">
        <f>IF(Table13[[#This Row],[Gender]]="M",Table13[[#This Row],[Diameter]],NA())</f>
        <v>#N/A</v>
      </c>
      <c r="AE278" s="2">
        <f>IF(Table13[[#This Row],[Gender]]="F",Table13[[#This Row],[Diameter]],NA())</f>
        <v>0.46500000000000002</v>
      </c>
      <c r="AF278" s="2" t="e">
        <f>IF(Table13[[#This Row],[Gender]]="I",Table13[[#This Row],[Diameter]],NA())</f>
        <v>#N/A</v>
      </c>
    </row>
    <row r="279" spans="1:32" x14ac:dyDescent="0.2">
      <c r="A279">
        <v>3577</v>
      </c>
      <c r="B279" t="s">
        <v>0</v>
      </c>
      <c r="C279">
        <v>0.6</v>
      </c>
      <c r="D279">
        <v>0.47499999999999998</v>
      </c>
      <c r="E279">
        <v>0.155</v>
      </c>
      <c r="F279">
        <v>1.0589999999999999</v>
      </c>
      <c r="G279">
        <v>0.441</v>
      </c>
      <c r="H279">
        <v>0.19</v>
      </c>
      <c r="I279">
        <v>0.39</v>
      </c>
      <c r="J279">
        <v>11</v>
      </c>
      <c r="K279">
        <v>11</v>
      </c>
      <c r="L279" t="s">
        <v>5</v>
      </c>
      <c r="M279" t="s">
        <v>6</v>
      </c>
      <c r="N279" t="s">
        <v>3</v>
      </c>
      <c r="O279">
        <v>1</v>
      </c>
      <c r="P279" t="s">
        <v>4</v>
      </c>
      <c r="Q279">
        <v>22.1</v>
      </c>
      <c r="R279" t="str" cm="1">
        <f t="array" ref="R2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79" t="e">
        <f>IF(Table13[[#This Row],[Category All]]="Category 1", "Yes",NA())</f>
        <v>#N/A</v>
      </c>
      <c r="T279" t="e">
        <f>IF(Table13[[#This Row],[Category All]]="Category 2", "Yes",NA())</f>
        <v>#N/A</v>
      </c>
      <c r="U279" t="str">
        <f>IF(Table13[[#This Row],[Category All]]="Category 3", "Yes",NA())</f>
        <v>Yes</v>
      </c>
      <c r="V279">
        <f>SUM(1,(1/3)*(Table13[[#This Row],[Length]]-0.5),(1/3)*(Table13[[#This Row],[Diameter]]-0.4),(1/3)*(Table13[[#This Row],[Height]]-0.4)*Table13[[#This Row],[Whole_weight]]*0.5)</f>
        <v>1.0150908333333331</v>
      </c>
      <c r="W279" cm="1">
        <f t="array" ref="W2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1.0150908333333331</v>
      </c>
      <c r="X279" t="e">
        <f>IF(Table13[[#This Row],[Category All]]="Category 1",Table13[[#This Row],[Base Abalone Value]]*1.5,NA())</f>
        <v>#N/A</v>
      </c>
      <c r="Y279" t="e">
        <f>IF(Table13[[#This Row],[Category All]]="Category 2",Table13[[#This Row],[Base Abalone Value]]*0.8,NA())</f>
        <v>#N/A</v>
      </c>
      <c r="Z279">
        <f>IF(Table13[[#This Row],[Category All]]="Category 3",Table13[[#This Row],[Base Abalone Value]],NA())</f>
        <v>1.0150908333333331</v>
      </c>
      <c r="AA279" s="2" t="e">
        <f>IF(Table13[[#This Row],[Gender]]="M",Table13[[#This Row],[Whole_weight]],NA())</f>
        <v>#N/A</v>
      </c>
      <c r="AB279" s="2">
        <f>IF(Table13[[#This Row],[Gender]]="F",Table13[[#This Row],[Whole_weight]],NA())</f>
        <v>1.0589999999999999</v>
      </c>
      <c r="AC279" s="2" t="e">
        <f>IF(Table13[[#This Row],[Gender]]="I",Table13[[#This Row],[Whole_weight]],NA())</f>
        <v>#N/A</v>
      </c>
      <c r="AD279" s="2" t="e">
        <f>IF(Table13[[#This Row],[Gender]]="M",Table13[[#This Row],[Diameter]],NA())</f>
        <v>#N/A</v>
      </c>
      <c r="AE279" s="2">
        <f>IF(Table13[[#This Row],[Gender]]="F",Table13[[#This Row],[Diameter]],NA())</f>
        <v>0.47499999999999998</v>
      </c>
      <c r="AF279" s="2" t="e">
        <f>IF(Table13[[#This Row],[Gender]]="I",Table13[[#This Row],[Diameter]],NA())</f>
        <v>#N/A</v>
      </c>
    </row>
    <row r="280" spans="1:32" x14ac:dyDescent="0.2">
      <c r="A280">
        <v>3053</v>
      </c>
      <c r="B280" t="s">
        <v>0</v>
      </c>
      <c r="C280">
        <v>0.59499999999999997</v>
      </c>
      <c r="D280">
        <v>0.46</v>
      </c>
      <c r="E280">
        <v>0.16</v>
      </c>
      <c r="F280">
        <v>0.92100000000000004</v>
      </c>
      <c r="G280">
        <v>0.40050000000000002</v>
      </c>
      <c r="H280">
        <v>0.20250000000000001</v>
      </c>
      <c r="I280">
        <v>0.28749999999999998</v>
      </c>
      <c r="J280">
        <v>9</v>
      </c>
      <c r="K280">
        <v>2</v>
      </c>
      <c r="L280" t="s">
        <v>32</v>
      </c>
      <c r="M280" t="s">
        <v>33</v>
      </c>
      <c r="N280" t="s">
        <v>34</v>
      </c>
      <c r="O280">
        <v>6</v>
      </c>
      <c r="P280" t="s">
        <v>47</v>
      </c>
      <c r="Q280">
        <v>14.1</v>
      </c>
      <c r="R280" t="str" cm="1">
        <f t="array" ref="R2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80" t="e">
        <f>IF(Table13[[#This Row],[Category All]]="Category 1", "Yes",NA())</f>
        <v>#N/A</v>
      </c>
      <c r="T280" t="e">
        <f>IF(Table13[[#This Row],[Category All]]="Category 2", "Yes",NA())</f>
        <v>#N/A</v>
      </c>
      <c r="U280" t="str">
        <f>IF(Table13[[#This Row],[Category All]]="Category 3", "Yes",NA())</f>
        <v>Yes</v>
      </c>
      <c r="V280">
        <f>SUM(1,(1/3)*(Table13[[#This Row],[Length]]-0.5),(1/3)*(Table13[[#This Row],[Diameter]]-0.4),(1/3)*(Table13[[#This Row],[Height]]-0.4)*Table13[[#This Row],[Whole_weight]]*0.5)</f>
        <v>1.0148266666666668</v>
      </c>
      <c r="W280" cm="1">
        <f t="array" ref="W2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1.0148266666666668</v>
      </c>
      <c r="X280" t="e">
        <f>IF(Table13[[#This Row],[Category All]]="Category 1",Table13[[#This Row],[Base Abalone Value]]*1.5,NA())</f>
        <v>#N/A</v>
      </c>
      <c r="Y280" t="e">
        <f>IF(Table13[[#This Row],[Category All]]="Category 2",Table13[[#This Row],[Base Abalone Value]]*0.8,NA())</f>
        <v>#N/A</v>
      </c>
      <c r="Z280">
        <f>IF(Table13[[#This Row],[Category All]]="Category 3",Table13[[#This Row],[Base Abalone Value]],NA())</f>
        <v>1.0148266666666668</v>
      </c>
      <c r="AA280" s="2" t="e">
        <f>IF(Table13[[#This Row],[Gender]]="M",Table13[[#This Row],[Whole_weight]],NA())</f>
        <v>#N/A</v>
      </c>
      <c r="AB280" s="2">
        <f>IF(Table13[[#This Row],[Gender]]="F",Table13[[#This Row],[Whole_weight]],NA())</f>
        <v>0.92100000000000004</v>
      </c>
      <c r="AC280" s="2" t="e">
        <f>IF(Table13[[#This Row],[Gender]]="I",Table13[[#This Row],[Whole_weight]],NA())</f>
        <v>#N/A</v>
      </c>
      <c r="AD280" s="2" t="e">
        <f>IF(Table13[[#This Row],[Gender]]="M",Table13[[#This Row],[Diameter]],NA())</f>
        <v>#N/A</v>
      </c>
      <c r="AE280" s="2">
        <f>IF(Table13[[#This Row],[Gender]]="F",Table13[[#This Row],[Diameter]],NA())</f>
        <v>0.46</v>
      </c>
      <c r="AF280" s="2" t="e">
        <f>IF(Table13[[#This Row],[Gender]]="I",Table13[[#This Row],[Diameter]],NA())</f>
        <v>#N/A</v>
      </c>
    </row>
    <row r="281" spans="1:32" x14ac:dyDescent="0.2">
      <c r="A281">
        <v>1975</v>
      </c>
      <c r="B281" t="s">
        <v>15</v>
      </c>
      <c r="C281">
        <v>0.68500000000000005</v>
      </c>
      <c r="D281">
        <v>0.53500000000000003</v>
      </c>
      <c r="E281">
        <v>0.155</v>
      </c>
      <c r="F281">
        <v>1.3845000000000001</v>
      </c>
      <c r="G281">
        <v>0.66149999999999998</v>
      </c>
      <c r="H281">
        <v>0.2145</v>
      </c>
      <c r="I281">
        <v>0.40749999999999997</v>
      </c>
      <c r="J281">
        <v>10</v>
      </c>
      <c r="K281">
        <v>14</v>
      </c>
      <c r="L281" t="s">
        <v>23</v>
      </c>
      <c r="M281" t="s">
        <v>24</v>
      </c>
      <c r="N281" t="s">
        <v>25</v>
      </c>
      <c r="O281">
        <v>4</v>
      </c>
      <c r="P281" t="s">
        <v>10</v>
      </c>
      <c r="Q281">
        <v>6.1</v>
      </c>
      <c r="R281" t="str" cm="1">
        <f t="array" ref="R2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81" t="e">
        <f>IF(Table13[[#This Row],[Category All]]="Category 1", "Yes",NA())</f>
        <v>#N/A</v>
      </c>
      <c r="T281" t="e">
        <f>IF(Table13[[#This Row],[Category All]]="Category 2", "Yes",NA())</f>
        <v>#N/A</v>
      </c>
      <c r="U281" t="str">
        <f>IF(Table13[[#This Row],[Category All]]="Category 3", "Yes",NA())</f>
        <v>Yes</v>
      </c>
      <c r="V281">
        <f>SUM(1,(1/3)*(Table13[[#This Row],[Length]]-0.5),(1/3)*(Table13[[#This Row],[Diameter]]-0.4),(1/3)*(Table13[[#This Row],[Height]]-0.4)*Table13[[#This Row],[Whole_weight]]*0.5)</f>
        <v>1.0501329166666666</v>
      </c>
      <c r="W281" cm="1">
        <f t="array" ref="W2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1.0501329166666666</v>
      </c>
      <c r="X281" t="e">
        <f>IF(Table13[[#This Row],[Category All]]="Category 1",Table13[[#This Row],[Base Abalone Value]]*1.5,NA())</f>
        <v>#N/A</v>
      </c>
      <c r="Y281" t="e">
        <f>IF(Table13[[#This Row],[Category All]]="Category 2",Table13[[#This Row],[Base Abalone Value]]*0.8,NA())</f>
        <v>#N/A</v>
      </c>
      <c r="Z281">
        <f>IF(Table13[[#This Row],[Category All]]="Category 3",Table13[[#This Row],[Base Abalone Value]],NA())</f>
        <v>1.0501329166666666</v>
      </c>
      <c r="AA281" s="2">
        <f>IF(Table13[[#This Row],[Gender]]="M",Table13[[#This Row],[Whole_weight]],NA())</f>
        <v>1.3845000000000001</v>
      </c>
      <c r="AB281" s="2" t="e">
        <f>IF(Table13[[#This Row],[Gender]]="F",Table13[[#This Row],[Whole_weight]],NA())</f>
        <v>#N/A</v>
      </c>
      <c r="AC281" s="2" t="e">
        <f>IF(Table13[[#This Row],[Gender]]="I",Table13[[#This Row],[Whole_weight]],NA())</f>
        <v>#N/A</v>
      </c>
      <c r="AD281" s="2">
        <f>IF(Table13[[#This Row],[Gender]]="M",Table13[[#This Row],[Diameter]],NA())</f>
        <v>0.53500000000000003</v>
      </c>
      <c r="AE281" s="2" t="e">
        <f>IF(Table13[[#This Row],[Gender]]="F",Table13[[#This Row],[Diameter]],NA())</f>
        <v>#N/A</v>
      </c>
      <c r="AF281" s="2" t="e">
        <f>IF(Table13[[#This Row],[Gender]]="I",Table13[[#This Row],[Diameter]],NA())</f>
        <v>#N/A</v>
      </c>
    </row>
    <row r="282" spans="1:32" x14ac:dyDescent="0.2">
      <c r="A282">
        <v>671</v>
      </c>
      <c r="B282" t="s">
        <v>15</v>
      </c>
      <c r="C282">
        <v>0.47499999999999998</v>
      </c>
      <c r="D282">
        <v>0.38500000000000001</v>
      </c>
      <c r="E282">
        <v>0.14499999999999999</v>
      </c>
      <c r="F282">
        <v>0.61750000000000005</v>
      </c>
      <c r="G282">
        <v>0.23499999999999999</v>
      </c>
      <c r="H282">
        <v>0.108</v>
      </c>
      <c r="I282">
        <v>0.215</v>
      </c>
      <c r="J282">
        <v>14</v>
      </c>
      <c r="K282">
        <v>13</v>
      </c>
      <c r="L282" t="s">
        <v>12</v>
      </c>
      <c r="M282" t="s">
        <v>13</v>
      </c>
      <c r="N282" t="s">
        <v>3</v>
      </c>
      <c r="O282">
        <v>4</v>
      </c>
      <c r="P282" t="s">
        <v>10</v>
      </c>
      <c r="Q282">
        <v>6.1</v>
      </c>
      <c r="R282" t="str" cm="1">
        <f t="array" ref="R2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82" t="e">
        <f>IF(Table13[[#This Row],[Category All]]="Category 1", "Yes",NA())</f>
        <v>#N/A</v>
      </c>
      <c r="T282" t="str">
        <f>IF(Table13[[#This Row],[Category All]]="Category 2", "Yes",NA())</f>
        <v>Yes</v>
      </c>
      <c r="U282" t="e">
        <f>IF(Table13[[#This Row],[Category All]]="Category 3", "Yes",NA())</f>
        <v>#N/A</v>
      </c>
      <c r="V282">
        <f>SUM(1,(1/3)*(Table13[[#This Row],[Length]]-0.5),(1/3)*(Table13[[#This Row],[Diameter]]-0.4),(1/3)*(Table13[[#This Row],[Height]]-0.4)*Table13[[#This Row],[Whole_weight]]*0.5)</f>
        <v>0.96042291666666668</v>
      </c>
      <c r="W282" cm="1">
        <f t="array" ref="W2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0.76833833333333335</v>
      </c>
      <c r="X282" t="e">
        <f>IF(Table13[[#This Row],[Category All]]="Category 1",Table13[[#This Row],[Base Abalone Value]]*1.5,NA())</f>
        <v>#N/A</v>
      </c>
      <c r="Y282">
        <f>IF(Table13[[#This Row],[Category All]]="Category 2",Table13[[#This Row],[Base Abalone Value]]*0.8,NA())</f>
        <v>0.76833833333333335</v>
      </c>
      <c r="Z282" t="e">
        <f>IF(Table13[[#This Row],[Category All]]="Category 3",Table13[[#This Row],[Base Abalone Value]],NA())</f>
        <v>#N/A</v>
      </c>
      <c r="AA282" s="2">
        <f>IF(Table13[[#This Row],[Gender]]="M",Table13[[#This Row],[Whole_weight]],NA())</f>
        <v>0.61750000000000005</v>
      </c>
      <c r="AB282" s="2" t="e">
        <f>IF(Table13[[#This Row],[Gender]]="F",Table13[[#This Row],[Whole_weight]],NA())</f>
        <v>#N/A</v>
      </c>
      <c r="AC282" s="2" t="e">
        <f>IF(Table13[[#This Row],[Gender]]="I",Table13[[#This Row],[Whole_weight]],NA())</f>
        <v>#N/A</v>
      </c>
      <c r="AD282" s="2">
        <f>IF(Table13[[#This Row],[Gender]]="M",Table13[[#This Row],[Diameter]],NA())</f>
        <v>0.38500000000000001</v>
      </c>
      <c r="AE282" s="2" t="e">
        <f>IF(Table13[[#This Row],[Gender]]="F",Table13[[#This Row],[Diameter]],NA())</f>
        <v>#N/A</v>
      </c>
      <c r="AF282" s="2" t="e">
        <f>IF(Table13[[#This Row],[Gender]]="I",Table13[[#This Row],[Diameter]],NA())</f>
        <v>#N/A</v>
      </c>
    </row>
    <row r="283" spans="1:32" x14ac:dyDescent="0.2">
      <c r="A283">
        <v>479</v>
      </c>
      <c r="B283" t="s">
        <v>15</v>
      </c>
      <c r="C283">
        <v>0.73499999999999999</v>
      </c>
      <c r="D283">
        <v>0.59</v>
      </c>
      <c r="E283">
        <v>0.22500000000000001</v>
      </c>
      <c r="F283">
        <v>1.756</v>
      </c>
      <c r="G283">
        <v>0.63700000000000001</v>
      </c>
      <c r="H283">
        <v>0.34050000000000002</v>
      </c>
      <c r="I283">
        <v>0.57999999999999996</v>
      </c>
      <c r="J283">
        <v>21</v>
      </c>
      <c r="K283">
        <v>4</v>
      </c>
      <c r="L283" t="s">
        <v>52</v>
      </c>
      <c r="M283" t="s">
        <v>53</v>
      </c>
      <c r="N283" t="s">
        <v>54</v>
      </c>
      <c r="O283">
        <v>7</v>
      </c>
      <c r="P283" t="s">
        <v>42</v>
      </c>
      <c r="Q283">
        <v>2.5</v>
      </c>
      <c r="R283" t="str" cm="1">
        <f t="array" ref="R2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83" t="e">
        <f>IF(Table13[[#This Row],[Category All]]="Category 1", "Yes",NA())</f>
        <v>#N/A</v>
      </c>
      <c r="T283" t="str">
        <f>IF(Table13[[#This Row],[Category All]]="Category 2", "Yes",NA())</f>
        <v>Yes</v>
      </c>
      <c r="U283" t="e">
        <f>IF(Table13[[#This Row],[Category All]]="Category 3", "Yes",NA())</f>
        <v>#N/A</v>
      </c>
      <c r="V283">
        <f>SUM(1,(1/3)*(Table13[[#This Row],[Length]]-0.5),(1/3)*(Table13[[#This Row],[Diameter]]-0.4),(1/3)*(Table13[[#This Row],[Height]]-0.4)*Table13[[#This Row],[Whole_weight]]*0.5)</f>
        <v>1.0904499999999999</v>
      </c>
      <c r="W283" cm="1">
        <f t="array" ref="W2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0.87236000000000002</v>
      </c>
      <c r="X283" t="e">
        <f>IF(Table13[[#This Row],[Category All]]="Category 1",Table13[[#This Row],[Base Abalone Value]]*1.5,NA())</f>
        <v>#N/A</v>
      </c>
      <c r="Y283">
        <f>IF(Table13[[#This Row],[Category All]]="Category 2",Table13[[#This Row],[Base Abalone Value]]*0.8,NA())</f>
        <v>0.87236000000000002</v>
      </c>
      <c r="Z283" t="e">
        <f>IF(Table13[[#This Row],[Category All]]="Category 3",Table13[[#This Row],[Base Abalone Value]],NA())</f>
        <v>#N/A</v>
      </c>
      <c r="AA283" s="2">
        <f>IF(Table13[[#This Row],[Gender]]="M",Table13[[#This Row],[Whole_weight]],NA())</f>
        <v>1.756</v>
      </c>
      <c r="AB283" s="2" t="e">
        <f>IF(Table13[[#This Row],[Gender]]="F",Table13[[#This Row],[Whole_weight]],NA())</f>
        <v>#N/A</v>
      </c>
      <c r="AC283" s="2" t="e">
        <f>IF(Table13[[#This Row],[Gender]]="I",Table13[[#This Row],[Whole_weight]],NA())</f>
        <v>#N/A</v>
      </c>
      <c r="AD283" s="2">
        <f>IF(Table13[[#This Row],[Gender]]="M",Table13[[#This Row],[Diameter]],NA())</f>
        <v>0.59</v>
      </c>
      <c r="AE283" s="2" t="e">
        <f>IF(Table13[[#This Row],[Gender]]="F",Table13[[#This Row],[Diameter]],NA())</f>
        <v>#N/A</v>
      </c>
      <c r="AF283" s="2" t="e">
        <f>IF(Table13[[#This Row],[Gender]]="I",Table13[[#This Row],[Diameter]],NA())</f>
        <v>#N/A</v>
      </c>
    </row>
    <row r="284" spans="1:32" x14ac:dyDescent="0.2">
      <c r="A284">
        <v>3402</v>
      </c>
      <c r="B284" t="s">
        <v>15</v>
      </c>
      <c r="C284">
        <v>0.48</v>
      </c>
      <c r="D284">
        <v>0.39500000000000002</v>
      </c>
      <c r="E284">
        <v>0.15</v>
      </c>
      <c r="F284">
        <v>0.68149999999999999</v>
      </c>
      <c r="G284">
        <v>0.2145</v>
      </c>
      <c r="H284">
        <v>0.14050000000000001</v>
      </c>
      <c r="I284">
        <v>0.2495</v>
      </c>
      <c r="J284">
        <v>18</v>
      </c>
      <c r="K284">
        <v>9</v>
      </c>
      <c r="L284" t="s">
        <v>20</v>
      </c>
      <c r="M284" t="s">
        <v>21</v>
      </c>
      <c r="N284" t="s">
        <v>22</v>
      </c>
      <c r="O284">
        <v>6</v>
      </c>
      <c r="P284" t="s">
        <v>47</v>
      </c>
      <c r="Q284">
        <v>14.1</v>
      </c>
      <c r="R284" t="str" cm="1">
        <f t="array" ref="R2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84" t="e">
        <f>IF(Table13[[#This Row],[Category All]]="Category 1", "Yes",NA())</f>
        <v>#N/A</v>
      </c>
      <c r="T284" t="str">
        <f>IF(Table13[[#This Row],[Category All]]="Category 2", "Yes",NA())</f>
        <v>Yes</v>
      </c>
      <c r="U284" t="e">
        <f>IF(Table13[[#This Row],[Category All]]="Category 3", "Yes",NA())</f>
        <v>#N/A</v>
      </c>
      <c r="V284">
        <f>SUM(1,(1/3)*(Table13[[#This Row],[Length]]-0.5),(1/3)*(Table13[[#This Row],[Diameter]]-0.4),(1/3)*(Table13[[#This Row],[Height]]-0.4)*Table13[[#This Row],[Whole_weight]]*0.5)</f>
        <v>0.9632708333333333</v>
      </c>
      <c r="W284" cm="1">
        <f t="array" ref="W2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0.77061666666666673</v>
      </c>
      <c r="X284" t="e">
        <f>IF(Table13[[#This Row],[Category All]]="Category 1",Table13[[#This Row],[Base Abalone Value]]*1.5,NA())</f>
        <v>#N/A</v>
      </c>
      <c r="Y284">
        <f>IF(Table13[[#This Row],[Category All]]="Category 2",Table13[[#This Row],[Base Abalone Value]]*0.8,NA())</f>
        <v>0.77061666666666673</v>
      </c>
      <c r="Z284" t="e">
        <f>IF(Table13[[#This Row],[Category All]]="Category 3",Table13[[#This Row],[Base Abalone Value]],NA())</f>
        <v>#N/A</v>
      </c>
      <c r="AA284" s="2">
        <f>IF(Table13[[#This Row],[Gender]]="M",Table13[[#This Row],[Whole_weight]],NA())</f>
        <v>0.68149999999999999</v>
      </c>
      <c r="AB284" s="2" t="e">
        <f>IF(Table13[[#This Row],[Gender]]="F",Table13[[#This Row],[Whole_weight]],NA())</f>
        <v>#N/A</v>
      </c>
      <c r="AC284" s="2" t="e">
        <f>IF(Table13[[#This Row],[Gender]]="I",Table13[[#This Row],[Whole_weight]],NA())</f>
        <v>#N/A</v>
      </c>
      <c r="AD284" s="2">
        <f>IF(Table13[[#This Row],[Gender]]="M",Table13[[#This Row],[Diameter]],NA())</f>
        <v>0.39500000000000002</v>
      </c>
      <c r="AE284" s="2" t="e">
        <f>IF(Table13[[#This Row],[Gender]]="F",Table13[[#This Row],[Diameter]],NA())</f>
        <v>#N/A</v>
      </c>
      <c r="AF284" s="2" t="e">
        <f>IF(Table13[[#This Row],[Gender]]="I",Table13[[#This Row],[Diameter]],NA())</f>
        <v>#N/A</v>
      </c>
    </row>
    <row r="285" spans="1:32" x14ac:dyDescent="0.2">
      <c r="A285">
        <v>2446</v>
      </c>
      <c r="B285" t="s">
        <v>15</v>
      </c>
      <c r="C285">
        <v>0.5</v>
      </c>
      <c r="D285">
        <v>0.38</v>
      </c>
      <c r="E285">
        <v>0.13500000000000001</v>
      </c>
      <c r="F285">
        <v>0.58350000000000002</v>
      </c>
      <c r="G285">
        <v>0.22950000000000001</v>
      </c>
      <c r="H285">
        <v>0.1265</v>
      </c>
      <c r="I285">
        <v>0.18</v>
      </c>
      <c r="J285">
        <v>12</v>
      </c>
      <c r="K285">
        <v>11</v>
      </c>
      <c r="L285" t="s">
        <v>5</v>
      </c>
      <c r="M285" t="s">
        <v>6</v>
      </c>
      <c r="N285" t="s">
        <v>3</v>
      </c>
      <c r="O285">
        <v>6</v>
      </c>
      <c r="P285" t="s">
        <v>47</v>
      </c>
      <c r="Q285">
        <v>14.1</v>
      </c>
      <c r="R285" t="str" cm="1">
        <f t="array" ref="R2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85" t="e">
        <f>IF(Table13[[#This Row],[Category All]]="Category 1", "Yes",NA())</f>
        <v>#N/A</v>
      </c>
      <c r="T285" t="str">
        <f>IF(Table13[[#This Row],[Category All]]="Category 2", "Yes",NA())</f>
        <v>Yes</v>
      </c>
      <c r="U285" t="e">
        <f>IF(Table13[[#This Row],[Category All]]="Category 3", "Yes",NA())</f>
        <v>#N/A</v>
      </c>
      <c r="V285">
        <f>SUM(1,(1/3)*(Table13[[#This Row],[Length]]-0.5),(1/3)*(Table13[[#This Row],[Diameter]]-0.4),(1/3)*(Table13[[#This Row],[Height]]-0.4)*Table13[[#This Row],[Whole_weight]]*0.5)</f>
        <v>0.96756208333333327</v>
      </c>
      <c r="W285" cm="1">
        <f t="array" ref="W2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0.77404966666666664</v>
      </c>
      <c r="X285" t="e">
        <f>IF(Table13[[#This Row],[Category All]]="Category 1",Table13[[#This Row],[Base Abalone Value]]*1.5,NA())</f>
        <v>#N/A</v>
      </c>
      <c r="Y285">
        <f>IF(Table13[[#This Row],[Category All]]="Category 2",Table13[[#This Row],[Base Abalone Value]]*0.8,NA())</f>
        <v>0.77404966666666664</v>
      </c>
      <c r="Z285" t="e">
        <f>IF(Table13[[#This Row],[Category All]]="Category 3",Table13[[#This Row],[Base Abalone Value]],NA())</f>
        <v>#N/A</v>
      </c>
      <c r="AA285" s="2">
        <f>IF(Table13[[#This Row],[Gender]]="M",Table13[[#This Row],[Whole_weight]],NA())</f>
        <v>0.58350000000000002</v>
      </c>
      <c r="AB285" s="2" t="e">
        <f>IF(Table13[[#This Row],[Gender]]="F",Table13[[#This Row],[Whole_weight]],NA())</f>
        <v>#N/A</v>
      </c>
      <c r="AC285" s="2" t="e">
        <f>IF(Table13[[#This Row],[Gender]]="I",Table13[[#This Row],[Whole_weight]],NA())</f>
        <v>#N/A</v>
      </c>
      <c r="AD285" s="2">
        <f>IF(Table13[[#This Row],[Gender]]="M",Table13[[#This Row],[Diameter]],NA())</f>
        <v>0.38</v>
      </c>
      <c r="AE285" s="2" t="e">
        <f>IF(Table13[[#This Row],[Gender]]="F",Table13[[#This Row],[Diameter]],NA())</f>
        <v>#N/A</v>
      </c>
      <c r="AF285" s="2" t="e">
        <f>IF(Table13[[#This Row],[Gender]]="I",Table13[[#This Row],[Diameter]],NA())</f>
        <v>#N/A</v>
      </c>
    </row>
    <row r="286" spans="1:32" x14ac:dyDescent="0.2">
      <c r="A286">
        <v>1394</v>
      </c>
      <c r="B286" t="s">
        <v>15</v>
      </c>
      <c r="C286">
        <v>0.63500000000000001</v>
      </c>
      <c r="D286">
        <v>0.51</v>
      </c>
      <c r="E286">
        <v>0.155</v>
      </c>
      <c r="F286">
        <v>0.98599999999999999</v>
      </c>
      <c r="G286">
        <v>0.40500000000000003</v>
      </c>
      <c r="H286">
        <v>0.22550000000000001</v>
      </c>
      <c r="I286">
        <v>0.31</v>
      </c>
      <c r="J286">
        <v>10</v>
      </c>
      <c r="K286">
        <v>3</v>
      </c>
      <c r="L286" t="s">
        <v>43</v>
      </c>
      <c r="M286" t="s">
        <v>44</v>
      </c>
      <c r="N286" t="s">
        <v>45</v>
      </c>
      <c r="O286">
        <v>7</v>
      </c>
      <c r="P286" t="s">
        <v>42</v>
      </c>
      <c r="Q286">
        <v>2.5</v>
      </c>
      <c r="R286" t="str" cm="1">
        <f t="array" ref="R2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86" t="e">
        <f>IF(Table13[[#This Row],[Category All]]="Category 1", "Yes",NA())</f>
        <v>#N/A</v>
      </c>
      <c r="T286" t="e">
        <f>IF(Table13[[#This Row],[Category All]]="Category 2", "Yes",NA())</f>
        <v>#N/A</v>
      </c>
      <c r="U286" t="str">
        <f>IF(Table13[[#This Row],[Category All]]="Category 3", "Yes",NA())</f>
        <v>Yes</v>
      </c>
      <c r="V286">
        <f>SUM(1,(1/3)*(Table13[[#This Row],[Length]]-0.5),(1/3)*(Table13[[#This Row],[Diameter]]-0.4),(1/3)*(Table13[[#This Row],[Height]]-0.4)*Table13[[#This Row],[Whole_weight]]*0.5)</f>
        <v>1.0414049999999999</v>
      </c>
      <c r="W286" cm="1">
        <f t="array" ref="W2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1.0414049999999999</v>
      </c>
      <c r="X286" t="e">
        <f>IF(Table13[[#This Row],[Category All]]="Category 1",Table13[[#This Row],[Base Abalone Value]]*1.5,NA())</f>
        <v>#N/A</v>
      </c>
      <c r="Y286" t="e">
        <f>IF(Table13[[#This Row],[Category All]]="Category 2",Table13[[#This Row],[Base Abalone Value]]*0.8,NA())</f>
        <v>#N/A</v>
      </c>
      <c r="Z286">
        <f>IF(Table13[[#This Row],[Category All]]="Category 3",Table13[[#This Row],[Base Abalone Value]],NA())</f>
        <v>1.0414049999999999</v>
      </c>
      <c r="AA286" s="2">
        <f>IF(Table13[[#This Row],[Gender]]="M",Table13[[#This Row],[Whole_weight]],NA())</f>
        <v>0.98599999999999999</v>
      </c>
      <c r="AB286" s="2" t="e">
        <f>IF(Table13[[#This Row],[Gender]]="F",Table13[[#This Row],[Whole_weight]],NA())</f>
        <v>#N/A</v>
      </c>
      <c r="AC286" s="2" t="e">
        <f>IF(Table13[[#This Row],[Gender]]="I",Table13[[#This Row],[Whole_weight]],NA())</f>
        <v>#N/A</v>
      </c>
      <c r="AD286" s="2">
        <f>IF(Table13[[#This Row],[Gender]]="M",Table13[[#This Row],[Diameter]],NA())</f>
        <v>0.51</v>
      </c>
      <c r="AE286" s="2" t="e">
        <f>IF(Table13[[#This Row],[Gender]]="F",Table13[[#This Row],[Diameter]],NA())</f>
        <v>#N/A</v>
      </c>
      <c r="AF286" s="2" t="e">
        <f>IF(Table13[[#This Row],[Gender]]="I",Table13[[#This Row],[Diameter]],NA())</f>
        <v>#N/A</v>
      </c>
    </row>
    <row r="287" spans="1:32" x14ac:dyDescent="0.2">
      <c r="A287">
        <v>3363</v>
      </c>
      <c r="B287" t="s">
        <v>15</v>
      </c>
      <c r="C287">
        <v>0.41</v>
      </c>
      <c r="D287">
        <v>0.3</v>
      </c>
      <c r="E287">
        <v>0.1</v>
      </c>
      <c r="F287">
        <v>0.30099999999999999</v>
      </c>
      <c r="G287">
        <v>0.124</v>
      </c>
      <c r="H287">
        <v>6.9000000000000006E-2</v>
      </c>
      <c r="I287">
        <v>0.09</v>
      </c>
      <c r="J287">
        <v>9</v>
      </c>
      <c r="K287">
        <v>10</v>
      </c>
      <c r="L287" t="s">
        <v>16</v>
      </c>
      <c r="M287" t="s">
        <v>17</v>
      </c>
      <c r="N287" t="s">
        <v>18</v>
      </c>
      <c r="O287">
        <v>7</v>
      </c>
      <c r="P287" t="s">
        <v>42</v>
      </c>
      <c r="Q287">
        <v>2.5</v>
      </c>
      <c r="R287" t="str" cm="1">
        <f t="array" ref="R2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87" t="e">
        <f>IF(Table13[[#This Row],[Category All]]="Category 1", "Yes",NA())</f>
        <v>#N/A</v>
      </c>
      <c r="T287" t="str">
        <f>IF(Table13[[#This Row],[Category All]]="Category 2", "Yes",NA())</f>
        <v>Yes</v>
      </c>
      <c r="U287" t="e">
        <f>IF(Table13[[#This Row],[Category All]]="Category 3", "Yes",NA())</f>
        <v>#N/A</v>
      </c>
      <c r="V287">
        <f>SUM(1,(1/3)*(Table13[[#This Row],[Length]]-0.5),(1/3)*(Table13[[#This Row],[Diameter]]-0.4),(1/3)*(Table13[[#This Row],[Height]]-0.4)*Table13[[#This Row],[Whole_weight]]*0.5)</f>
        <v>0.92161666666666664</v>
      </c>
      <c r="W287" cm="1">
        <f t="array" ref="W2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0.73729333333333336</v>
      </c>
      <c r="X287" t="e">
        <f>IF(Table13[[#This Row],[Category All]]="Category 1",Table13[[#This Row],[Base Abalone Value]]*1.5,NA())</f>
        <v>#N/A</v>
      </c>
      <c r="Y287">
        <f>IF(Table13[[#This Row],[Category All]]="Category 2",Table13[[#This Row],[Base Abalone Value]]*0.8,NA())</f>
        <v>0.73729333333333336</v>
      </c>
      <c r="Z287" t="e">
        <f>IF(Table13[[#This Row],[Category All]]="Category 3",Table13[[#This Row],[Base Abalone Value]],NA())</f>
        <v>#N/A</v>
      </c>
      <c r="AA287" s="2">
        <f>IF(Table13[[#This Row],[Gender]]="M",Table13[[#This Row],[Whole_weight]],NA())</f>
        <v>0.30099999999999999</v>
      </c>
      <c r="AB287" s="2" t="e">
        <f>IF(Table13[[#This Row],[Gender]]="F",Table13[[#This Row],[Whole_weight]],NA())</f>
        <v>#N/A</v>
      </c>
      <c r="AC287" s="2" t="e">
        <f>IF(Table13[[#This Row],[Gender]]="I",Table13[[#This Row],[Whole_weight]],NA())</f>
        <v>#N/A</v>
      </c>
      <c r="AD287" s="2">
        <f>IF(Table13[[#This Row],[Gender]]="M",Table13[[#This Row],[Diameter]],NA())</f>
        <v>0.3</v>
      </c>
      <c r="AE287" s="2" t="e">
        <f>IF(Table13[[#This Row],[Gender]]="F",Table13[[#This Row],[Diameter]],NA())</f>
        <v>#N/A</v>
      </c>
      <c r="AF287" s="2" t="e">
        <f>IF(Table13[[#This Row],[Gender]]="I",Table13[[#This Row],[Diameter]],NA())</f>
        <v>#N/A</v>
      </c>
    </row>
    <row r="288" spans="1:32" x14ac:dyDescent="0.2">
      <c r="A288">
        <v>1069</v>
      </c>
      <c r="B288" t="s">
        <v>11</v>
      </c>
      <c r="C288">
        <v>0.37</v>
      </c>
      <c r="D288">
        <v>0.28000000000000003</v>
      </c>
      <c r="E288">
        <v>0.1</v>
      </c>
      <c r="F288">
        <v>0.221</v>
      </c>
      <c r="G288">
        <v>0.11650000000000001</v>
      </c>
      <c r="H288">
        <v>2.6499999999999999E-2</v>
      </c>
      <c r="I288">
        <v>6.3500000000000001E-2</v>
      </c>
      <c r="J288">
        <v>6</v>
      </c>
      <c r="K288">
        <v>7</v>
      </c>
      <c r="L288" t="s">
        <v>35</v>
      </c>
      <c r="M288" t="s">
        <v>36</v>
      </c>
      <c r="N288" t="s">
        <v>37</v>
      </c>
      <c r="O288">
        <v>5</v>
      </c>
      <c r="P288" t="s">
        <v>14</v>
      </c>
      <c r="Q288">
        <v>12.8</v>
      </c>
      <c r="R288" t="str" cm="1">
        <f t="array" ref="R2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88" t="e">
        <f>IF(Table13[[#This Row],[Category All]]="Category 1", "Yes",NA())</f>
        <v>#N/A</v>
      </c>
      <c r="T288" t="str">
        <f>IF(Table13[[#This Row],[Category All]]="Category 2", "Yes",NA())</f>
        <v>Yes</v>
      </c>
      <c r="U288" t="e">
        <f>IF(Table13[[#This Row],[Category All]]="Category 3", "Yes",NA())</f>
        <v>#N/A</v>
      </c>
      <c r="V288">
        <f>SUM(1,(1/3)*(Table13[[#This Row],[Length]]-0.5),(1/3)*(Table13[[#This Row],[Diameter]]-0.4),(1/3)*(Table13[[#This Row],[Height]]-0.4)*Table13[[#This Row],[Whole_weight]]*0.5)</f>
        <v>0.90561666666666663</v>
      </c>
      <c r="W288" cm="1">
        <f t="array" ref="W2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0.72449333333333332</v>
      </c>
      <c r="X288" t="e">
        <f>IF(Table13[[#This Row],[Category All]]="Category 1",Table13[[#This Row],[Base Abalone Value]]*1.5,NA())</f>
        <v>#N/A</v>
      </c>
      <c r="Y288">
        <f>IF(Table13[[#This Row],[Category All]]="Category 2",Table13[[#This Row],[Base Abalone Value]]*0.8,NA())</f>
        <v>0.72449333333333332</v>
      </c>
      <c r="Z288" t="e">
        <f>IF(Table13[[#This Row],[Category All]]="Category 3",Table13[[#This Row],[Base Abalone Value]],NA())</f>
        <v>#N/A</v>
      </c>
      <c r="AA288" s="2" t="e">
        <f>IF(Table13[[#This Row],[Gender]]="M",Table13[[#This Row],[Whole_weight]],NA())</f>
        <v>#N/A</v>
      </c>
      <c r="AB288" s="2" t="e">
        <f>IF(Table13[[#This Row],[Gender]]="F",Table13[[#This Row],[Whole_weight]],NA())</f>
        <v>#N/A</v>
      </c>
      <c r="AC288" s="2">
        <f>IF(Table13[[#This Row],[Gender]]="I",Table13[[#This Row],[Whole_weight]],NA())</f>
        <v>0.221</v>
      </c>
      <c r="AD288" s="2" t="e">
        <f>IF(Table13[[#This Row],[Gender]]="M",Table13[[#This Row],[Diameter]],NA())</f>
        <v>#N/A</v>
      </c>
      <c r="AE288" s="2" t="e">
        <f>IF(Table13[[#This Row],[Gender]]="F",Table13[[#This Row],[Diameter]],NA())</f>
        <v>#N/A</v>
      </c>
      <c r="AF288" s="2">
        <f>IF(Table13[[#This Row],[Gender]]="I",Table13[[#This Row],[Diameter]],NA())</f>
        <v>0.28000000000000003</v>
      </c>
    </row>
    <row r="289" spans="1:32" x14ac:dyDescent="0.2">
      <c r="A289">
        <v>509</v>
      </c>
      <c r="B289" t="s">
        <v>15</v>
      </c>
      <c r="C289">
        <v>0.56000000000000005</v>
      </c>
      <c r="D289">
        <v>0.435</v>
      </c>
      <c r="E289">
        <v>0.18</v>
      </c>
      <c r="F289">
        <v>0.88900000000000001</v>
      </c>
      <c r="G289">
        <v>0.36</v>
      </c>
      <c r="H289">
        <v>0.20399999999999999</v>
      </c>
      <c r="I289">
        <v>0.25</v>
      </c>
      <c r="J289">
        <v>11</v>
      </c>
      <c r="K289">
        <v>5</v>
      </c>
      <c r="L289" t="s">
        <v>26</v>
      </c>
      <c r="M289" t="s">
        <v>27</v>
      </c>
      <c r="N289" t="s">
        <v>28</v>
      </c>
      <c r="O289">
        <v>9</v>
      </c>
      <c r="P289" t="s">
        <v>46</v>
      </c>
      <c r="Q289">
        <v>1.9</v>
      </c>
      <c r="R289" t="str" cm="1">
        <f t="array" ref="R2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89" t="e">
        <f>IF(Table13[[#This Row],[Category All]]="Category 1", "Yes",NA())</f>
        <v>#N/A</v>
      </c>
      <c r="T289" t="str">
        <f>IF(Table13[[#This Row],[Category All]]="Category 2", "Yes",NA())</f>
        <v>Yes</v>
      </c>
      <c r="U289" t="e">
        <f>IF(Table13[[#This Row],[Category All]]="Category 3", "Yes",NA())</f>
        <v>#N/A</v>
      </c>
      <c r="V289">
        <f>SUM(1,(1/3)*(Table13[[#This Row],[Length]]-0.5),(1/3)*(Table13[[#This Row],[Diameter]]-0.4),(1/3)*(Table13[[#This Row],[Height]]-0.4)*Table13[[#This Row],[Whole_weight]]*0.5)</f>
        <v>0.99907000000000001</v>
      </c>
      <c r="W289" cm="1">
        <f t="array" ref="W2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0.79925600000000008</v>
      </c>
      <c r="X289" t="e">
        <f>IF(Table13[[#This Row],[Category All]]="Category 1",Table13[[#This Row],[Base Abalone Value]]*1.5,NA())</f>
        <v>#N/A</v>
      </c>
      <c r="Y289">
        <f>IF(Table13[[#This Row],[Category All]]="Category 2",Table13[[#This Row],[Base Abalone Value]]*0.8,NA())</f>
        <v>0.79925600000000008</v>
      </c>
      <c r="Z289" t="e">
        <f>IF(Table13[[#This Row],[Category All]]="Category 3",Table13[[#This Row],[Base Abalone Value]],NA())</f>
        <v>#N/A</v>
      </c>
      <c r="AA289" s="2">
        <f>IF(Table13[[#This Row],[Gender]]="M",Table13[[#This Row],[Whole_weight]],NA())</f>
        <v>0.88900000000000001</v>
      </c>
      <c r="AB289" s="2" t="e">
        <f>IF(Table13[[#This Row],[Gender]]="F",Table13[[#This Row],[Whole_weight]],NA())</f>
        <v>#N/A</v>
      </c>
      <c r="AC289" s="2" t="e">
        <f>IF(Table13[[#This Row],[Gender]]="I",Table13[[#This Row],[Whole_weight]],NA())</f>
        <v>#N/A</v>
      </c>
      <c r="AD289" s="2">
        <f>IF(Table13[[#This Row],[Gender]]="M",Table13[[#This Row],[Diameter]],NA())</f>
        <v>0.435</v>
      </c>
      <c r="AE289" s="2" t="e">
        <f>IF(Table13[[#This Row],[Gender]]="F",Table13[[#This Row],[Diameter]],NA())</f>
        <v>#N/A</v>
      </c>
      <c r="AF289" s="2" t="e">
        <f>IF(Table13[[#This Row],[Gender]]="I",Table13[[#This Row],[Diameter]],NA())</f>
        <v>#N/A</v>
      </c>
    </row>
    <row r="290" spans="1:32" x14ac:dyDescent="0.2">
      <c r="A290">
        <v>1206</v>
      </c>
      <c r="B290" t="s">
        <v>15</v>
      </c>
      <c r="C290">
        <v>0.745</v>
      </c>
      <c r="D290">
        <v>0.56499999999999995</v>
      </c>
      <c r="E290">
        <v>0.215</v>
      </c>
      <c r="F290">
        <v>1.931</v>
      </c>
      <c r="G290">
        <v>0.89600000000000002</v>
      </c>
      <c r="H290">
        <v>0.45850000000000002</v>
      </c>
      <c r="I290">
        <v>0.5</v>
      </c>
      <c r="J290">
        <v>11</v>
      </c>
      <c r="K290">
        <v>15</v>
      </c>
      <c r="L290" t="s">
        <v>49</v>
      </c>
      <c r="M290" t="s">
        <v>50</v>
      </c>
      <c r="N290" t="s">
        <v>3</v>
      </c>
      <c r="O290">
        <v>4</v>
      </c>
      <c r="P290" t="s">
        <v>10</v>
      </c>
      <c r="Q290">
        <v>6.1</v>
      </c>
      <c r="R290" t="str" cm="1">
        <f t="array" ref="R2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90" t="e">
        <f>IF(Table13[[#This Row],[Category All]]="Category 1", "Yes",NA())</f>
        <v>#N/A</v>
      </c>
      <c r="T290" t="e">
        <f>IF(Table13[[#This Row],[Category All]]="Category 2", "Yes",NA())</f>
        <v>#N/A</v>
      </c>
      <c r="U290" t="str">
        <f>IF(Table13[[#This Row],[Category All]]="Category 3", "Yes",NA())</f>
        <v>Yes</v>
      </c>
      <c r="V290">
        <f>SUM(1,(1/3)*(Table13[[#This Row],[Length]]-0.5),(1/3)*(Table13[[#This Row],[Diameter]]-0.4),(1/3)*(Table13[[#This Row],[Height]]-0.4)*Table13[[#This Row],[Whole_weight]]*0.5)</f>
        <v>1.0771274999999998</v>
      </c>
      <c r="W290" cm="1">
        <f t="array" ref="W2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1.0771274999999998</v>
      </c>
      <c r="X290" t="e">
        <f>IF(Table13[[#This Row],[Category All]]="Category 1",Table13[[#This Row],[Base Abalone Value]]*1.5,NA())</f>
        <v>#N/A</v>
      </c>
      <c r="Y290" t="e">
        <f>IF(Table13[[#This Row],[Category All]]="Category 2",Table13[[#This Row],[Base Abalone Value]]*0.8,NA())</f>
        <v>#N/A</v>
      </c>
      <c r="Z290">
        <f>IF(Table13[[#This Row],[Category All]]="Category 3",Table13[[#This Row],[Base Abalone Value]],NA())</f>
        <v>1.0771274999999998</v>
      </c>
      <c r="AA290" s="2">
        <f>IF(Table13[[#This Row],[Gender]]="M",Table13[[#This Row],[Whole_weight]],NA())</f>
        <v>1.931</v>
      </c>
      <c r="AB290" s="2" t="e">
        <f>IF(Table13[[#This Row],[Gender]]="F",Table13[[#This Row],[Whole_weight]],NA())</f>
        <v>#N/A</v>
      </c>
      <c r="AC290" s="2" t="e">
        <f>IF(Table13[[#This Row],[Gender]]="I",Table13[[#This Row],[Whole_weight]],NA())</f>
        <v>#N/A</v>
      </c>
      <c r="AD290" s="2">
        <f>IF(Table13[[#This Row],[Gender]]="M",Table13[[#This Row],[Diameter]],NA())</f>
        <v>0.56499999999999995</v>
      </c>
      <c r="AE290" s="2" t="e">
        <f>IF(Table13[[#This Row],[Gender]]="F",Table13[[#This Row],[Diameter]],NA())</f>
        <v>#N/A</v>
      </c>
      <c r="AF290" s="2" t="e">
        <f>IF(Table13[[#This Row],[Gender]]="I",Table13[[#This Row],[Diameter]],NA())</f>
        <v>#N/A</v>
      </c>
    </row>
    <row r="291" spans="1:32" x14ac:dyDescent="0.2">
      <c r="A291">
        <v>2919</v>
      </c>
      <c r="B291" t="s">
        <v>11</v>
      </c>
      <c r="C291">
        <v>0.6</v>
      </c>
      <c r="D291">
        <v>0.44500000000000001</v>
      </c>
      <c r="E291">
        <v>0.13500000000000001</v>
      </c>
      <c r="F291">
        <v>0.92049999999999998</v>
      </c>
      <c r="G291">
        <v>0.44500000000000001</v>
      </c>
      <c r="H291">
        <v>0.20349999999999999</v>
      </c>
      <c r="I291">
        <v>0.253</v>
      </c>
      <c r="J291">
        <v>9</v>
      </c>
      <c r="K291">
        <v>6</v>
      </c>
      <c r="L291" t="s">
        <v>39</v>
      </c>
      <c r="M291" t="s">
        <v>40</v>
      </c>
      <c r="N291" t="s">
        <v>41</v>
      </c>
      <c r="O291">
        <v>6</v>
      </c>
      <c r="P291" t="s">
        <v>47</v>
      </c>
      <c r="Q291">
        <v>14.1</v>
      </c>
      <c r="R291" t="str" cm="1">
        <f t="array" ref="R2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91" t="e">
        <f>IF(Table13[[#This Row],[Category All]]="Category 1", "Yes",NA())</f>
        <v>#N/A</v>
      </c>
      <c r="T291" t="e">
        <f>IF(Table13[[#This Row],[Category All]]="Category 2", "Yes",NA())</f>
        <v>#N/A</v>
      </c>
      <c r="U291" t="str">
        <f>IF(Table13[[#This Row],[Category All]]="Category 3", "Yes",NA())</f>
        <v>Yes</v>
      </c>
      <c r="V291">
        <f>SUM(1,(1/3)*(Table13[[#This Row],[Length]]-0.5),(1/3)*(Table13[[#This Row],[Diameter]]-0.4),(1/3)*(Table13[[#This Row],[Height]]-0.4)*Table13[[#This Row],[Whole_weight]]*0.5)</f>
        <v>1.0076779166666665</v>
      </c>
      <c r="W291" cm="1">
        <f t="array" ref="W2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1.0076779166666665</v>
      </c>
      <c r="X291" t="e">
        <f>IF(Table13[[#This Row],[Category All]]="Category 1",Table13[[#This Row],[Base Abalone Value]]*1.5,NA())</f>
        <v>#N/A</v>
      </c>
      <c r="Y291" t="e">
        <f>IF(Table13[[#This Row],[Category All]]="Category 2",Table13[[#This Row],[Base Abalone Value]]*0.8,NA())</f>
        <v>#N/A</v>
      </c>
      <c r="Z291">
        <f>IF(Table13[[#This Row],[Category All]]="Category 3",Table13[[#This Row],[Base Abalone Value]],NA())</f>
        <v>1.0076779166666665</v>
      </c>
      <c r="AA291" s="2" t="e">
        <f>IF(Table13[[#This Row],[Gender]]="M",Table13[[#This Row],[Whole_weight]],NA())</f>
        <v>#N/A</v>
      </c>
      <c r="AB291" s="2" t="e">
        <f>IF(Table13[[#This Row],[Gender]]="F",Table13[[#This Row],[Whole_weight]],NA())</f>
        <v>#N/A</v>
      </c>
      <c r="AC291" s="2">
        <f>IF(Table13[[#This Row],[Gender]]="I",Table13[[#This Row],[Whole_weight]],NA())</f>
        <v>0.92049999999999998</v>
      </c>
      <c r="AD291" s="2" t="e">
        <f>IF(Table13[[#This Row],[Gender]]="M",Table13[[#This Row],[Diameter]],NA())</f>
        <v>#N/A</v>
      </c>
      <c r="AE291" s="2" t="e">
        <f>IF(Table13[[#This Row],[Gender]]="F",Table13[[#This Row],[Diameter]],NA())</f>
        <v>#N/A</v>
      </c>
      <c r="AF291" s="2">
        <f>IF(Table13[[#This Row],[Gender]]="I",Table13[[#This Row],[Diameter]],NA())</f>
        <v>0.44500000000000001</v>
      </c>
    </row>
    <row r="292" spans="1:32" x14ac:dyDescent="0.2">
      <c r="A292">
        <v>2264</v>
      </c>
      <c r="B292" t="s">
        <v>0</v>
      </c>
      <c r="C292">
        <v>0.62</v>
      </c>
      <c r="D292">
        <v>0.51</v>
      </c>
      <c r="E292">
        <v>0.15</v>
      </c>
      <c r="F292">
        <v>1.456</v>
      </c>
      <c r="G292">
        <v>0.58099999999999996</v>
      </c>
      <c r="H292">
        <v>0.28749999999999998</v>
      </c>
      <c r="I292">
        <v>0.32</v>
      </c>
      <c r="J292">
        <v>13</v>
      </c>
      <c r="K292">
        <v>10</v>
      </c>
      <c r="L292" t="s">
        <v>16</v>
      </c>
      <c r="M292" t="s">
        <v>17</v>
      </c>
      <c r="N292" t="s">
        <v>18</v>
      </c>
      <c r="O292">
        <v>6</v>
      </c>
      <c r="P292" t="s">
        <v>47</v>
      </c>
      <c r="Q292">
        <v>14.1</v>
      </c>
      <c r="R292" t="str" cm="1">
        <f t="array" ref="R2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92" t="e">
        <f>IF(Table13[[#This Row],[Category All]]="Category 1", "Yes",NA())</f>
        <v>#N/A</v>
      </c>
      <c r="T292" t="e">
        <f>IF(Table13[[#This Row],[Category All]]="Category 2", "Yes",NA())</f>
        <v>#N/A</v>
      </c>
      <c r="U292" t="str">
        <f>IF(Table13[[#This Row],[Category All]]="Category 3", "Yes",NA())</f>
        <v>Yes</v>
      </c>
      <c r="V292">
        <f>SUM(1,(1/3)*(Table13[[#This Row],[Length]]-0.5),(1/3)*(Table13[[#This Row],[Diameter]]-0.4),(1/3)*(Table13[[#This Row],[Height]]-0.4)*Table13[[#This Row],[Whole_weight]]*0.5)</f>
        <v>1.016</v>
      </c>
      <c r="W292" cm="1">
        <f t="array" ref="W2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1.016</v>
      </c>
      <c r="X292" t="e">
        <f>IF(Table13[[#This Row],[Category All]]="Category 1",Table13[[#This Row],[Base Abalone Value]]*1.5,NA())</f>
        <v>#N/A</v>
      </c>
      <c r="Y292" t="e">
        <f>IF(Table13[[#This Row],[Category All]]="Category 2",Table13[[#This Row],[Base Abalone Value]]*0.8,NA())</f>
        <v>#N/A</v>
      </c>
      <c r="Z292">
        <f>IF(Table13[[#This Row],[Category All]]="Category 3",Table13[[#This Row],[Base Abalone Value]],NA())</f>
        <v>1.016</v>
      </c>
      <c r="AA292" s="2" t="e">
        <f>IF(Table13[[#This Row],[Gender]]="M",Table13[[#This Row],[Whole_weight]],NA())</f>
        <v>#N/A</v>
      </c>
      <c r="AB292" s="2">
        <f>IF(Table13[[#This Row],[Gender]]="F",Table13[[#This Row],[Whole_weight]],NA())</f>
        <v>1.456</v>
      </c>
      <c r="AC292" s="2" t="e">
        <f>IF(Table13[[#This Row],[Gender]]="I",Table13[[#This Row],[Whole_weight]],NA())</f>
        <v>#N/A</v>
      </c>
      <c r="AD292" s="2" t="e">
        <f>IF(Table13[[#This Row],[Gender]]="M",Table13[[#This Row],[Diameter]],NA())</f>
        <v>#N/A</v>
      </c>
      <c r="AE292" s="2">
        <f>IF(Table13[[#This Row],[Gender]]="F",Table13[[#This Row],[Diameter]],NA())</f>
        <v>0.51</v>
      </c>
      <c r="AF292" s="2" t="e">
        <f>IF(Table13[[#This Row],[Gender]]="I",Table13[[#This Row],[Diameter]],NA())</f>
        <v>#N/A</v>
      </c>
    </row>
    <row r="293" spans="1:32" x14ac:dyDescent="0.2">
      <c r="A293">
        <v>1203</v>
      </c>
      <c r="B293" t="s">
        <v>15</v>
      </c>
      <c r="C293">
        <v>0.72499999999999998</v>
      </c>
      <c r="D293">
        <v>0.505</v>
      </c>
      <c r="E293">
        <v>0.185</v>
      </c>
      <c r="F293">
        <v>1.978</v>
      </c>
      <c r="G293">
        <v>1.026</v>
      </c>
      <c r="H293">
        <v>0.42549999999999999</v>
      </c>
      <c r="I293">
        <v>0.45050000000000001</v>
      </c>
      <c r="J293">
        <v>12</v>
      </c>
      <c r="K293">
        <v>11</v>
      </c>
      <c r="L293" t="s">
        <v>5</v>
      </c>
      <c r="M293" t="s">
        <v>6</v>
      </c>
      <c r="N293" t="s">
        <v>3</v>
      </c>
      <c r="O293">
        <v>2</v>
      </c>
      <c r="P293" t="s">
        <v>7</v>
      </c>
      <c r="Q293">
        <v>18</v>
      </c>
      <c r="R293" t="str" cm="1">
        <f t="array" ref="R2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93" t="e">
        <f>IF(Table13[[#This Row],[Category All]]="Category 1", "Yes",NA())</f>
        <v>#N/A</v>
      </c>
      <c r="T293" t="e">
        <f>IF(Table13[[#This Row],[Category All]]="Category 2", "Yes",NA())</f>
        <v>#N/A</v>
      </c>
      <c r="U293" t="str">
        <f>IF(Table13[[#This Row],[Category All]]="Category 3", "Yes",NA())</f>
        <v>Yes</v>
      </c>
      <c r="V293">
        <f>SUM(1,(1/3)*(Table13[[#This Row],[Length]]-0.5),(1/3)*(Table13[[#This Row],[Diameter]]-0.4),(1/3)*(Table13[[#This Row],[Height]]-0.4)*Table13[[#This Row],[Whole_weight]]*0.5)</f>
        <v>1.0391216666666665</v>
      </c>
      <c r="W293" cm="1">
        <f t="array" ref="W2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1.0391216666666665</v>
      </c>
      <c r="X293" t="e">
        <f>IF(Table13[[#This Row],[Category All]]="Category 1",Table13[[#This Row],[Base Abalone Value]]*1.5,NA())</f>
        <v>#N/A</v>
      </c>
      <c r="Y293" t="e">
        <f>IF(Table13[[#This Row],[Category All]]="Category 2",Table13[[#This Row],[Base Abalone Value]]*0.8,NA())</f>
        <v>#N/A</v>
      </c>
      <c r="Z293">
        <f>IF(Table13[[#This Row],[Category All]]="Category 3",Table13[[#This Row],[Base Abalone Value]],NA())</f>
        <v>1.0391216666666665</v>
      </c>
      <c r="AA293" s="2">
        <f>IF(Table13[[#This Row],[Gender]]="M",Table13[[#This Row],[Whole_weight]],NA())</f>
        <v>1.978</v>
      </c>
      <c r="AB293" s="2" t="e">
        <f>IF(Table13[[#This Row],[Gender]]="F",Table13[[#This Row],[Whole_weight]],NA())</f>
        <v>#N/A</v>
      </c>
      <c r="AC293" s="2" t="e">
        <f>IF(Table13[[#This Row],[Gender]]="I",Table13[[#This Row],[Whole_weight]],NA())</f>
        <v>#N/A</v>
      </c>
      <c r="AD293" s="2">
        <f>IF(Table13[[#This Row],[Gender]]="M",Table13[[#This Row],[Diameter]],NA())</f>
        <v>0.505</v>
      </c>
      <c r="AE293" s="2" t="e">
        <f>IF(Table13[[#This Row],[Gender]]="F",Table13[[#This Row],[Diameter]],NA())</f>
        <v>#N/A</v>
      </c>
      <c r="AF293" s="2" t="e">
        <f>IF(Table13[[#This Row],[Gender]]="I",Table13[[#This Row],[Diameter]],NA())</f>
        <v>#N/A</v>
      </c>
    </row>
    <row r="294" spans="1:32" x14ac:dyDescent="0.2">
      <c r="A294">
        <v>2117</v>
      </c>
      <c r="B294" t="s">
        <v>11</v>
      </c>
      <c r="C294">
        <v>0.31</v>
      </c>
      <c r="D294">
        <v>0.22500000000000001</v>
      </c>
      <c r="E294">
        <v>0.05</v>
      </c>
      <c r="F294">
        <v>0.14449999999999999</v>
      </c>
      <c r="G294">
        <v>6.7500000000000004E-2</v>
      </c>
      <c r="H294">
        <v>3.85E-2</v>
      </c>
      <c r="I294">
        <v>4.4999999999999998E-2</v>
      </c>
      <c r="J294">
        <v>6</v>
      </c>
      <c r="K294">
        <v>14</v>
      </c>
      <c r="L294" t="s">
        <v>23</v>
      </c>
      <c r="M294" t="s">
        <v>24</v>
      </c>
      <c r="N294" t="s">
        <v>25</v>
      </c>
      <c r="O294">
        <v>9</v>
      </c>
      <c r="P294" t="s">
        <v>46</v>
      </c>
      <c r="Q294">
        <v>1.9</v>
      </c>
      <c r="R294" t="str" cm="1">
        <f t="array" ref="R2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94" t="e">
        <f>IF(Table13[[#This Row],[Category All]]="Category 1", "Yes",NA())</f>
        <v>#N/A</v>
      </c>
      <c r="T294" t="str">
        <f>IF(Table13[[#This Row],[Category All]]="Category 2", "Yes",NA())</f>
        <v>Yes</v>
      </c>
      <c r="U294" t="e">
        <f>IF(Table13[[#This Row],[Category All]]="Category 3", "Yes",NA())</f>
        <v>#N/A</v>
      </c>
      <c r="V294">
        <f>SUM(1,(1/3)*(Table13[[#This Row],[Length]]-0.5),(1/3)*(Table13[[#This Row],[Diameter]]-0.4),(1/3)*(Table13[[#This Row],[Height]]-0.4)*Table13[[#This Row],[Whole_weight]]*0.5)</f>
        <v>0.86990416666666659</v>
      </c>
      <c r="W294" cm="1">
        <f t="array" ref="W2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0.69592333333333334</v>
      </c>
      <c r="X294" t="e">
        <f>IF(Table13[[#This Row],[Category All]]="Category 1",Table13[[#This Row],[Base Abalone Value]]*1.5,NA())</f>
        <v>#N/A</v>
      </c>
      <c r="Y294">
        <f>IF(Table13[[#This Row],[Category All]]="Category 2",Table13[[#This Row],[Base Abalone Value]]*0.8,NA())</f>
        <v>0.69592333333333334</v>
      </c>
      <c r="Z294" t="e">
        <f>IF(Table13[[#This Row],[Category All]]="Category 3",Table13[[#This Row],[Base Abalone Value]],NA())</f>
        <v>#N/A</v>
      </c>
      <c r="AA294" s="2" t="e">
        <f>IF(Table13[[#This Row],[Gender]]="M",Table13[[#This Row],[Whole_weight]],NA())</f>
        <v>#N/A</v>
      </c>
      <c r="AB294" s="2" t="e">
        <f>IF(Table13[[#This Row],[Gender]]="F",Table13[[#This Row],[Whole_weight]],NA())</f>
        <v>#N/A</v>
      </c>
      <c r="AC294" s="2">
        <f>IF(Table13[[#This Row],[Gender]]="I",Table13[[#This Row],[Whole_weight]],NA())</f>
        <v>0.14449999999999999</v>
      </c>
      <c r="AD294" s="2" t="e">
        <f>IF(Table13[[#This Row],[Gender]]="M",Table13[[#This Row],[Diameter]],NA())</f>
        <v>#N/A</v>
      </c>
      <c r="AE294" s="2" t="e">
        <f>IF(Table13[[#This Row],[Gender]]="F",Table13[[#This Row],[Diameter]],NA())</f>
        <v>#N/A</v>
      </c>
      <c r="AF294" s="2">
        <f>IF(Table13[[#This Row],[Gender]]="I",Table13[[#This Row],[Diameter]],NA())</f>
        <v>0.22500000000000001</v>
      </c>
    </row>
    <row r="295" spans="1:32" x14ac:dyDescent="0.2">
      <c r="A295">
        <v>2833</v>
      </c>
      <c r="B295" t="s">
        <v>0</v>
      </c>
      <c r="C295">
        <v>0.54</v>
      </c>
      <c r="D295">
        <v>0.42</v>
      </c>
      <c r="E295">
        <v>0.14000000000000001</v>
      </c>
      <c r="F295">
        <v>0.80349999999999999</v>
      </c>
      <c r="G295">
        <v>0.38</v>
      </c>
      <c r="H295">
        <v>0.18049999999999999</v>
      </c>
      <c r="I295">
        <v>0.21</v>
      </c>
      <c r="J295">
        <v>9</v>
      </c>
      <c r="K295">
        <v>13</v>
      </c>
      <c r="L295" t="s">
        <v>12</v>
      </c>
      <c r="M295" t="s">
        <v>13</v>
      </c>
      <c r="N295" t="s">
        <v>3</v>
      </c>
      <c r="O295">
        <v>6</v>
      </c>
      <c r="P295" t="s">
        <v>47</v>
      </c>
      <c r="Q295">
        <v>14.1</v>
      </c>
      <c r="R295" t="str" cm="1">
        <f t="array" ref="R2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95" t="e">
        <f>IF(Table13[[#This Row],[Category All]]="Category 1", "Yes",NA())</f>
        <v>#N/A</v>
      </c>
      <c r="T295" t="str">
        <f>IF(Table13[[#This Row],[Category All]]="Category 2", "Yes",NA())</f>
        <v>Yes</v>
      </c>
      <c r="U295" t="e">
        <f>IF(Table13[[#This Row],[Category All]]="Category 3", "Yes",NA())</f>
        <v>#N/A</v>
      </c>
      <c r="V295">
        <f>SUM(1,(1/3)*(Table13[[#This Row],[Length]]-0.5),(1/3)*(Table13[[#This Row],[Diameter]]-0.4),(1/3)*(Table13[[#This Row],[Height]]-0.4)*Table13[[#This Row],[Whole_weight]]*0.5)</f>
        <v>0.98518166666666673</v>
      </c>
      <c r="W295" cm="1">
        <f t="array" ref="W2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0.78814533333333348</v>
      </c>
      <c r="X295" t="e">
        <f>IF(Table13[[#This Row],[Category All]]="Category 1",Table13[[#This Row],[Base Abalone Value]]*1.5,NA())</f>
        <v>#N/A</v>
      </c>
      <c r="Y295">
        <f>IF(Table13[[#This Row],[Category All]]="Category 2",Table13[[#This Row],[Base Abalone Value]]*0.8,NA())</f>
        <v>0.78814533333333348</v>
      </c>
      <c r="Z295" t="e">
        <f>IF(Table13[[#This Row],[Category All]]="Category 3",Table13[[#This Row],[Base Abalone Value]],NA())</f>
        <v>#N/A</v>
      </c>
      <c r="AA295" s="2" t="e">
        <f>IF(Table13[[#This Row],[Gender]]="M",Table13[[#This Row],[Whole_weight]],NA())</f>
        <v>#N/A</v>
      </c>
      <c r="AB295" s="2">
        <f>IF(Table13[[#This Row],[Gender]]="F",Table13[[#This Row],[Whole_weight]],NA())</f>
        <v>0.80349999999999999</v>
      </c>
      <c r="AC295" s="2" t="e">
        <f>IF(Table13[[#This Row],[Gender]]="I",Table13[[#This Row],[Whole_weight]],NA())</f>
        <v>#N/A</v>
      </c>
      <c r="AD295" s="2" t="e">
        <f>IF(Table13[[#This Row],[Gender]]="M",Table13[[#This Row],[Diameter]],NA())</f>
        <v>#N/A</v>
      </c>
      <c r="AE295" s="2">
        <f>IF(Table13[[#This Row],[Gender]]="F",Table13[[#This Row],[Diameter]],NA())</f>
        <v>0.42</v>
      </c>
      <c r="AF295" s="2" t="e">
        <f>IF(Table13[[#This Row],[Gender]]="I",Table13[[#This Row],[Diameter]],NA())</f>
        <v>#N/A</v>
      </c>
    </row>
    <row r="296" spans="1:32" x14ac:dyDescent="0.2">
      <c r="A296">
        <v>958</v>
      </c>
      <c r="B296" t="s">
        <v>15</v>
      </c>
      <c r="C296">
        <v>0.5</v>
      </c>
      <c r="D296">
        <v>0.39</v>
      </c>
      <c r="E296">
        <v>0.13500000000000001</v>
      </c>
      <c r="F296">
        <v>0.65949999999999998</v>
      </c>
      <c r="G296">
        <v>0.3145</v>
      </c>
      <c r="H296">
        <v>0.1535</v>
      </c>
      <c r="I296">
        <v>0.1565</v>
      </c>
      <c r="J296">
        <v>6</v>
      </c>
      <c r="K296">
        <v>12</v>
      </c>
      <c r="L296" t="s">
        <v>1</v>
      </c>
      <c r="M296" t="s">
        <v>2</v>
      </c>
      <c r="N296" t="s">
        <v>3</v>
      </c>
      <c r="O296">
        <v>10</v>
      </c>
      <c r="P296" t="s">
        <v>38</v>
      </c>
      <c r="Q296">
        <v>24.1</v>
      </c>
      <c r="R296" t="str" cm="1">
        <f t="array" ref="R2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96" t="e">
        <f>IF(Table13[[#This Row],[Category All]]="Category 1", "Yes",NA())</f>
        <v>#N/A</v>
      </c>
      <c r="T296" t="str">
        <f>IF(Table13[[#This Row],[Category All]]="Category 2", "Yes",NA())</f>
        <v>Yes</v>
      </c>
      <c r="U296" t="e">
        <f>IF(Table13[[#This Row],[Category All]]="Category 3", "Yes",NA())</f>
        <v>#N/A</v>
      </c>
      <c r="V296">
        <f>SUM(1,(1/3)*(Table13[[#This Row],[Length]]-0.5),(1/3)*(Table13[[#This Row],[Diameter]]-0.4),(1/3)*(Table13[[#This Row],[Height]]-0.4)*Table13[[#This Row],[Whole_weight]]*0.5)</f>
        <v>0.96753875</v>
      </c>
      <c r="W296" cm="1">
        <f t="array" ref="W2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0.77403100000000002</v>
      </c>
      <c r="X296" t="e">
        <f>IF(Table13[[#This Row],[Category All]]="Category 1",Table13[[#This Row],[Base Abalone Value]]*1.5,NA())</f>
        <v>#N/A</v>
      </c>
      <c r="Y296">
        <f>IF(Table13[[#This Row],[Category All]]="Category 2",Table13[[#This Row],[Base Abalone Value]]*0.8,NA())</f>
        <v>0.77403100000000002</v>
      </c>
      <c r="Z296" t="e">
        <f>IF(Table13[[#This Row],[Category All]]="Category 3",Table13[[#This Row],[Base Abalone Value]],NA())</f>
        <v>#N/A</v>
      </c>
      <c r="AA296" s="2">
        <f>IF(Table13[[#This Row],[Gender]]="M",Table13[[#This Row],[Whole_weight]],NA())</f>
        <v>0.65949999999999998</v>
      </c>
      <c r="AB296" s="2" t="e">
        <f>IF(Table13[[#This Row],[Gender]]="F",Table13[[#This Row],[Whole_weight]],NA())</f>
        <v>#N/A</v>
      </c>
      <c r="AC296" s="2" t="e">
        <f>IF(Table13[[#This Row],[Gender]]="I",Table13[[#This Row],[Whole_weight]],NA())</f>
        <v>#N/A</v>
      </c>
      <c r="AD296" s="2">
        <f>IF(Table13[[#This Row],[Gender]]="M",Table13[[#This Row],[Diameter]],NA())</f>
        <v>0.39</v>
      </c>
      <c r="AE296" s="2" t="e">
        <f>IF(Table13[[#This Row],[Gender]]="F",Table13[[#This Row],[Diameter]],NA())</f>
        <v>#N/A</v>
      </c>
      <c r="AF296" s="2" t="e">
        <f>IF(Table13[[#This Row],[Gender]]="I",Table13[[#This Row],[Diameter]],NA())</f>
        <v>#N/A</v>
      </c>
    </row>
    <row r="297" spans="1:32" x14ac:dyDescent="0.2">
      <c r="A297">
        <v>3200</v>
      </c>
      <c r="B297" t="s">
        <v>0</v>
      </c>
      <c r="C297">
        <v>0.49</v>
      </c>
      <c r="D297">
        <v>0.38</v>
      </c>
      <c r="E297">
        <v>0.155</v>
      </c>
      <c r="F297">
        <v>0.57799999999999996</v>
      </c>
      <c r="G297">
        <v>0.23949999999999999</v>
      </c>
      <c r="H297">
        <v>0.1255</v>
      </c>
      <c r="I297">
        <v>0.18</v>
      </c>
      <c r="J297">
        <v>9</v>
      </c>
      <c r="K297">
        <v>12</v>
      </c>
      <c r="L297" t="s">
        <v>1</v>
      </c>
      <c r="M297" t="s">
        <v>2</v>
      </c>
      <c r="N297" t="s">
        <v>3</v>
      </c>
      <c r="O297">
        <v>1</v>
      </c>
      <c r="P297" t="s">
        <v>4</v>
      </c>
      <c r="Q297">
        <v>22.1</v>
      </c>
      <c r="R297" t="str" cm="1">
        <f t="array" ref="R2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97" t="e">
        <f>IF(Table13[[#This Row],[Category All]]="Category 1", "Yes",NA())</f>
        <v>#N/A</v>
      </c>
      <c r="T297" t="str">
        <f>IF(Table13[[#This Row],[Category All]]="Category 2", "Yes",NA())</f>
        <v>Yes</v>
      </c>
      <c r="U297" t="e">
        <f>IF(Table13[[#This Row],[Category All]]="Category 3", "Yes",NA())</f>
        <v>#N/A</v>
      </c>
      <c r="V297">
        <f>SUM(1,(1/3)*(Table13[[#This Row],[Length]]-0.5),(1/3)*(Table13[[#This Row],[Diameter]]-0.4),(1/3)*(Table13[[#This Row],[Height]]-0.4)*Table13[[#This Row],[Whole_weight]]*0.5)</f>
        <v>0.96639833333333336</v>
      </c>
      <c r="W297" cm="1">
        <f t="array" ref="W2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0.77311866666666673</v>
      </c>
      <c r="X297" t="e">
        <f>IF(Table13[[#This Row],[Category All]]="Category 1",Table13[[#This Row],[Base Abalone Value]]*1.5,NA())</f>
        <v>#N/A</v>
      </c>
      <c r="Y297">
        <f>IF(Table13[[#This Row],[Category All]]="Category 2",Table13[[#This Row],[Base Abalone Value]]*0.8,NA())</f>
        <v>0.77311866666666673</v>
      </c>
      <c r="Z297" t="e">
        <f>IF(Table13[[#This Row],[Category All]]="Category 3",Table13[[#This Row],[Base Abalone Value]],NA())</f>
        <v>#N/A</v>
      </c>
      <c r="AA297" s="2" t="e">
        <f>IF(Table13[[#This Row],[Gender]]="M",Table13[[#This Row],[Whole_weight]],NA())</f>
        <v>#N/A</v>
      </c>
      <c r="AB297" s="2">
        <f>IF(Table13[[#This Row],[Gender]]="F",Table13[[#This Row],[Whole_weight]],NA())</f>
        <v>0.57799999999999996</v>
      </c>
      <c r="AC297" s="2" t="e">
        <f>IF(Table13[[#This Row],[Gender]]="I",Table13[[#This Row],[Whole_weight]],NA())</f>
        <v>#N/A</v>
      </c>
      <c r="AD297" s="2" t="e">
        <f>IF(Table13[[#This Row],[Gender]]="M",Table13[[#This Row],[Diameter]],NA())</f>
        <v>#N/A</v>
      </c>
      <c r="AE297" s="2">
        <f>IF(Table13[[#This Row],[Gender]]="F",Table13[[#This Row],[Diameter]],NA())</f>
        <v>0.38</v>
      </c>
      <c r="AF297" s="2" t="e">
        <f>IF(Table13[[#This Row],[Gender]]="I",Table13[[#This Row],[Diameter]],NA())</f>
        <v>#N/A</v>
      </c>
    </row>
    <row r="298" spans="1:32" x14ac:dyDescent="0.2">
      <c r="A298">
        <v>284</v>
      </c>
      <c r="B298" t="s">
        <v>15</v>
      </c>
      <c r="C298">
        <v>0.48499999999999999</v>
      </c>
      <c r="D298">
        <v>0.39500000000000002</v>
      </c>
      <c r="E298">
        <v>0.14000000000000001</v>
      </c>
      <c r="F298">
        <v>0.62949999999999995</v>
      </c>
      <c r="G298">
        <v>0.22850000000000001</v>
      </c>
      <c r="H298">
        <v>0.127</v>
      </c>
      <c r="I298">
        <v>0.22500000000000001</v>
      </c>
      <c r="J298">
        <v>14</v>
      </c>
      <c r="K298">
        <v>5</v>
      </c>
      <c r="L298" t="s">
        <v>26</v>
      </c>
      <c r="M298" t="s">
        <v>27</v>
      </c>
      <c r="N298" t="s">
        <v>28</v>
      </c>
      <c r="O298">
        <v>9</v>
      </c>
      <c r="P298" t="s">
        <v>46</v>
      </c>
      <c r="Q298">
        <v>1.9</v>
      </c>
      <c r="R298" t="str" cm="1">
        <f t="array" ref="R2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98" t="e">
        <f>IF(Table13[[#This Row],[Category All]]="Category 1", "Yes",NA())</f>
        <v>#N/A</v>
      </c>
      <c r="T298" t="str">
        <f>IF(Table13[[#This Row],[Category All]]="Category 2", "Yes",NA())</f>
        <v>Yes</v>
      </c>
      <c r="U298" t="e">
        <f>IF(Table13[[#This Row],[Category All]]="Category 3", "Yes",NA())</f>
        <v>#N/A</v>
      </c>
      <c r="V298">
        <f>SUM(1,(1/3)*(Table13[[#This Row],[Length]]-0.5),(1/3)*(Table13[[#This Row],[Diameter]]-0.4),(1/3)*(Table13[[#This Row],[Height]]-0.4)*Table13[[#This Row],[Whole_weight]]*0.5)</f>
        <v>0.966055</v>
      </c>
      <c r="W298" cm="1">
        <f t="array" ref="W2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0.77284400000000009</v>
      </c>
      <c r="X298" t="e">
        <f>IF(Table13[[#This Row],[Category All]]="Category 1",Table13[[#This Row],[Base Abalone Value]]*1.5,NA())</f>
        <v>#N/A</v>
      </c>
      <c r="Y298">
        <f>IF(Table13[[#This Row],[Category All]]="Category 2",Table13[[#This Row],[Base Abalone Value]]*0.8,NA())</f>
        <v>0.77284400000000009</v>
      </c>
      <c r="Z298" t="e">
        <f>IF(Table13[[#This Row],[Category All]]="Category 3",Table13[[#This Row],[Base Abalone Value]],NA())</f>
        <v>#N/A</v>
      </c>
      <c r="AA298" s="2">
        <f>IF(Table13[[#This Row],[Gender]]="M",Table13[[#This Row],[Whole_weight]],NA())</f>
        <v>0.62949999999999995</v>
      </c>
      <c r="AB298" s="2" t="e">
        <f>IF(Table13[[#This Row],[Gender]]="F",Table13[[#This Row],[Whole_weight]],NA())</f>
        <v>#N/A</v>
      </c>
      <c r="AC298" s="2" t="e">
        <f>IF(Table13[[#This Row],[Gender]]="I",Table13[[#This Row],[Whole_weight]],NA())</f>
        <v>#N/A</v>
      </c>
      <c r="AD298" s="2">
        <f>IF(Table13[[#This Row],[Gender]]="M",Table13[[#This Row],[Diameter]],NA())</f>
        <v>0.39500000000000002</v>
      </c>
      <c r="AE298" s="2" t="e">
        <f>IF(Table13[[#This Row],[Gender]]="F",Table13[[#This Row],[Diameter]],NA())</f>
        <v>#N/A</v>
      </c>
      <c r="AF298" s="2" t="e">
        <f>IF(Table13[[#This Row],[Gender]]="I",Table13[[#This Row],[Diameter]],NA())</f>
        <v>#N/A</v>
      </c>
    </row>
    <row r="299" spans="1:32" x14ac:dyDescent="0.2">
      <c r="A299">
        <v>1697</v>
      </c>
      <c r="B299" t="s">
        <v>15</v>
      </c>
      <c r="C299">
        <v>0.63</v>
      </c>
      <c r="D299">
        <v>0.49</v>
      </c>
      <c r="E299">
        <v>0.17</v>
      </c>
      <c r="F299">
        <v>1.1745000000000001</v>
      </c>
      <c r="G299">
        <v>0.52549999999999997</v>
      </c>
      <c r="H299">
        <v>0.27300000000000002</v>
      </c>
      <c r="I299">
        <v>0.33900000000000002</v>
      </c>
      <c r="J299">
        <v>11</v>
      </c>
      <c r="K299">
        <v>14</v>
      </c>
      <c r="L299" t="s">
        <v>23</v>
      </c>
      <c r="M299" t="s">
        <v>24</v>
      </c>
      <c r="N299" t="s">
        <v>25</v>
      </c>
      <c r="O299">
        <v>1</v>
      </c>
      <c r="P299" t="s">
        <v>4</v>
      </c>
      <c r="Q299">
        <v>22.1</v>
      </c>
      <c r="R299" t="str" cm="1">
        <f t="array" ref="R2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99" t="e">
        <f>IF(Table13[[#This Row],[Category All]]="Category 1", "Yes",NA())</f>
        <v>#N/A</v>
      </c>
      <c r="T299" t="e">
        <f>IF(Table13[[#This Row],[Category All]]="Category 2", "Yes",NA())</f>
        <v>#N/A</v>
      </c>
      <c r="U299" t="str">
        <f>IF(Table13[[#This Row],[Category All]]="Category 3", "Yes",NA())</f>
        <v>Yes</v>
      </c>
      <c r="V299">
        <f>SUM(1,(1/3)*(Table13[[#This Row],[Length]]-0.5),(1/3)*(Table13[[#This Row],[Diameter]]-0.4),(1/3)*(Table13[[#This Row],[Height]]-0.4)*Table13[[#This Row],[Whole_weight]]*0.5)</f>
        <v>1.0283108333333335</v>
      </c>
      <c r="W299" cm="1">
        <f t="array" ref="W2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1.0283108333333335</v>
      </c>
      <c r="X299" t="e">
        <f>IF(Table13[[#This Row],[Category All]]="Category 1",Table13[[#This Row],[Base Abalone Value]]*1.5,NA())</f>
        <v>#N/A</v>
      </c>
      <c r="Y299" t="e">
        <f>IF(Table13[[#This Row],[Category All]]="Category 2",Table13[[#This Row],[Base Abalone Value]]*0.8,NA())</f>
        <v>#N/A</v>
      </c>
      <c r="Z299">
        <f>IF(Table13[[#This Row],[Category All]]="Category 3",Table13[[#This Row],[Base Abalone Value]],NA())</f>
        <v>1.0283108333333335</v>
      </c>
      <c r="AA299" s="2">
        <f>IF(Table13[[#This Row],[Gender]]="M",Table13[[#This Row],[Whole_weight]],NA())</f>
        <v>1.1745000000000001</v>
      </c>
      <c r="AB299" s="2" t="e">
        <f>IF(Table13[[#This Row],[Gender]]="F",Table13[[#This Row],[Whole_weight]],NA())</f>
        <v>#N/A</v>
      </c>
      <c r="AC299" s="2" t="e">
        <f>IF(Table13[[#This Row],[Gender]]="I",Table13[[#This Row],[Whole_weight]],NA())</f>
        <v>#N/A</v>
      </c>
      <c r="AD299" s="2">
        <f>IF(Table13[[#This Row],[Gender]]="M",Table13[[#This Row],[Diameter]],NA())</f>
        <v>0.49</v>
      </c>
      <c r="AE299" s="2" t="e">
        <f>IF(Table13[[#This Row],[Gender]]="F",Table13[[#This Row],[Diameter]],NA())</f>
        <v>#N/A</v>
      </c>
      <c r="AF299" s="2" t="e">
        <f>IF(Table13[[#This Row],[Gender]]="I",Table13[[#This Row],[Diameter]],NA())</f>
        <v>#N/A</v>
      </c>
    </row>
    <row r="300" spans="1:32" x14ac:dyDescent="0.2">
      <c r="A300">
        <v>2188</v>
      </c>
      <c r="B300" t="s">
        <v>15</v>
      </c>
      <c r="C300">
        <v>0.495</v>
      </c>
      <c r="D300">
        <v>0.38500000000000001</v>
      </c>
      <c r="E300">
        <v>0.13500000000000001</v>
      </c>
      <c r="F300">
        <v>0.63349999999999995</v>
      </c>
      <c r="G300">
        <v>0.2</v>
      </c>
      <c r="H300">
        <v>0.1225</v>
      </c>
      <c r="I300">
        <v>0.26</v>
      </c>
      <c r="J300">
        <v>14</v>
      </c>
      <c r="K300">
        <v>11</v>
      </c>
      <c r="L300" t="s">
        <v>5</v>
      </c>
      <c r="M300" t="s">
        <v>6</v>
      </c>
      <c r="N300" t="s">
        <v>3</v>
      </c>
      <c r="O300">
        <v>8</v>
      </c>
      <c r="P300" t="s">
        <v>19</v>
      </c>
      <c r="Q300">
        <v>12.3</v>
      </c>
      <c r="R300" t="str" cm="1">
        <f t="array" ref="R3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0" t="e">
        <f>IF(Table13[[#This Row],[Category All]]="Category 1", "Yes",NA())</f>
        <v>#N/A</v>
      </c>
      <c r="T300" t="str">
        <f>IF(Table13[[#This Row],[Category All]]="Category 2", "Yes",NA())</f>
        <v>Yes</v>
      </c>
      <c r="U300" t="e">
        <f>IF(Table13[[#This Row],[Category All]]="Category 3", "Yes",NA())</f>
        <v>#N/A</v>
      </c>
      <c r="V300">
        <f>SUM(1,(1/3)*(Table13[[#This Row],[Length]]-0.5),(1/3)*(Table13[[#This Row],[Diameter]]-0.4),(1/3)*(Table13[[#This Row],[Height]]-0.4)*Table13[[#This Row],[Whole_weight]]*0.5)</f>
        <v>0.96535375000000001</v>
      </c>
      <c r="W300" cm="1">
        <f t="array" ref="W3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0.77228300000000005</v>
      </c>
      <c r="X300" t="e">
        <f>IF(Table13[[#This Row],[Category All]]="Category 1",Table13[[#This Row],[Base Abalone Value]]*1.5,NA())</f>
        <v>#N/A</v>
      </c>
      <c r="Y300">
        <f>IF(Table13[[#This Row],[Category All]]="Category 2",Table13[[#This Row],[Base Abalone Value]]*0.8,NA())</f>
        <v>0.77228300000000005</v>
      </c>
      <c r="Z300" t="e">
        <f>IF(Table13[[#This Row],[Category All]]="Category 3",Table13[[#This Row],[Base Abalone Value]],NA())</f>
        <v>#N/A</v>
      </c>
      <c r="AA300" s="2">
        <f>IF(Table13[[#This Row],[Gender]]="M",Table13[[#This Row],[Whole_weight]],NA())</f>
        <v>0.63349999999999995</v>
      </c>
      <c r="AB300" s="2" t="e">
        <f>IF(Table13[[#This Row],[Gender]]="F",Table13[[#This Row],[Whole_weight]],NA())</f>
        <v>#N/A</v>
      </c>
      <c r="AC300" s="2" t="e">
        <f>IF(Table13[[#This Row],[Gender]]="I",Table13[[#This Row],[Whole_weight]],NA())</f>
        <v>#N/A</v>
      </c>
      <c r="AD300" s="2">
        <f>IF(Table13[[#This Row],[Gender]]="M",Table13[[#This Row],[Diameter]],NA())</f>
        <v>0.38500000000000001</v>
      </c>
      <c r="AE300" s="2" t="e">
        <f>IF(Table13[[#This Row],[Gender]]="F",Table13[[#This Row],[Diameter]],NA())</f>
        <v>#N/A</v>
      </c>
      <c r="AF300" s="2" t="e">
        <f>IF(Table13[[#This Row],[Gender]]="I",Table13[[#This Row],[Diameter]],NA())</f>
        <v>#N/A</v>
      </c>
    </row>
    <row r="301" spans="1:32" x14ac:dyDescent="0.2">
      <c r="A301">
        <v>4108</v>
      </c>
      <c r="B301" t="s">
        <v>11</v>
      </c>
      <c r="C301">
        <v>0.42</v>
      </c>
      <c r="D301">
        <v>0.30499999999999999</v>
      </c>
      <c r="E301">
        <v>0.1</v>
      </c>
      <c r="F301">
        <v>0.34150000000000003</v>
      </c>
      <c r="G301">
        <v>0.16450000000000001</v>
      </c>
      <c r="H301">
        <v>7.7499999999999999E-2</v>
      </c>
      <c r="I301">
        <v>8.5999999999999993E-2</v>
      </c>
      <c r="J301">
        <v>7</v>
      </c>
      <c r="K301">
        <v>3</v>
      </c>
      <c r="L301" t="s">
        <v>43</v>
      </c>
      <c r="M301" t="s">
        <v>44</v>
      </c>
      <c r="N301" t="s">
        <v>45</v>
      </c>
      <c r="O301">
        <v>9</v>
      </c>
      <c r="P301" t="s">
        <v>46</v>
      </c>
      <c r="Q301">
        <v>1.9</v>
      </c>
      <c r="R301" t="str" cm="1">
        <f t="array" ref="R3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1" t="e">
        <f>IF(Table13[[#This Row],[Category All]]="Category 1", "Yes",NA())</f>
        <v>#N/A</v>
      </c>
      <c r="T301" t="str">
        <f>IF(Table13[[#This Row],[Category All]]="Category 2", "Yes",NA())</f>
        <v>Yes</v>
      </c>
      <c r="U301" t="e">
        <f>IF(Table13[[#This Row],[Category All]]="Category 3", "Yes",NA())</f>
        <v>#N/A</v>
      </c>
      <c r="V301">
        <f>SUM(1,(1/3)*(Table13[[#This Row],[Length]]-0.5),(1/3)*(Table13[[#This Row],[Diameter]]-0.4),(1/3)*(Table13[[#This Row],[Height]]-0.4)*Table13[[#This Row],[Whole_weight]]*0.5)</f>
        <v>0.9245916666666667</v>
      </c>
      <c r="W301" cm="1">
        <f t="array" ref="W3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0.7396733333333334</v>
      </c>
      <c r="X301" t="e">
        <f>IF(Table13[[#This Row],[Category All]]="Category 1",Table13[[#This Row],[Base Abalone Value]]*1.5,NA())</f>
        <v>#N/A</v>
      </c>
      <c r="Y301">
        <f>IF(Table13[[#This Row],[Category All]]="Category 2",Table13[[#This Row],[Base Abalone Value]]*0.8,NA())</f>
        <v>0.7396733333333334</v>
      </c>
      <c r="Z301" t="e">
        <f>IF(Table13[[#This Row],[Category All]]="Category 3",Table13[[#This Row],[Base Abalone Value]],NA())</f>
        <v>#N/A</v>
      </c>
      <c r="AA301" s="2" t="e">
        <f>IF(Table13[[#This Row],[Gender]]="M",Table13[[#This Row],[Whole_weight]],NA())</f>
        <v>#N/A</v>
      </c>
      <c r="AB301" s="2" t="e">
        <f>IF(Table13[[#This Row],[Gender]]="F",Table13[[#This Row],[Whole_weight]],NA())</f>
        <v>#N/A</v>
      </c>
      <c r="AC301" s="2">
        <f>IF(Table13[[#This Row],[Gender]]="I",Table13[[#This Row],[Whole_weight]],NA())</f>
        <v>0.34150000000000003</v>
      </c>
      <c r="AD301" s="2" t="e">
        <f>IF(Table13[[#This Row],[Gender]]="M",Table13[[#This Row],[Diameter]],NA())</f>
        <v>#N/A</v>
      </c>
      <c r="AE301" s="2" t="e">
        <f>IF(Table13[[#This Row],[Gender]]="F",Table13[[#This Row],[Diameter]],NA())</f>
        <v>#N/A</v>
      </c>
      <c r="AF301" s="2">
        <f>IF(Table13[[#This Row],[Gender]]="I",Table13[[#This Row],[Diameter]],NA())</f>
        <v>0.30499999999999999</v>
      </c>
    </row>
    <row r="302" spans="1:32" x14ac:dyDescent="0.2">
      <c r="A302">
        <v>3277</v>
      </c>
      <c r="B302" t="s">
        <v>15</v>
      </c>
      <c r="C302">
        <v>0.48499999999999999</v>
      </c>
      <c r="D302">
        <v>0.38500000000000001</v>
      </c>
      <c r="E302">
        <v>0.125</v>
      </c>
      <c r="F302">
        <v>0.47749999999999998</v>
      </c>
      <c r="G302">
        <v>0.2</v>
      </c>
      <c r="H302">
        <v>7.85E-2</v>
      </c>
      <c r="I302">
        <v>0.17</v>
      </c>
      <c r="J302">
        <v>12</v>
      </c>
      <c r="K302">
        <v>11</v>
      </c>
      <c r="L302" t="s">
        <v>5</v>
      </c>
      <c r="M302" t="s">
        <v>6</v>
      </c>
      <c r="N302" t="s">
        <v>3</v>
      </c>
      <c r="O302">
        <v>7</v>
      </c>
      <c r="P302" t="s">
        <v>42</v>
      </c>
      <c r="Q302">
        <v>2.5</v>
      </c>
      <c r="R302" t="str" cm="1">
        <f t="array" ref="R3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2" t="e">
        <f>IF(Table13[[#This Row],[Category All]]="Category 1", "Yes",NA())</f>
        <v>#N/A</v>
      </c>
      <c r="T302" t="str">
        <f>IF(Table13[[#This Row],[Category All]]="Category 2", "Yes",NA())</f>
        <v>Yes</v>
      </c>
      <c r="U302" t="e">
        <f>IF(Table13[[#This Row],[Category All]]="Category 3", "Yes",NA())</f>
        <v>#N/A</v>
      </c>
      <c r="V302">
        <f>SUM(1,(1/3)*(Table13[[#This Row],[Length]]-0.5),(1/3)*(Table13[[#This Row],[Diameter]]-0.4),(1/3)*(Table13[[#This Row],[Height]]-0.4)*Table13[[#This Row],[Whole_weight]]*0.5)</f>
        <v>0.96811458333333333</v>
      </c>
      <c r="W302" cm="1">
        <f t="array" ref="W3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0.77449166666666669</v>
      </c>
      <c r="X302" t="e">
        <f>IF(Table13[[#This Row],[Category All]]="Category 1",Table13[[#This Row],[Base Abalone Value]]*1.5,NA())</f>
        <v>#N/A</v>
      </c>
      <c r="Y302">
        <f>IF(Table13[[#This Row],[Category All]]="Category 2",Table13[[#This Row],[Base Abalone Value]]*0.8,NA())</f>
        <v>0.77449166666666669</v>
      </c>
      <c r="Z302" t="e">
        <f>IF(Table13[[#This Row],[Category All]]="Category 3",Table13[[#This Row],[Base Abalone Value]],NA())</f>
        <v>#N/A</v>
      </c>
      <c r="AA302" s="2">
        <f>IF(Table13[[#This Row],[Gender]]="M",Table13[[#This Row],[Whole_weight]],NA())</f>
        <v>0.47749999999999998</v>
      </c>
      <c r="AB302" s="2" t="e">
        <f>IF(Table13[[#This Row],[Gender]]="F",Table13[[#This Row],[Whole_weight]],NA())</f>
        <v>#N/A</v>
      </c>
      <c r="AC302" s="2" t="e">
        <f>IF(Table13[[#This Row],[Gender]]="I",Table13[[#This Row],[Whole_weight]],NA())</f>
        <v>#N/A</v>
      </c>
      <c r="AD302" s="2">
        <f>IF(Table13[[#This Row],[Gender]]="M",Table13[[#This Row],[Diameter]],NA())</f>
        <v>0.38500000000000001</v>
      </c>
      <c r="AE302" s="2" t="e">
        <f>IF(Table13[[#This Row],[Gender]]="F",Table13[[#This Row],[Diameter]],NA())</f>
        <v>#N/A</v>
      </c>
      <c r="AF302" s="2" t="e">
        <f>IF(Table13[[#This Row],[Gender]]="I",Table13[[#This Row],[Diameter]],NA())</f>
        <v>#N/A</v>
      </c>
    </row>
    <row r="303" spans="1:32" x14ac:dyDescent="0.2">
      <c r="A303">
        <v>762</v>
      </c>
      <c r="B303" t="s">
        <v>0</v>
      </c>
      <c r="C303">
        <v>0.55000000000000004</v>
      </c>
      <c r="D303">
        <v>0.44</v>
      </c>
      <c r="E303">
        <v>0.155</v>
      </c>
      <c r="F303">
        <v>0.94599999999999995</v>
      </c>
      <c r="G303">
        <v>0.313</v>
      </c>
      <c r="H303">
        <v>0.1825</v>
      </c>
      <c r="I303">
        <v>0.33500000000000002</v>
      </c>
      <c r="J303">
        <v>16</v>
      </c>
      <c r="K303">
        <v>7</v>
      </c>
      <c r="L303" t="s">
        <v>35</v>
      </c>
      <c r="M303" t="s">
        <v>36</v>
      </c>
      <c r="N303" t="s">
        <v>37</v>
      </c>
      <c r="O303">
        <v>8</v>
      </c>
      <c r="P303" t="s">
        <v>19</v>
      </c>
      <c r="Q303">
        <v>12.3</v>
      </c>
      <c r="R303" t="str" cm="1">
        <f t="array" ref="R3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3" t="e">
        <f>IF(Table13[[#This Row],[Category All]]="Category 1", "Yes",NA())</f>
        <v>#N/A</v>
      </c>
      <c r="T303" t="str">
        <f>IF(Table13[[#This Row],[Category All]]="Category 2", "Yes",NA())</f>
        <v>Yes</v>
      </c>
      <c r="U303" t="e">
        <f>IF(Table13[[#This Row],[Category All]]="Category 3", "Yes",NA())</f>
        <v>#N/A</v>
      </c>
      <c r="V303">
        <f>SUM(1,(1/3)*(Table13[[#This Row],[Length]]-0.5),(1/3)*(Table13[[#This Row],[Diameter]]-0.4),(1/3)*(Table13[[#This Row],[Height]]-0.4)*Table13[[#This Row],[Whole_weight]]*0.5)</f>
        <v>0.99137166666666665</v>
      </c>
      <c r="W303" cm="1">
        <f t="array" ref="W3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0.79309733333333332</v>
      </c>
      <c r="X303" t="e">
        <f>IF(Table13[[#This Row],[Category All]]="Category 1",Table13[[#This Row],[Base Abalone Value]]*1.5,NA())</f>
        <v>#N/A</v>
      </c>
      <c r="Y303">
        <f>IF(Table13[[#This Row],[Category All]]="Category 2",Table13[[#This Row],[Base Abalone Value]]*0.8,NA())</f>
        <v>0.79309733333333332</v>
      </c>
      <c r="Z303" t="e">
        <f>IF(Table13[[#This Row],[Category All]]="Category 3",Table13[[#This Row],[Base Abalone Value]],NA())</f>
        <v>#N/A</v>
      </c>
      <c r="AA303" s="2" t="e">
        <f>IF(Table13[[#This Row],[Gender]]="M",Table13[[#This Row],[Whole_weight]],NA())</f>
        <v>#N/A</v>
      </c>
      <c r="AB303" s="2">
        <f>IF(Table13[[#This Row],[Gender]]="F",Table13[[#This Row],[Whole_weight]],NA())</f>
        <v>0.94599999999999995</v>
      </c>
      <c r="AC303" s="2" t="e">
        <f>IF(Table13[[#This Row],[Gender]]="I",Table13[[#This Row],[Whole_weight]],NA())</f>
        <v>#N/A</v>
      </c>
      <c r="AD303" s="2" t="e">
        <f>IF(Table13[[#This Row],[Gender]]="M",Table13[[#This Row],[Diameter]],NA())</f>
        <v>#N/A</v>
      </c>
      <c r="AE303" s="2">
        <f>IF(Table13[[#This Row],[Gender]]="F",Table13[[#This Row],[Diameter]],NA())</f>
        <v>0.44</v>
      </c>
      <c r="AF303" s="2" t="e">
        <f>IF(Table13[[#This Row],[Gender]]="I",Table13[[#This Row],[Diameter]],NA())</f>
        <v>#N/A</v>
      </c>
    </row>
    <row r="304" spans="1:32" x14ac:dyDescent="0.2">
      <c r="A304">
        <v>4105</v>
      </c>
      <c r="B304" t="s">
        <v>0</v>
      </c>
      <c r="C304">
        <v>0.71</v>
      </c>
      <c r="D304">
        <v>0.54500000000000004</v>
      </c>
      <c r="E304">
        <v>0.17499999999999999</v>
      </c>
      <c r="F304">
        <v>1.907</v>
      </c>
      <c r="G304">
        <v>0.87250000000000005</v>
      </c>
      <c r="H304">
        <v>0.45650000000000002</v>
      </c>
      <c r="I304">
        <v>0.47499999999999998</v>
      </c>
      <c r="J304">
        <v>11</v>
      </c>
      <c r="K304">
        <v>5</v>
      </c>
      <c r="L304" t="s">
        <v>26</v>
      </c>
      <c r="M304" t="s">
        <v>27</v>
      </c>
      <c r="N304" t="s">
        <v>28</v>
      </c>
      <c r="O304">
        <v>8</v>
      </c>
      <c r="P304" t="s">
        <v>19</v>
      </c>
      <c r="Q304">
        <v>12.3</v>
      </c>
      <c r="R304" t="str" cm="1">
        <f t="array" ref="R3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04" t="e">
        <f>IF(Table13[[#This Row],[Category All]]="Category 1", "Yes",NA())</f>
        <v>#N/A</v>
      </c>
      <c r="T304" t="e">
        <f>IF(Table13[[#This Row],[Category All]]="Category 2", "Yes",NA())</f>
        <v>#N/A</v>
      </c>
      <c r="U304" t="str">
        <f>IF(Table13[[#This Row],[Category All]]="Category 3", "Yes",NA())</f>
        <v>Yes</v>
      </c>
      <c r="V304">
        <f>SUM(1,(1/3)*(Table13[[#This Row],[Length]]-0.5),(1/3)*(Table13[[#This Row],[Diameter]]-0.4),(1/3)*(Table13[[#This Row],[Height]]-0.4)*Table13[[#This Row],[Whole_weight]]*0.5)</f>
        <v>1.0468208333333333</v>
      </c>
      <c r="W304" cm="1">
        <f t="array" ref="W3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1.0468208333333333</v>
      </c>
      <c r="X304" t="e">
        <f>IF(Table13[[#This Row],[Category All]]="Category 1",Table13[[#This Row],[Base Abalone Value]]*1.5,NA())</f>
        <v>#N/A</v>
      </c>
      <c r="Y304" t="e">
        <f>IF(Table13[[#This Row],[Category All]]="Category 2",Table13[[#This Row],[Base Abalone Value]]*0.8,NA())</f>
        <v>#N/A</v>
      </c>
      <c r="Z304">
        <f>IF(Table13[[#This Row],[Category All]]="Category 3",Table13[[#This Row],[Base Abalone Value]],NA())</f>
        <v>1.0468208333333333</v>
      </c>
      <c r="AA304" s="2" t="e">
        <f>IF(Table13[[#This Row],[Gender]]="M",Table13[[#This Row],[Whole_weight]],NA())</f>
        <v>#N/A</v>
      </c>
      <c r="AB304" s="2">
        <f>IF(Table13[[#This Row],[Gender]]="F",Table13[[#This Row],[Whole_weight]],NA())</f>
        <v>1.907</v>
      </c>
      <c r="AC304" s="2" t="e">
        <f>IF(Table13[[#This Row],[Gender]]="I",Table13[[#This Row],[Whole_weight]],NA())</f>
        <v>#N/A</v>
      </c>
      <c r="AD304" s="2" t="e">
        <f>IF(Table13[[#This Row],[Gender]]="M",Table13[[#This Row],[Diameter]],NA())</f>
        <v>#N/A</v>
      </c>
      <c r="AE304" s="2">
        <f>IF(Table13[[#This Row],[Gender]]="F",Table13[[#This Row],[Diameter]],NA())</f>
        <v>0.54500000000000004</v>
      </c>
      <c r="AF304" s="2" t="e">
        <f>IF(Table13[[#This Row],[Gender]]="I",Table13[[#This Row],[Diameter]],NA())</f>
        <v>#N/A</v>
      </c>
    </row>
    <row r="305" spans="1:32" x14ac:dyDescent="0.2">
      <c r="A305">
        <v>2749</v>
      </c>
      <c r="B305" t="s">
        <v>11</v>
      </c>
      <c r="C305">
        <v>0.505</v>
      </c>
      <c r="D305">
        <v>0.38500000000000001</v>
      </c>
      <c r="E305">
        <v>0.125</v>
      </c>
      <c r="F305">
        <v>0.59599999999999997</v>
      </c>
      <c r="G305">
        <v>0.245</v>
      </c>
      <c r="H305">
        <v>9.7000000000000003E-2</v>
      </c>
      <c r="I305">
        <v>0.21</v>
      </c>
      <c r="J305">
        <v>9</v>
      </c>
      <c r="K305">
        <v>1</v>
      </c>
      <c r="L305" t="s">
        <v>8</v>
      </c>
      <c r="M305" t="s">
        <v>9</v>
      </c>
      <c r="N305" t="s">
        <v>3</v>
      </c>
      <c r="O305">
        <v>6</v>
      </c>
      <c r="P305" t="s">
        <v>47</v>
      </c>
      <c r="Q305">
        <v>14.1</v>
      </c>
      <c r="R305" t="str" cm="1">
        <f t="array" ref="R3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5" t="e">
        <f>IF(Table13[[#This Row],[Category All]]="Category 1", "Yes",NA())</f>
        <v>#N/A</v>
      </c>
      <c r="T305" t="str">
        <f>IF(Table13[[#This Row],[Category All]]="Category 2", "Yes",NA())</f>
        <v>Yes</v>
      </c>
      <c r="U305" t="e">
        <f>IF(Table13[[#This Row],[Category All]]="Category 3", "Yes",NA())</f>
        <v>#N/A</v>
      </c>
      <c r="V305">
        <f>SUM(1,(1/3)*(Table13[[#This Row],[Length]]-0.5),(1/3)*(Table13[[#This Row],[Diameter]]-0.4),(1/3)*(Table13[[#This Row],[Height]]-0.4)*Table13[[#This Row],[Whole_weight]]*0.5)</f>
        <v>0.96935000000000004</v>
      </c>
      <c r="W305" cm="1">
        <f t="array" ref="W3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0.77548000000000006</v>
      </c>
      <c r="X305" t="e">
        <f>IF(Table13[[#This Row],[Category All]]="Category 1",Table13[[#This Row],[Base Abalone Value]]*1.5,NA())</f>
        <v>#N/A</v>
      </c>
      <c r="Y305">
        <f>IF(Table13[[#This Row],[Category All]]="Category 2",Table13[[#This Row],[Base Abalone Value]]*0.8,NA())</f>
        <v>0.77548000000000006</v>
      </c>
      <c r="Z305" t="e">
        <f>IF(Table13[[#This Row],[Category All]]="Category 3",Table13[[#This Row],[Base Abalone Value]],NA())</f>
        <v>#N/A</v>
      </c>
      <c r="AA305" s="2" t="e">
        <f>IF(Table13[[#This Row],[Gender]]="M",Table13[[#This Row],[Whole_weight]],NA())</f>
        <v>#N/A</v>
      </c>
      <c r="AB305" s="2" t="e">
        <f>IF(Table13[[#This Row],[Gender]]="F",Table13[[#This Row],[Whole_weight]],NA())</f>
        <v>#N/A</v>
      </c>
      <c r="AC305" s="2">
        <f>IF(Table13[[#This Row],[Gender]]="I",Table13[[#This Row],[Whole_weight]],NA())</f>
        <v>0.59599999999999997</v>
      </c>
      <c r="AD305" s="2" t="e">
        <f>IF(Table13[[#This Row],[Gender]]="M",Table13[[#This Row],[Diameter]],NA())</f>
        <v>#N/A</v>
      </c>
      <c r="AE305" s="2" t="e">
        <f>IF(Table13[[#This Row],[Gender]]="F",Table13[[#This Row],[Diameter]],NA())</f>
        <v>#N/A</v>
      </c>
      <c r="AF305" s="2">
        <f>IF(Table13[[#This Row],[Gender]]="I",Table13[[#This Row],[Diameter]],NA())</f>
        <v>0.38500000000000001</v>
      </c>
    </row>
    <row r="306" spans="1:32" x14ac:dyDescent="0.2">
      <c r="A306">
        <v>3207</v>
      </c>
      <c r="B306" t="s">
        <v>11</v>
      </c>
      <c r="C306">
        <v>0.29499999999999998</v>
      </c>
      <c r="D306">
        <v>0.215</v>
      </c>
      <c r="E306">
        <v>7.4999999999999997E-2</v>
      </c>
      <c r="F306">
        <v>0.11600000000000001</v>
      </c>
      <c r="G306">
        <v>3.6999999999999998E-2</v>
      </c>
      <c r="H306">
        <v>2.9499999999999998E-2</v>
      </c>
      <c r="I306">
        <v>0.04</v>
      </c>
      <c r="J306">
        <v>8</v>
      </c>
      <c r="K306">
        <v>14</v>
      </c>
      <c r="L306" t="s">
        <v>23</v>
      </c>
      <c r="M306" t="s">
        <v>24</v>
      </c>
      <c r="N306" t="s">
        <v>25</v>
      </c>
      <c r="O306">
        <v>3</v>
      </c>
      <c r="P306" t="s">
        <v>48</v>
      </c>
      <c r="Q306">
        <v>3.6</v>
      </c>
      <c r="R306" t="str" cm="1">
        <f t="array" ref="R3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6" t="e">
        <f>IF(Table13[[#This Row],[Category All]]="Category 1", "Yes",NA())</f>
        <v>#N/A</v>
      </c>
      <c r="T306" t="str">
        <f>IF(Table13[[#This Row],[Category All]]="Category 2", "Yes",NA())</f>
        <v>Yes</v>
      </c>
      <c r="U306" t="e">
        <f>IF(Table13[[#This Row],[Category All]]="Category 3", "Yes",NA())</f>
        <v>#N/A</v>
      </c>
      <c r="V306">
        <f>SUM(1,(1/3)*(Table13[[#This Row],[Length]]-0.5),(1/3)*(Table13[[#This Row],[Diameter]]-0.4),(1/3)*(Table13[[#This Row],[Height]]-0.4)*Table13[[#This Row],[Whole_weight]]*0.5)</f>
        <v>0.86371666666666669</v>
      </c>
      <c r="W306" cm="1">
        <f t="array" ref="W3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0.69097333333333344</v>
      </c>
      <c r="X306" t="e">
        <f>IF(Table13[[#This Row],[Category All]]="Category 1",Table13[[#This Row],[Base Abalone Value]]*1.5,NA())</f>
        <v>#N/A</v>
      </c>
      <c r="Y306">
        <f>IF(Table13[[#This Row],[Category All]]="Category 2",Table13[[#This Row],[Base Abalone Value]]*0.8,NA())</f>
        <v>0.69097333333333344</v>
      </c>
      <c r="Z306" t="e">
        <f>IF(Table13[[#This Row],[Category All]]="Category 3",Table13[[#This Row],[Base Abalone Value]],NA())</f>
        <v>#N/A</v>
      </c>
      <c r="AA306" s="2" t="e">
        <f>IF(Table13[[#This Row],[Gender]]="M",Table13[[#This Row],[Whole_weight]],NA())</f>
        <v>#N/A</v>
      </c>
      <c r="AB306" s="2" t="e">
        <f>IF(Table13[[#This Row],[Gender]]="F",Table13[[#This Row],[Whole_weight]],NA())</f>
        <v>#N/A</v>
      </c>
      <c r="AC306" s="2">
        <f>IF(Table13[[#This Row],[Gender]]="I",Table13[[#This Row],[Whole_weight]],NA())</f>
        <v>0.11600000000000001</v>
      </c>
      <c r="AD306" s="2" t="e">
        <f>IF(Table13[[#This Row],[Gender]]="M",Table13[[#This Row],[Diameter]],NA())</f>
        <v>#N/A</v>
      </c>
      <c r="AE306" s="2" t="e">
        <f>IF(Table13[[#This Row],[Gender]]="F",Table13[[#This Row],[Diameter]],NA())</f>
        <v>#N/A</v>
      </c>
      <c r="AF306" s="2">
        <f>IF(Table13[[#This Row],[Gender]]="I",Table13[[#This Row],[Diameter]],NA())</f>
        <v>0.215</v>
      </c>
    </row>
    <row r="307" spans="1:32" x14ac:dyDescent="0.2">
      <c r="A307">
        <v>3135</v>
      </c>
      <c r="B307" t="s">
        <v>15</v>
      </c>
      <c r="C307">
        <v>0.46</v>
      </c>
      <c r="D307">
        <v>0.36</v>
      </c>
      <c r="E307">
        <v>0.125</v>
      </c>
      <c r="F307">
        <v>0.54700000000000004</v>
      </c>
      <c r="G307">
        <v>0.2165</v>
      </c>
      <c r="H307">
        <v>0.1105</v>
      </c>
      <c r="I307">
        <v>0.19</v>
      </c>
      <c r="J307">
        <v>8</v>
      </c>
      <c r="K307">
        <v>15</v>
      </c>
      <c r="L307" t="s">
        <v>49</v>
      </c>
      <c r="M307" t="s">
        <v>50</v>
      </c>
      <c r="N307" t="s">
        <v>3</v>
      </c>
      <c r="O307">
        <v>9</v>
      </c>
      <c r="P307" t="s">
        <v>46</v>
      </c>
      <c r="Q307">
        <v>1.9</v>
      </c>
      <c r="R307" t="str" cm="1">
        <f t="array" ref="R3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7" t="e">
        <f>IF(Table13[[#This Row],[Category All]]="Category 1", "Yes",NA())</f>
        <v>#N/A</v>
      </c>
      <c r="T307" t="str">
        <f>IF(Table13[[#This Row],[Category All]]="Category 2", "Yes",NA())</f>
        <v>Yes</v>
      </c>
      <c r="U307" t="e">
        <f>IF(Table13[[#This Row],[Category All]]="Category 3", "Yes",NA())</f>
        <v>#N/A</v>
      </c>
      <c r="V307">
        <f>SUM(1,(1/3)*(Table13[[#This Row],[Length]]-0.5),(1/3)*(Table13[[#This Row],[Diameter]]-0.4),(1/3)*(Table13[[#This Row],[Height]]-0.4)*Table13[[#This Row],[Whole_weight]]*0.5)</f>
        <v>0.94826250000000001</v>
      </c>
      <c r="W307" cm="1">
        <f t="array" ref="W3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0.75861000000000001</v>
      </c>
      <c r="X307" t="e">
        <f>IF(Table13[[#This Row],[Category All]]="Category 1",Table13[[#This Row],[Base Abalone Value]]*1.5,NA())</f>
        <v>#N/A</v>
      </c>
      <c r="Y307">
        <f>IF(Table13[[#This Row],[Category All]]="Category 2",Table13[[#This Row],[Base Abalone Value]]*0.8,NA())</f>
        <v>0.75861000000000001</v>
      </c>
      <c r="Z307" t="e">
        <f>IF(Table13[[#This Row],[Category All]]="Category 3",Table13[[#This Row],[Base Abalone Value]],NA())</f>
        <v>#N/A</v>
      </c>
      <c r="AA307" s="2">
        <f>IF(Table13[[#This Row],[Gender]]="M",Table13[[#This Row],[Whole_weight]],NA())</f>
        <v>0.54700000000000004</v>
      </c>
      <c r="AB307" s="2" t="e">
        <f>IF(Table13[[#This Row],[Gender]]="F",Table13[[#This Row],[Whole_weight]],NA())</f>
        <v>#N/A</v>
      </c>
      <c r="AC307" s="2" t="e">
        <f>IF(Table13[[#This Row],[Gender]]="I",Table13[[#This Row],[Whole_weight]],NA())</f>
        <v>#N/A</v>
      </c>
      <c r="AD307" s="2">
        <f>IF(Table13[[#This Row],[Gender]]="M",Table13[[#This Row],[Diameter]],NA())</f>
        <v>0.36</v>
      </c>
      <c r="AE307" s="2" t="e">
        <f>IF(Table13[[#This Row],[Gender]]="F",Table13[[#This Row],[Diameter]],NA())</f>
        <v>#N/A</v>
      </c>
      <c r="AF307" s="2" t="e">
        <f>IF(Table13[[#This Row],[Gender]]="I",Table13[[#This Row],[Diameter]],NA())</f>
        <v>#N/A</v>
      </c>
    </row>
    <row r="308" spans="1:32" x14ac:dyDescent="0.2">
      <c r="A308">
        <v>3266</v>
      </c>
      <c r="B308" t="s">
        <v>15</v>
      </c>
      <c r="C308">
        <v>0.48</v>
      </c>
      <c r="D308">
        <v>0.38</v>
      </c>
      <c r="E308">
        <v>0.13500000000000001</v>
      </c>
      <c r="F308">
        <v>0.52800000000000002</v>
      </c>
      <c r="G308">
        <v>0.2</v>
      </c>
      <c r="H308">
        <v>0.13950000000000001</v>
      </c>
      <c r="I308">
        <v>0.16</v>
      </c>
      <c r="J308">
        <v>14</v>
      </c>
      <c r="K308">
        <v>1</v>
      </c>
      <c r="L308" t="s">
        <v>8</v>
      </c>
      <c r="M308" t="s">
        <v>9</v>
      </c>
      <c r="N308" t="s">
        <v>3</v>
      </c>
      <c r="O308">
        <v>7</v>
      </c>
      <c r="P308" t="s">
        <v>42</v>
      </c>
      <c r="Q308">
        <v>2.5</v>
      </c>
      <c r="R308" t="str" cm="1">
        <f t="array" ref="R3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8" t="e">
        <f>IF(Table13[[#This Row],[Category All]]="Category 1", "Yes",NA())</f>
        <v>#N/A</v>
      </c>
      <c r="T308" t="str">
        <f>IF(Table13[[#This Row],[Category All]]="Category 2", "Yes",NA())</f>
        <v>Yes</v>
      </c>
      <c r="U308" t="e">
        <f>IF(Table13[[#This Row],[Category All]]="Category 3", "Yes",NA())</f>
        <v>#N/A</v>
      </c>
      <c r="V308">
        <f>SUM(1,(1/3)*(Table13[[#This Row],[Length]]-0.5),(1/3)*(Table13[[#This Row],[Diameter]]-0.4),(1/3)*(Table13[[#This Row],[Height]]-0.4)*Table13[[#This Row],[Whole_weight]]*0.5)</f>
        <v>0.96334666666666657</v>
      </c>
      <c r="W308" cm="1">
        <f t="array" ref="W3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0.77067733333333333</v>
      </c>
      <c r="X308" t="e">
        <f>IF(Table13[[#This Row],[Category All]]="Category 1",Table13[[#This Row],[Base Abalone Value]]*1.5,NA())</f>
        <v>#N/A</v>
      </c>
      <c r="Y308">
        <f>IF(Table13[[#This Row],[Category All]]="Category 2",Table13[[#This Row],[Base Abalone Value]]*0.8,NA())</f>
        <v>0.77067733333333333</v>
      </c>
      <c r="Z308" t="e">
        <f>IF(Table13[[#This Row],[Category All]]="Category 3",Table13[[#This Row],[Base Abalone Value]],NA())</f>
        <v>#N/A</v>
      </c>
      <c r="AA308" s="2">
        <f>IF(Table13[[#This Row],[Gender]]="M",Table13[[#This Row],[Whole_weight]],NA())</f>
        <v>0.52800000000000002</v>
      </c>
      <c r="AB308" s="2" t="e">
        <f>IF(Table13[[#This Row],[Gender]]="F",Table13[[#This Row],[Whole_weight]],NA())</f>
        <v>#N/A</v>
      </c>
      <c r="AC308" s="2" t="e">
        <f>IF(Table13[[#This Row],[Gender]]="I",Table13[[#This Row],[Whole_weight]],NA())</f>
        <v>#N/A</v>
      </c>
      <c r="AD308" s="2">
        <f>IF(Table13[[#This Row],[Gender]]="M",Table13[[#This Row],[Diameter]],NA())</f>
        <v>0.38</v>
      </c>
      <c r="AE308" s="2" t="e">
        <f>IF(Table13[[#This Row],[Gender]]="F",Table13[[#This Row],[Diameter]],NA())</f>
        <v>#N/A</v>
      </c>
      <c r="AF308" s="2" t="e">
        <f>IF(Table13[[#This Row],[Gender]]="I",Table13[[#This Row],[Diameter]],NA())</f>
        <v>#N/A</v>
      </c>
    </row>
    <row r="309" spans="1:32" x14ac:dyDescent="0.2">
      <c r="A309">
        <v>1952</v>
      </c>
      <c r="B309" t="s">
        <v>0</v>
      </c>
      <c r="C309">
        <v>0.64</v>
      </c>
      <c r="D309">
        <v>0.51500000000000001</v>
      </c>
      <c r="E309">
        <v>0.16500000000000001</v>
      </c>
      <c r="F309">
        <v>1.3115000000000001</v>
      </c>
      <c r="G309">
        <v>0.4945</v>
      </c>
      <c r="H309">
        <v>0.2555</v>
      </c>
      <c r="I309">
        <v>0.41</v>
      </c>
      <c r="J309">
        <v>10</v>
      </c>
      <c r="K309">
        <v>12</v>
      </c>
      <c r="L309" t="s">
        <v>1</v>
      </c>
      <c r="M309" t="s">
        <v>2</v>
      </c>
      <c r="N309" t="s">
        <v>3</v>
      </c>
      <c r="O309">
        <v>6</v>
      </c>
      <c r="P309" t="s">
        <v>47</v>
      </c>
      <c r="Q309">
        <v>14.1</v>
      </c>
      <c r="R309" t="str" cm="1">
        <f t="array" ref="R3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09" t="e">
        <f>IF(Table13[[#This Row],[Category All]]="Category 1", "Yes",NA())</f>
        <v>#N/A</v>
      </c>
      <c r="T309" t="e">
        <f>IF(Table13[[#This Row],[Category All]]="Category 2", "Yes",NA())</f>
        <v>#N/A</v>
      </c>
      <c r="U309" t="str">
        <f>IF(Table13[[#This Row],[Category All]]="Category 3", "Yes",NA())</f>
        <v>Yes</v>
      </c>
      <c r="V309">
        <f>SUM(1,(1/3)*(Table13[[#This Row],[Length]]-0.5),(1/3)*(Table13[[#This Row],[Diameter]]-0.4),(1/3)*(Table13[[#This Row],[Height]]-0.4)*Table13[[#This Row],[Whole_weight]]*0.5)</f>
        <v>1.0336329166666667</v>
      </c>
      <c r="W309" cm="1">
        <f t="array" ref="W3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1.0336329166666667</v>
      </c>
      <c r="X309" t="e">
        <f>IF(Table13[[#This Row],[Category All]]="Category 1",Table13[[#This Row],[Base Abalone Value]]*1.5,NA())</f>
        <v>#N/A</v>
      </c>
      <c r="Y309" t="e">
        <f>IF(Table13[[#This Row],[Category All]]="Category 2",Table13[[#This Row],[Base Abalone Value]]*0.8,NA())</f>
        <v>#N/A</v>
      </c>
      <c r="Z309">
        <f>IF(Table13[[#This Row],[Category All]]="Category 3",Table13[[#This Row],[Base Abalone Value]],NA())</f>
        <v>1.0336329166666667</v>
      </c>
      <c r="AA309" s="2" t="e">
        <f>IF(Table13[[#This Row],[Gender]]="M",Table13[[#This Row],[Whole_weight]],NA())</f>
        <v>#N/A</v>
      </c>
      <c r="AB309" s="2">
        <f>IF(Table13[[#This Row],[Gender]]="F",Table13[[#This Row],[Whole_weight]],NA())</f>
        <v>1.3115000000000001</v>
      </c>
      <c r="AC309" s="2" t="e">
        <f>IF(Table13[[#This Row],[Gender]]="I",Table13[[#This Row],[Whole_weight]],NA())</f>
        <v>#N/A</v>
      </c>
      <c r="AD309" s="2" t="e">
        <f>IF(Table13[[#This Row],[Gender]]="M",Table13[[#This Row],[Diameter]],NA())</f>
        <v>#N/A</v>
      </c>
      <c r="AE309" s="2">
        <f>IF(Table13[[#This Row],[Gender]]="F",Table13[[#This Row],[Diameter]],NA())</f>
        <v>0.51500000000000001</v>
      </c>
      <c r="AF309" s="2" t="e">
        <f>IF(Table13[[#This Row],[Gender]]="I",Table13[[#This Row],[Diameter]],NA())</f>
        <v>#N/A</v>
      </c>
    </row>
    <row r="310" spans="1:32" x14ac:dyDescent="0.2">
      <c r="A310">
        <v>1661</v>
      </c>
      <c r="B310" t="s">
        <v>15</v>
      </c>
      <c r="C310">
        <v>0.6</v>
      </c>
      <c r="D310">
        <v>0.47</v>
      </c>
      <c r="E310">
        <v>0.16500000000000001</v>
      </c>
      <c r="F310">
        <v>1.0589999999999999</v>
      </c>
      <c r="G310">
        <v>0.504</v>
      </c>
      <c r="H310">
        <v>0.24099999999999999</v>
      </c>
      <c r="I310">
        <v>0.27500000000000002</v>
      </c>
      <c r="J310">
        <v>9</v>
      </c>
      <c r="K310">
        <v>8</v>
      </c>
      <c r="L310" t="s">
        <v>29</v>
      </c>
      <c r="M310" t="s">
        <v>30</v>
      </c>
      <c r="N310" t="s">
        <v>31</v>
      </c>
      <c r="O310">
        <v>10</v>
      </c>
      <c r="P310" t="s">
        <v>38</v>
      </c>
      <c r="Q310">
        <v>24.1</v>
      </c>
      <c r="R310" t="str" cm="1">
        <f t="array" ref="R3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10" t="e">
        <f>IF(Table13[[#This Row],[Category All]]="Category 1", "Yes",NA())</f>
        <v>#N/A</v>
      </c>
      <c r="T310" t="e">
        <f>IF(Table13[[#This Row],[Category All]]="Category 2", "Yes",NA())</f>
        <v>#N/A</v>
      </c>
      <c r="U310" t="str">
        <f>IF(Table13[[#This Row],[Category All]]="Category 3", "Yes",NA())</f>
        <v>Yes</v>
      </c>
      <c r="V310">
        <f>SUM(1,(1/3)*(Table13[[#This Row],[Length]]-0.5),(1/3)*(Table13[[#This Row],[Diameter]]-0.4),(1/3)*(Table13[[#This Row],[Height]]-0.4)*Table13[[#This Row],[Whole_weight]]*0.5)</f>
        <v>1.0151891666666666</v>
      </c>
      <c r="W310" cm="1">
        <f t="array" ref="W3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1.0151891666666666</v>
      </c>
      <c r="X310" t="e">
        <f>IF(Table13[[#This Row],[Category All]]="Category 1",Table13[[#This Row],[Base Abalone Value]]*1.5,NA())</f>
        <v>#N/A</v>
      </c>
      <c r="Y310" t="e">
        <f>IF(Table13[[#This Row],[Category All]]="Category 2",Table13[[#This Row],[Base Abalone Value]]*0.8,NA())</f>
        <v>#N/A</v>
      </c>
      <c r="Z310">
        <f>IF(Table13[[#This Row],[Category All]]="Category 3",Table13[[#This Row],[Base Abalone Value]],NA())</f>
        <v>1.0151891666666666</v>
      </c>
      <c r="AA310" s="2">
        <f>IF(Table13[[#This Row],[Gender]]="M",Table13[[#This Row],[Whole_weight]],NA())</f>
        <v>1.0589999999999999</v>
      </c>
      <c r="AB310" s="2" t="e">
        <f>IF(Table13[[#This Row],[Gender]]="F",Table13[[#This Row],[Whole_weight]],NA())</f>
        <v>#N/A</v>
      </c>
      <c r="AC310" s="2" t="e">
        <f>IF(Table13[[#This Row],[Gender]]="I",Table13[[#This Row],[Whole_weight]],NA())</f>
        <v>#N/A</v>
      </c>
      <c r="AD310" s="2">
        <f>IF(Table13[[#This Row],[Gender]]="M",Table13[[#This Row],[Diameter]],NA())</f>
        <v>0.47</v>
      </c>
      <c r="AE310" s="2" t="e">
        <f>IF(Table13[[#This Row],[Gender]]="F",Table13[[#This Row],[Diameter]],NA())</f>
        <v>#N/A</v>
      </c>
      <c r="AF310" s="2" t="e">
        <f>IF(Table13[[#This Row],[Gender]]="I",Table13[[#This Row],[Diameter]],NA())</f>
        <v>#N/A</v>
      </c>
    </row>
    <row r="311" spans="1:32" x14ac:dyDescent="0.2">
      <c r="A311">
        <v>2389</v>
      </c>
      <c r="B311" t="s">
        <v>11</v>
      </c>
      <c r="C311">
        <v>0.51500000000000001</v>
      </c>
      <c r="D311">
        <v>0.375</v>
      </c>
      <c r="E311">
        <v>0.14000000000000001</v>
      </c>
      <c r="F311">
        <v>0.65049999999999997</v>
      </c>
      <c r="G311">
        <v>0.2495</v>
      </c>
      <c r="H311">
        <v>0.14099999999999999</v>
      </c>
      <c r="I311">
        <v>0.2215</v>
      </c>
      <c r="J311">
        <v>10</v>
      </c>
      <c r="K311">
        <v>7</v>
      </c>
      <c r="L311" t="s">
        <v>35</v>
      </c>
      <c r="M311" t="s">
        <v>36</v>
      </c>
      <c r="N311" t="s">
        <v>37</v>
      </c>
      <c r="O311">
        <v>9</v>
      </c>
      <c r="P311" t="s">
        <v>46</v>
      </c>
      <c r="Q311">
        <v>1.9</v>
      </c>
      <c r="R311" t="str" cm="1">
        <f t="array" ref="R3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1" t="e">
        <f>IF(Table13[[#This Row],[Category All]]="Category 1", "Yes",NA())</f>
        <v>#N/A</v>
      </c>
      <c r="T311" t="str">
        <f>IF(Table13[[#This Row],[Category All]]="Category 2", "Yes",NA())</f>
        <v>Yes</v>
      </c>
      <c r="U311" t="e">
        <f>IF(Table13[[#This Row],[Category All]]="Category 3", "Yes",NA())</f>
        <v>#N/A</v>
      </c>
      <c r="V311">
        <f>SUM(1,(1/3)*(Table13[[#This Row],[Length]]-0.5),(1/3)*(Table13[[#This Row],[Diameter]]-0.4),(1/3)*(Table13[[#This Row],[Height]]-0.4)*Table13[[#This Row],[Whole_weight]]*0.5)</f>
        <v>0.96847833333333322</v>
      </c>
      <c r="W311" cm="1">
        <f t="array" ref="W3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0.77478266666666662</v>
      </c>
      <c r="X311" t="e">
        <f>IF(Table13[[#This Row],[Category All]]="Category 1",Table13[[#This Row],[Base Abalone Value]]*1.5,NA())</f>
        <v>#N/A</v>
      </c>
      <c r="Y311">
        <f>IF(Table13[[#This Row],[Category All]]="Category 2",Table13[[#This Row],[Base Abalone Value]]*0.8,NA())</f>
        <v>0.77478266666666662</v>
      </c>
      <c r="Z311" t="e">
        <f>IF(Table13[[#This Row],[Category All]]="Category 3",Table13[[#This Row],[Base Abalone Value]],NA())</f>
        <v>#N/A</v>
      </c>
      <c r="AA311" s="2" t="e">
        <f>IF(Table13[[#This Row],[Gender]]="M",Table13[[#This Row],[Whole_weight]],NA())</f>
        <v>#N/A</v>
      </c>
      <c r="AB311" s="2" t="e">
        <f>IF(Table13[[#This Row],[Gender]]="F",Table13[[#This Row],[Whole_weight]],NA())</f>
        <v>#N/A</v>
      </c>
      <c r="AC311" s="2">
        <f>IF(Table13[[#This Row],[Gender]]="I",Table13[[#This Row],[Whole_weight]],NA())</f>
        <v>0.65049999999999997</v>
      </c>
      <c r="AD311" s="2" t="e">
        <f>IF(Table13[[#This Row],[Gender]]="M",Table13[[#This Row],[Diameter]],NA())</f>
        <v>#N/A</v>
      </c>
      <c r="AE311" s="2" t="e">
        <f>IF(Table13[[#This Row],[Gender]]="F",Table13[[#This Row],[Diameter]],NA())</f>
        <v>#N/A</v>
      </c>
      <c r="AF311" s="2">
        <f>IF(Table13[[#This Row],[Gender]]="I",Table13[[#This Row],[Diameter]],NA())</f>
        <v>0.375</v>
      </c>
    </row>
    <row r="312" spans="1:32" x14ac:dyDescent="0.2">
      <c r="A312">
        <v>2726</v>
      </c>
      <c r="B312" t="s">
        <v>11</v>
      </c>
      <c r="C312">
        <v>0.39500000000000002</v>
      </c>
      <c r="D312">
        <v>0.32</v>
      </c>
      <c r="E312">
        <v>0.1</v>
      </c>
      <c r="F312">
        <v>0.3075</v>
      </c>
      <c r="G312">
        <v>0.14899999999999999</v>
      </c>
      <c r="H312">
        <v>5.3499999999999999E-2</v>
      </c>
      <c r="I312">
        <v>0.09</v>
      </c>
      <c r="J312">
        <v>8</v>
      </c>
      <c r="K312">
        <v>10</v>
      </c>
      <c r="L312" t="s">
        <v>16</v>
      </c>
      <c r="M312" t="s">
        <v>17</v>
      </c>
      <c r="N312" t="s">
        <v>18</v>
      </c>
      <c r="O312">
        <v>6</v>
      </c>
      <c r="P312" t="s">
        <v>47</v>
      </c>
      <c r="Q312">
        <v>14.1</v>
      </c>
      <c r="R312" t="str" cm="1">
        <f t="array" ref="R3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2" t="e">
        <f>IF(Table13[[#This Row],[Category All]]="Category 1", "Yes",NA())</f>
        <v>#N/A</v>
      </c>
      <c r="T312" t="str">
        <f>IF(Table13[[#This Row],[Category All]]="Category 2", "Yes",NA())</f>
        <v>Yes</v>
      </c>
      <c r="U312" t="e">
        <f>IF(Table13[[#This Row],[Category All]]="Category 3", "Yes",NA())</f>
        <v>#N/A</v>
      </c>
      <c r="V312">
        <f>SUM(1,(1/3)*(Table13[[#This Row],[Length]]-0.5),(1/3)*(Table13[[#This Row],[Diameter]]-0.4),(1/3)*(Table13[[#This Row],[Height]]-0.4)*Table13[[#This Row],[Whole_weight]]*0.5)</f>
        <v>0.92295833333333321</v>
      </c>
      <c r="W312" cm="1">
        <f t="array" ref="W3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0.73836666666666662</v>
      </c>
      <c r="X312" t="e">
        <f>IF(Table13[[#This Row],[Category All]]="Category 1",Table13[[#This Row],[Base Abalone Value]]*1.5,NA())</f>
        <v>#N/A</v>
      </c>
      <c r="Y312">
        <f>IF(Table13[[#This Row],[Category All]]="Category 2",Table13[[#This Row],[Base Abalone Value]]*0.8,NA())</f>
        <v>0.73836666666666662</v>
      </c>
      <c r="Z312" t="e">
        <f>IF(Table13[[#This Row],[Category All]]="Category 3",Table13[[#This Row],[Base Abalone Value]],NA())</f>
        <v>#N/A</v>
      </c>
      <c r="AA312" s="2" t="e">
        <f>IF(Table13[[#This Row],[Gender]]="M",Table13[[#This Row],[Whole_weight]],NA())</f>
        <v>#N/A</v>
      </c>
      <c r="AB312" s="2" t="e">
        <f>IF(Table13[[#This Row],[Gender]]="F",Table13[[#This Row],[Whole_weight]],NA())</f>
        <v>#N/A</v>
      </c>
      <c r="AC312" s="2">
        <f>IF(Table13[[#This Row],[Gender]]="I",Table13[[#This Row],[Whole_weight]],NA())</f>
        <v>0.3075</v>
      </c>
      <c r="AD312" s="2" t="e">
        <f>IF(Table13[[#This Row],[Gender]]="M",Table13[[#This Row],[Diameter]],NA())</f>
        <v>#N/A</v>
      </c>
      <c r="AE312" s="2" t="e">
        <f>IF(Table13[[#This Row],[Gender]]="F",Table13[[#This Row],[Diameter]],NA())</f>
        <v>#N/A</v>
      </c>
      <c r="AF312" s="2">
        <f>IF(Table13[[#This Row],[Gender]]="I",Table13[[#This Row],[Diameter]],NA())</f>
        <v>0.32</v>
      </c>
    </row>
    <row r="313" spans="1:32" x14ac:dyDescent="0.2">
      <c r="A313">
        <v>3749</v>
      </c>
      <c r="B313" t="s">
        <v>11</v>
      </c>
      <c r="C313">
        <v>0.4</v>
      </c>
      <c r="D313">
        <v>0.315</v>
      </c>
      <c r="E313">
        <v>0.1</v>
      </c>
      <c r="F313">
        <v>0.32250000000000001</v>
      </c>
      <c r="G313">
        <v>0.14299999999999999</v>
      </c>
      <c r="H313">
        <v>7.3499999999999996E-2</v>
      </c>
      <c r="I313">
        <v>9.0999999999999998E-2</v>
      </c>
      <c r="J313">
        <v>6</v>
      </c>
      <c r="K313">
        <v>13</v>
      </c>
      <c r="L313" t="s">
        <v>12</v>
      </c>
      <c r="M313" t="s">
        <v>13</v>
      </c>
      <c r="N313" t="s">
        <v>3</v>
      </c>
      <c r="O313">
        <v>6</v>
      </c>
      <c r="P313" t="s">
        <v>47</v>
      </c>
      <c r="Q313">
        <v>14.1</v>
      </c>
      <c r="R313" t="str" cm="1">
        <f t="array" ref="R3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3" t="e">
        <f>IF(Table13[[#This Row],[Category All]]="Category 1", "Yes",NA())</f>
        <v>#N/A</v>
      </c>
      <c r="T313" t="str">
        <f>IF(Table13[[#This Row],[Category All]]="Category 2", "Yes",NA())</f>
        <v>Yes</v>
      </c>
      <c r="U313" t="e">
        <f>IF(Table13[[#This Row],[Category All]]="Category 3", "Yes",NA())</f>
        <v>#N/A</v>
      </c>
      <c r="V313">
        <f>SUM(1,(1/3)*(Table13[[#This Row],[Length]]-0.5),(1/3)*(Table13[[#This Row],[Diameter]]-0.4),(1/3)*(Table13[[#This Row],[Height]]-0.4)*Table13[[#This Row],[Whole_weight]]*0.5)</f>
        <v>0.9222083333333333</v>
      </c>
      <c r="W313" cm="1">
        <f t="array" ref="W3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0.73776666666666668</v>
      </c>
      <c r="X313" t="e">
        <f>IF(Table13[[#This Row],[Category All]]="Category 1",Table13[[#This Row],[Base Abalone Value]]*1.5,NA())</f>
        <v>#N/A</v>
      </c>
      <c r="Y313">
        <f>IF(Table13[[#This Row],[Category All]]="Category 2",Table13[[#This Row],[Base Abalone Value]]*0.8,NA())</f>
        <v>0.73776666666666668</v>
      </c>
      <c r="Z313" t="e">
        <f>IF(Table13[[#This Row],[Category All]]="Category 3",Table13[[#This Row],[Base Abalone Value]],NA())</f>
        <v>#N/A</v>
      </c>
      <c r="AA313" s="2" t="e">
        <f>IF(Table13[[#This Row],[Gender]]="M",Table13[[#This Row],[Whole_weight]],NA())</f>
        <v>#N/A</v>
      </c>
      <c r="AB313" s="2" t="e">
        <f>IF(Table13[[#This Row],[Gender]]="F",Table13[[#This Row],[Whole_weight]],NA())</f>
        <v>#N/A</v>
      </c>
      <c r="AC313" s="2">
        <f>IF(Table13[[#This Row],[Gender]]="I",Table13[[#This Row],[Whole_weight]],NA())</f>
        <v>0.32250000000000001</v>
      </c>
      <c r="AD313" s="2" t="e">
        <f>IF(Table13[[#This Row],[Gender]]="M",Table13[[#This Row],[Diameter]],NA())</f>
        <v>#N/A</v>
      </c>
      <c r="AE313" s="2" t="e">
        <f>IF(Table13[[#This Row],[Gender]]="F",Table13[[#This Row],[Diameter]],NA())</f>
        <v>#N/A</v>
      </c>
      <c r="AF313" s="2">
        <f>IF(Table13[[#This Row],[Gender]]="I",Table13[[#This Row],[Diameter]],NA())</f>
        <v>0.315</v>
      </c>
    </row>
    <row r="314" spans="1:32" x14ac:dyDescent="0.2">
      <c r="A314">
        <v>2872</v>
      </c>
      <c r="B314" t="s">
        <v>11</v>
      </c>
      <c r="C314">
        <v>0.375</v>
      </c>
      <c r="D314">
        <v>0.28000000000000003</v>
      </c>
      <c r="E314">
        <v>8.5000000000000006E-2</v>
      </c>
      <c r="F314">
        <v>0.2145</v>
      </c>
      <c r="G314">
        <v>8.5500000000000007E-2</v>
      </c>
      <c r="H314">
        <v>4.8500000000000001E-2</v>
      </c>
      <c r="I314">
        <v>7.1999999999999995E-2</v>
      </c>
      <c r="J314">
        <v>7</v>
      </c>
      <c r="K314">
        <v>1</v>
      </c>
      <c r="L314" t="s">
        <v>8</v>
      </c>
      <c r="M314" t="s">
        <v>9</v>
      </c>
      <c r="N314" t="s">
        <v>3</v>
      </c>
      <c r="O314">
        <v>1</v>
      </c>
      <c r="P314" t="s">
        <v>4</v>
      </c>
      <c r="Q314">
        <v>22.1</v>
      </c>
      <c r="R314" t="str" cm="1">
        <f t="array" ref="R3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4" t="e">
        <f>IF(Table13[[#This Row],[Category All]]="Category 1", "Yes",NA())</f>
        <v>#N/A</v>
      </c>
      <c r="T314" t="str">
        <f>IF(Table13[[#This Row],[Category All]]="Category 2", "Yes",NA())</f>
        <v>Yes</v>
      </c>
      <c r="U314" t="e">
        <f>IF(Table13[[#This Row],[Category All]]="Category 3", "Yes",NA())</f>
        <v>#N/A</v>
      </c>
      <c r="V314">
        <f>SUM(1,(1/3)*(Table13[[#This Row],[Length]]-0.5),(1/3)*(Table13[[#This Row],[Diameter]]-0.4),(1/3)*(Table13[[#This Row],[Height]]-0.4)*Table13[[#This Row],[Whole_weight]]*0.5)</f>
        <v>0.90707208333333333</v>
      </c>
      <c r="W314" cm="1">
        <f t="array" ref="W3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0.72565766666666676</v>
      </c>
      <c r="X314" t="e">
        <f>IF(Table13[[#This Row],[Category All]]="Category 1",Table13[[#This Row],[Base Abalone Value]]*1.5,NA())</f>
        <v>#N/A</v>
      </c>
      <c r="Y314">
        <f>IF(Table13[[#This Row],[Category All]]="Category 2",Table13[[#This Row],[Base Abalone Value]]*0.8,NA())</f>
        <v>0.72565766666666676</v>
      </c>
      <c r="Z314" t="e">
        <f>IF(Table13[[#This Row],[Category All]]="Category 3",Table13[[#This Row],[Base Abalone Value]],NA())</f>
        <v>#N/A</v>
      </c>
      <c r="AA314" s="2" t="e">
        <f>IF(Table13[[#This Row],[Gender]]="M",Table13[[#This Row],[Whole_weight]],NA())</f>
        <v>#N/A</v>
      </c>
      <c r="AB314" s="2" t="e">
        <f>IF(Table13[[#This Row],[Gender]]="F",Table13[[#This Row],[Whole_weight]],NA())</f>
        <v>#N/A</v>
      </c>
      <c r="AC314" s="2">
        <f>IF(Table13[[#This Row],[Gender]]="I",Table13[[#This Row],[Whole_weight]],NA())</f>
        <v>0.2145</v>
      </c>
      <c r="AD314" s="2" t="e">
        <f>IF(Table13[[#This Row],[Gender]]="M",Table13[[#This Row],[Diameter]],NA())</f>
        <v>#N/A</v>
      </c>
      <c r="AE314" s="2" t="e">
        <f>IF(Table13[[#This Row],[Gender]]="F",Table13[[#This Row],[Diameter]],NA())</f>
        <v>#N/A</v>
      </c>
      <c r="AF314" s="2">
        <f>IF(Table13[[#This Row],[Gender]]="I",Table13[[#This Row],[Diameter]],NA())</f>
        <v>0.28000000000000003</v>
      </c>
    </row>
    <row r="315" spans="1:32" x14ac:dyDescent="0.2">
      <c r="A315">
        <v>2024</v>
      </c>
      <c r="B315" t="s">
        <v>0</v>
      </c>
      <c r="C315">
        <v>0.53</v>
      </c>
      <c r="D315">
        <v>0.40500000000000003</v>
      </c>
      <c r="E315">
        <v>0.13</v>
      </c>
      <c r="F315">
        <v>0.63549999999999995</v>
      </c>
      <c r="G315">
        <v>0.26350000000000001</v>
      </c>
      <c r="H315">
        <v>0.1565</v>
      </c>
      <c r="I315">
        <v>0.185</v>
      </c>
      <c r="J315">
        <v>9</v>
      </c>
      <c r="K315">
        <v>14</v>
      </c>
      <c r="L315" t="s">
        <v>23</v>
      </c>
      <c r="M315" t="s">
        <v>24</v>
      </c>
      <c r="N315" t="s">
        <v>25</v>
      </c>
      <c r="O315">
        <v>2</v>
      </c>
      <c r="P315" t="s">
        <v>7</v>
      </c>
      <c r="Q315">
        <v>18</v>
      </c>
      <c r="R315" t="str" cm="1">
        <f t="array" ref="R3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5" t="e">
        <f>IF(Table13[[#This Row],[Category All]]="Category 1", "Yes",NA())</f>
        <v>#N/A</v>
      </c>
      <c r="T315" t="str">
        <f>IF(Table13[[#This Row],[Category All]]="Category 2", "Yes",NA())</f>
        <v>Yes</v>
      </c>
      <c r="U315" t="e">
        <f>IF(Table13[[#This Row],[Category All]]="Category 3", "Yes",NA())</f>
        <v>#N/A</v>
      </c>
      <c r="V315">
        <f>SUM(1,(1/3)*(Table13[[#This Row],[Length]]-0.5),(1/3)*(Table13[[#This Row],[Diameter]]-0.4),(1/3)*(Table13[[#This Row],[Height]]-0.4)*Table13[[#This Row],[Whole_weight]]*0.5)</f>
        <v>0.98306916666666666</v>
      </c>
      <c r="W315" cm="1">
        <f t="array" ref="W3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0.7864553333333334</v>
      </c>
      <c r="X315" t="e">
        <f>IF(Table13[[#This Row],[Category All]]="Category 1",Table13[[#This Row],[Base Abalone Value]]*1.5,NA())</f>
        <v>#N/A</v>
      </c>
      <c r="Y315">
        <f>IF(Table13[[#This Row],[Category All]]="Category 2",Table13[[#This Row],[Base Abalone Value]]*0.8,NA())</f>
        <v>0.7864553333333334</v>
      </c>
      <c r="Z315" t="e">
        <f>IF(Table13[[#This Row],[Category All]]="Category 3",Table13[[#This Row],[Base Abalone Value]],NA())</f>
        <v>#N/A</v>
      </c>
      <c r="AA315" s="2" t="e">
        <f>IF(Table13[[#This Row],[Gender]]="M",Table13[[#This Row],[Whole_weight]],NA())</f>
        <v>#N/A</v>
      </c>
      <c r="AB315" s="2">
        <f>IF(Table13[[#This Row],[Gender]]="F",Table13[[#This Row],[Whole_weight]],NA())</f>
        <v>0.63549999999999995</v>
      </c>
      <c r="AC315" s="2" t="e">
        <f>IF(Table13[[#This Row],[Gender]]="I",Table13[[#This Row],[Whole_weight]],NA())</f>
        <v>#N/A</v>
      </c>
      <c r="AD315" s="2" t="e">
        <f>IF(Table13[[#This Row],[Gender]]="M",Table13[[#This Row],[Diameter]],NA())</f>
        <v>#N/A</v>
      </c>
      <c r="AE315" s="2">
        <f>IF(Table13[[#This Row],[Gender]]="F",Table13[[#This Row],[Diameter]],NA())</f>
        <v>0.40500000000000003</v>
      </c>
      <c r="AF315" s="2" t="e">
        <f>IF(Table13[[#This Row],[Gender]]="I",Table13[[#This Row],[Diameter]],NA())</f>
        <v>#N/A</v>
      </c>
    </row>
    <row r="316" spans="1:32" x14ac:dyDescent="0.2">
      <c r="A316">
        <v>1257</v>
      </c>
      <c r="B316" t="s">
        <v>11</v>
      </c>
      <c r="C316">
        <v>0.42499999999999999</v>
      </c>
      <c r="D316">
        <v>0.31</v>
      </c>
      <c r="E316">
        <v>0.09</v>
      </c>
      <c r="F316">
        <v>0.30099999999999999</v>
      </c>
      <c r="G316">
        <v>0.13850000000000001</v>
      </c>
      <c r="H316">
        <v>6.5000000000000002E-2</v>
      </c>
      <c r="I316">
        <v>0.08</v>
      </c>
      <c r="J316">
        <v>7</v>
      </c>
      <c r="K316">
        <v>10</v>
      </c>
      <c r="L316" t="s">
        <v>16</v>
      </c>
      <c r="M316" t="s">
        <v>17</v>
      </c>
      <c r="N316" t="s">
        <v>18</v>
      </c>
      <c r="O316">
        <v>8</v>
      </c>
      <c r="P316" t="s">
        <v>19</v>
      </c>
      <c r="Q316">
        <v>12.3</v>
      </c>
      <c r="R316" t="str" cm="1">
        <f t="array" ref="R3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6" t="e">
        <f>IF(Table13[[#This Row],[Category All]]="Category 1", "Yes",NA())</f>
        <v>#N/A</v>
      </c>
      <c r="T316" t="str">
        <f>IF(Table13[[#This Row],[Category All]]="Category 2", "Yes",NA())</f>
        <v>Yes</v>
      </c>
      <c r="U316" t="e">
        <f>IF(Table13[[#This Row],[Category All]]="Category 3", "Yes",NA())</f>
        <v>#N/A</v>
      </c>
      <c r="V316">
        <f>SUM(1,(1/3)*(Table13[[#This Row],[Length]]-0.5),(1/3)*(Table13[[#This Row],[Diameter]]-0.4),(1/3)*(Table13[[#This Row],[Height]]-0.4)*Table13[[#This Row],[Whole_weight]]*0.5)</f>
        <v>0.92944833333333332</v>
      </c>
      <c r="W316" cm="1">
        <f t="array" ref="W3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0.7435586666666667</v>
      </c>
      <c r="X316" t="e">
        <f>IF(Table13[[#This Row],[Category All]]="Category 1",Table13[[#This Row],[Base Abalone Value]]*1.5,NA())</f>
        <v>#N/A</v>
      </c>
      <c r="Y316">
        <f>IF(Table13[[#This Row],[Category All]]="Category 2",Table13[[#This Row],[Base Abalone Value]]*0.8,NA())</f>
        <v>0.7435586666666667</v>
      </c>
      <c r="Z316" t="e">
        <f>IF(Table13[[#This Row],[Category All]]="Category 3",Table13[[#This Row],[Base Abalone Value]],NA())</f>
        <v>#N/A</v>
      </c>
      <c r="AA316" s="2" t="e">
        <f>IF(Table13[[#This Row],[Gender]]="M",Table13[[#This Row],[Whole_weight]],NA())</f>
        <v>#N/A</v>
      </c>
      <c r="AB316" s="2" t="e">
        <f>IF(Table13[[#This Row],[Gender]]="F",Table13[[#This Row],[Whole_weight]],NA())</f>
        <v>#N/A</v>
      </c>
      <c r="AC316" s="2">
        <f>IF(Table13[[#This Row],[Gender]]="I",Table13[[#This Row],[Whole_weight]],NA())</f>
        <v>0.30099999999999999</v>
      </c>
      <c r="AD316" s="2" t="e">
        <f>IF(Table13[[#This Row],[Gender]]="M",Table13[[#This Row],[Diameter]],NA())</f>
        <v>#N/A</v>
      </c>
      <c r="AE316" s="2" t="e">
        <f>IF(Table13[[#This Row],[Gender]]="F",Table13[[#This Row],[Diameter]],NA())</f>
        <v>#N/A</v>
      </c>
      <c r="AF316" s="2">
        <f>IF(Table13[[#This Row],[Gender]]="I",Table13[[#This Row],[Diameter]],NA())</f>
        <v>0.31</v>
      </c>
    </row>
    <row r="317" spans="1:32" x14ac:dyDescent="0.2">
      <c r="A317">
        <v>3241</v>
      </c>
      <c r="B317" t="s">
        <v>15</v>
      </c>
      <c r="C317">
        <v>0.55500000000000005</v>
      </c>
      <c r="D317">
        <v>0.435</v>
      </c>
      <c r="E317">
        <v>0.13500000000000001</v>
      </c>
      <c r="F317">
        <v>0.85799999999999998</v>
      </c>
      <c r="G317">
        <v>0.377</v>
      </c>
      <c r="H317">
        <v>0.1585</v>
      </c>
      <c r="I317">
        <v>0.28999999999999998</v>
      </c>
      <c r="J317">
        <v>15</v>
      </c>
      <c r="K317">
        <v>9</v>
      </c>
      <c r="L317" t="s">
        <v>20</v>
      </c>
      <c r="M317" t="s">
        <v>21</v>
      </c>
      <c r="N317" t="s">
        <v>22</v>
      </c>
      <c r="O317">
        <v>2</v>
      </c>
      <c r="P317" t="s">
        <v>7</v>
      </c>
      <c r="Q317">
        <v>18</v>
      </c>
      <c r="R317" t="str" cm="1">
        <f t="array" ref="R3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7" t="e">
        <f>IF(Table13[[#This Row],[Category All]]="Category 1", "Yes",NA())</f>
        <v>#N/A</v>
      </c>
      <c r="T317" t="str">
        <f>IF(Table13[[#This Row],[Category All]]="Category 2", "Yes",NA())</f>
        <v>Yes</v>
      </c>
      <c r="U317" t="e">
        <f>IF(Table13[[#This Row],[Category All]]="Category 3", "Yes",NA())</f>
        <v>#N/A</v>
      </c>
      <c r="V317">
        <f>SUM(1,(1/3)*(Table13[[#This Row],[Length]]-0.5),(1/3)*(Table13[[#This Row],[Diameter]]-0.4),(1/3)*(Table13[[#This Row],[Height]]-0.4)*Table13[[#This Row],[Whole_weight]]*0.5)</f>
        <v>0.99210500000000001</v>
      </c>
      <c r="W317" cm="1">
        <f t="array" ref="W3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0.79368400000000006</v>
      </c>
      <c r="X317" t="e">
        <f>IF(Table13[[#This Row],[Category All]]="Category 1",Table13[[#This Row],[Base Abalone Value]]*1.5,NA())</f>
        <v>#N/A</v>
      </c>
      <c r="Y317">
        <f>IF(Table13[[#This Row],[Category All]]="Category 2",Table13[[#This Row],[Base Abalone Value]]*0.8,NA())</f>
        <v>0.79368400000000006</v>
      </c>
      <c r="Z317" t="e">
        <f>IF(Table13[[#This Row],[Category All]]="Category 3",Table13[[#This Row],[Base Abalone Value]],NA())</f>
        <v>#N/A</v>
      </c>
      <c r="AA317" s="2">
        <f>IF(Table13[[#This Row],[Gender]]="M",Table13[[#This Row],[Whole_weight]],NA())</f>
        <v>0.85799999999999998</v>
      </c>
      <c r="AB317" s="2" t="e">
        <f>IF(Table13[[#This Row],[Gender]]="F",Table13[[#This Row],[Whole_weight]],NA())</f>
        <v>#N/A</v>
      </c>
      <c r="AC317" s="2" t="e">
        <f>IF(Table13[[#This Row],[Gender]]="I",Table13[[#This Row],[Whole_weight]],NA())</f>
        <v>#N/A</v>
      </c>
      <c r="AD317" s="2">
        <f>IF(Table13[[#This Row],[Gender]]="M",Table13[[#This Row],[Diameter]],NA())</f>
        <v>0.435</v>
      </c>
      <c r="AE317" s="2" t="e">
        <f>IF(Table13[[#This Row],[Gender]]="F",Table13[[#This Row],[Diameter]],NA())</f>
        <v>#N/A</v>
      </c>
      <c r="AF317" s="2" t="e">
        <f>IF(Table13[[#This Row],[Gender]]="I",Table13[[#This Row],[Diameter]],NA())</f>
        <v>#N/A</v>
      </c>
    </row>
    <row r="318" spans="1:32" x14ac:dyDescent="0.2">
      <c r="A318">
        <v>3357</v>
      </c>
      <c r="B318" t="s">
        <v>11</v>
      </c>
      <c r="C318">
        <v>0.39</v>
      </c>
      <c r="D318">
        <v>0.3</v>
      </c>
      <c r="E318">
        <v>0.1</v>
      </c>
      <c r="F318">
        <v>0.3085</v>
      </c>
      <c r="G318">
        <v>0.13850000000000001</v>
      </c>
      <c r="H318">
        <v>7.3499999999999996E-2</v>
      </c>
      <c r="I318">
        <v>8.5000000000000006E-2</v>
      </c>
      <c r="J318">
        <v>6</v>
      </c>
      <c r="K318">
        <v>1</v>
      </c>
      <c r="L318" t="s">
        <v>8</v>
      </c>
      <c r="M318" t="s">
        <v>9</v>
      </c>
      <c r="N318" t="s">
        <v>3</v>
      </c>
      <c r="O318">
        <v>3</v>
      </c>
      <c r="P318" t="s">
        <v>48</v>
      </c>
      <c r="Q318">
        <v>3.6</v>
      </c>
      <c r="R318" t="str" cm="1">
        <f t="array" ref="R3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8" t="e">
        <f>IF(Table13[[#This Row],[Category All]]="Category 1", "Yes",NA())</f>
        <v>#N/A</v>
      </c>
      <c r="T318" t="str">
        <f>IF(Table13[[#This Row],[Category All]]="Category 2", "Yes",NA())</f>
        <v>Yes</v>
      </c>
      <c r="U318" t="e">
        <f>IF(Table13[[#This Row],[Category All]]="Category 3", "Yes",NA())</f>
        <v>#N/A</v>
      </c>
      <c r="V318">
        <f>SUM(1,(1/3)*(Table13[[#This Row],[Length]]-0.5),(1/3)*(Table13[[#This Row],[Diameter]]-0.4),(1/3)*(Table13[[#This Row],[Height]]-0.4)*Table13[[#This Row],[Whole_weight]]*0.5)</f>
        <v>0.91457500000000003</v>
      </c>
      <c r="W318" cm="1">
        <f t="array" ref="W3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0.73166000000000009</v>
      </c>
      <c r="X318" t="e">
        <f>IF(Table13[[#This Row],[Category All]]="Category 1",Table13[[#This Row],[Base Abalone Value]]*1.5,NA())</f>
        <v>#N/A</v>
      </c>
      <c r="Y318">
        <f>IF(Table13[[#This Row],[Category All]]="Category 2",Table13[[#This Row],[Base Abalone Value]]*0.8,NA())</f>
        <v>0.73166000000000009</v>
      </c>
      <c r="Z318" t="e">
        <f>IF(Table13[[#This Row],[Category All]]="Category 3",Table13[[#This Row],[Base Abalone Value]],NA())</f>
        <v>#N/A</v>
      </c>
      <c r="AA318" s="2" t="e">
        <f>IF(Table13[[#This Row],[Gender]]="M",Table13[[#This Row],[Whole_weight]],NA())</f>
        <v>#N/A</v>
      </c>
      <c r="AB318" s="2" t="e">
        <f>IF(Table13[[#This Row],[Gender]]="F",Table13[[#This Row],[Whole_weight]],NA())</f>
        <v>#N/A</v>
      </c>
      <c r="AC318" s="2">
        <f>IF(Table13[[#This Row],[Gender]]="I",Table13[[#This Row],[Whole_weight]],NA())</f>
        <v>0.3085</v>
      </c>
      <c r="AD318" s="2" t="e">
        <f>IF(Table13[[#This Row],[Gender]]="M",Table13[[#This Row],[Diameter]],NA())</f>
        <v>#N/A</v>
      </c>
      <c r="AE318" s="2" t="e">
        <f>IF(Table13[[#This Row],[Gender]]="F",Table13[[#This Row],[Diameter]],NA())</f>
        <v>#N/A</v>
      </c>
      <c r="AF318" s="2">
        <f>IF(Table13[[#This Row],[Gender]]="I",Table13[[#This Row],[Diameter]],NA())</f>
        <v>0.3</v>
      </c>
    </row>
    <row r="319" spans="1:32" x14ac:dyDescent="0.2">
      <c r="A319">
        <v>3758</v>
      </c>
      <c r="B319" t="s">
        <v>11</v>
      </c>
      <c r="C319">
        <v>0.52</v>
      </c>
      <c r="D319">
        <v>0.41</v>
      </c>
      <c r="E319">
        <v>0.14000000000000001</v>
      </c>
      <c r="F319">
        <v>0.69899999999999995</v>
      </c>
      <c r="G319">
        <v>0.33950000000000002</v>
      </c>
      <c r="H319">
        <v>0.129</v>
      </c>
      <c r="I319">
        <v>0.19450000000000001</v>
      </c>
      <c r="J319">
        <v>10</v>
      </c>
      <c r="K319">
        <v>11</v>
      </c>
      <c r="L319" t="s">
        <v>5</v>
      </c>
      <c r="M319" t="s">
        <v>6</v>
      </c>
      <c r="N319" t="s">
        <v>3</v>
      </c>
      <c r="O319">
        <v>10</v>
      </c>
      <c r="P319" t="s">
        <v>38</v>
      </c>
      <c r="Q319">
        <v>24.1</v>
      </c>
      <c r="R319" t="str" cm="1">
        <f t="array" ref="R3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9" t="e">
        <f>IF(Table13[[#This Row],[Category All]]="Category 1", "Yes",NA())</f>
        <v>#N/A</v>
      </c>
      <c r="T319" t="str">
        <f>IF(Table13[[#This Row],[Category All]]="Category 2", "Yes",NA())</f>
        <v>Yes</v>
      </c>
      <c r="U319" t="e">
        <f>IF(Table13[[#This Row],[Category All]]="Category 3", "Yes",NA())</f>
        <v>#N/A</v>
      </c>
      <c r="V319">
        <f>SUM(1,(1/3)*(Table13[[#This Row],[Length]]-0.5),(1/3)*(Table13[[#This Row],[Diameter]]-0.4),(1/3)*(Table13[[#This Row],[Height]]-0.4)*Table13[[#This Row],[Whole_weight]]*0.5)</f>
        <v>0.97970999999999997</v>
      </c>
      <c r="W319" cm="1">
        <f t="array" ref="W3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0.78376800000000002</v>
      </c>
      <c r="X319" t="e">
        <f>IF(Table13[[#This Row],[Category All]]="Category 1",Table13[[#This Row],[Base Abalone Value]]*1.5,NA())</f>
        <v>#N/A</v>
      </c>
      <c r="Y319">
        <f>IF(Table13[[#This Row],[Category All]]="Category 2",Table13[[#This Row],[Base Abalone Value]]*0.8,NA())</f>
        <v>0.78376800000000002</v>
      </c>
      <c r="Z319" t="e">
        <f>IF(Table13[[#This Row],[Category All]]="Category 3",Table13[[#This Row],[Base Abalone Value]],NA())</f>
        <v>#N/A</v>
      </c>
      <c r="AA319" s="2" t="e">
        <f>IF(Table13[[#This Row],[Gender]]="M",Table13[[#This Row],[Whole_weight]],NA())</f>
        <v>#N/A</v>
      </c>
      <c r="AB319" s="2" t="e">
        <f>IF(Table13[[#This Row],[Gender]]="F",Table13[[#This Row],[Whole_weight]],NA())</f>
        <v>#N/A</v>
      </c>
      <c r="AC319" s="2">
        <f>IF(Table13[[#This Row],[Gender]]="I",Table13[[#This Row],[Whole_weight]],NA())</f>
        <v>0.69899999999999995</v>
      </c>
      <c r="AD319" s="2" t="e">
        <f>IF(Table13[[#This Row],[Gender]]="M",Table13[[#This Row],[Diameter]],NA())</f>
        <v>#N/A</v>
      </c>
      <c r="AE319" s="2" t="e">
        <f>IF(Table13[[#This Row],[Gender]]="F",Table13[[#This Row],[Diameter]],NA())</f>
        <v>#N/A</v>
      </c>
      <c r="AF319" s="2">
        <f>IF(Table13[[#This Row],[Gender]]="I",Table13[[#This Row],[Diameter]],NA())</f>
        <v>0.41</v>
      </c>
    </row>
    <row r="320" spans="1:32" x14ac:dyDescent="0.2">
      <c r="A320">
        <v>331</v>
      </c>
      <c r="B320" t="s">
        <v>15</v>
      </c>
      <c r="C320">
        <v>0.5</v>
      </c>
      <c r="D320">
        <v>0.38</v>
      </c>
      <c r="E320">
        <v>0.155</v>
      </c>
      <c r="F320">
        <v>0.59550000000000003</v>
      </c>
      <c r="G320">
        <v>0.2135</v>
      </c>
      <c r="H320">
        <v>0.161</v>
      </c>
      <c r="I320">
        <v>0.2</v>
      </c>
      <c r="J320">
        <v>12</v>
      </c>
      <c r="K320">
        <v>15</v>
      </c>
      <c r="L320" t="s">
        <v>49</v>
      </c>
      <c r="M320" t="s">
        <v>50</v>
      </c>
      <c r="N320" t="s">
        <v>3</v>
      </c>
      <c r="O320">
        <v>4</v>
      </c>
      <c r="P320" t="s">
        <v>10</v>
      </c>
      <c r="Q320">
        <v>6.1</v>
      </c>
      <c r="R320" t="str" cm="1">
        <f t="array" ref="R3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0" t="e">
        <f>IF(Table13[[#This Row],[Category All]]="Category 1", "Yes",NA())</f>
        <v>#N/A</v>
      </c>
      <c r="T320" t="str">
        <f>IF(Table13[[#This Row],[Category All]]="Category 2", "Yes",NA())</f>
        <v>Yes</v>
      </c>
      <c r="U320" t="e">
        <f>IF(Table13[[#This Row],[Category All]]="Category 3", "Yes",NA())</f>
        <v>#N/A</v>
      </c>
      <c r="V320">
        <f>SUM(1,(1/3)*(Table13[[#This Row],[Length]]-0.5),(1/3)*(Table13[[#This Row],[Diameter]]-0.4),(1/3)*(Table13[[#This Row],[Height]]-0.4)*Table13[[#This Row],[Whole_weight]]*0.5)</f>
        <v>0.96901708333333325</v>
      </c>
      <c r="W320" cm="1">
        <f t="array" ref="W3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0.77521366666666669</v>
      </c>
      <c r="X320" t="e">
        <f>IF(Table13[[#This Row],[Category All]]="Category 1",Table13[[#This Row],[Base Abalone Value]]*1.5,NA())</f>
        <v>#N/A</v>
      </c>
      <c r="Y320">
        <f>IF(Table13[[#This Row],[Category All]]="Category 2",Table13[[#This Row],[Base Abalone Value]]*0.8,NA())</f>
        <v>0.77521366666666669</v>
      </c>
      <c r="Z320" t="e">
        <f>IF(Table13[[#This Row],[Category All]]="Category 3",Table13[[#This Row],[Base Abalone Value]],NA())</f>
        <v>#N/A</v>
      </c>
      <c r="AA320" s="2">
        <f>IF(Table13[[#This Row],[Gender]]="M",Table13[[#This Row],[Whole_weight]],NA())</f>
        <v>0.59550000000000003</v>
      </c>
      <c r="AB320" s="2" t="e">
        <f>IF(Table13[[#This Row],[Gender]]="F",Table13[[#This Row],[Whole_weight]],NA())</f>
        <v>#N/A</v>
      </c>
      <c r="AC320" s="2" t="e">
        <f>IF(Table13[[#This Row],[Gender]]="I",Table13[[#This Row],[Whole_weight]],NA())</f>
        <v>#N/A</v>
      </c>
      <c r="AD320" s="2">
        <f>IF(Table13[[#This Row],[Gender]]="M",Table13[[#This Row],[Diameter]],NA())</f>
        <v>0.38</v>
      </c>
      <c r="AE320" s="2" t="e">
        <f>IF(Table13[[#This Row],[Gender]]="F",Table13[[#This Row],[Diameter]],NA())</f>
        <v>#N/A</v>
      </c>
      <c r="AF320" s="2" t="e">
        <f>IF(Table13[[#This Row],[Gender]]="I",Table13[[#This Row],[Diameter]],NA())</f>
        <v>#N/A</v>
      </c>
    </row>
    <row r="321" spans="1:32" x14ac:dyDescent="0.2">
      <c r="A321">
        <v>3381</v>
      </c>
      <c r="B321" t="s">
        <v>11</v>
      </c>
      <c r="C321">
        <v>0.19</v>
      </c>
      <c r="D321">
        <v>0.13</v>
      </c>
      <c r="E321">
        <v>4.4999999999999998E-2</v>
      </c>
      <c r="F321">
        <v>2.6499999999999999E-2</v>
      </c>
      <c r="G321">
        <v>8.9999999999999993E-3</v>
      </c>
      <c r="H321">
        <v>5.0000000000000001E-3</v>
      </c>
      <c r="I321">
        <v>8.9999999999999993E-3</v>
      </c>
      <c r="J321">
        <v>5</v>
      </c>
      <c r="K321">
        <v>9</v>
      </c>
      <c r="L321" t="s">
        <v>20</v>
      </c>
      <c r="M321" t="s">
        <v>21</v>
      </c>
      <c r="N321" t="s">
        <v>22</v>
      </c>
      <c r="O321">
        <v>5</v>
      </c>
      <c r="P321" t="s">
        <v>14</v>
      </c>
      <c r="Q321">
        <v>12.8</v>
      </c>
      <c r="R321" t="str" cm="1">
        <f t="array" ref="R3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1" t="e">
        <f>IF(Table13[[#This Row],[Category All]]="Category 1", "Yes",NA())</f>
        <v>#N/A</v>
      </c>
      <c r="T321" t="str">
        <f>IF(Table13[[#This Row],[Category All]]="Category 2", "Yes",NA())</f>
        <v>Yes</v>
      </c>
      <c r="U321" t="e">
        <f>IF(Table13[[#This Row],[Category All]]="Category 3", "Yes",NA())</f>
        <v>#N/A</v>
      </c>
      <c r="V321">
        <f>SUM(1,(1/3)*(Table13[[#This Row],[Length]]-0.5),(1/3)*(Table13[[#This Row],[Diameter]]-0.4),(1/3)*(Table13[[#This Row],[Height]]-0.4)*Table13[[#This Row],[Whole_weight]]*0.5)</f>
        <v>0.80509875000000009</v>
      </c>
      <c r="W321" cm="1">
        <f t="array" ref="W3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0.64407900000000007</v>
      </c>
      <c r="X321" t="e">
        <f>IF(Table13[[#This Row],[Category All]]="Category 1",Table13[[#This Row],[Base Abalone Value]]*1.5,NA())</f>
        <v>#N/A</v>
      </c>
      <c r="Y321">
        <f>IF(Table13[[#This Row],[Category All]]="Category 2",Table13[[#This Row],[Base Abalone Value]]*0.8,NA())</f>
        <v>0.64407900000000007</v>
      </c>
      <c r="Z321" t="e">
        <f>IF(Table13[[#This Row],[Category All]]="Category 3",Table13[[#This Row],[Base Abalone Value]],NA())</f>
        <v>#N/A</v>
      </c>
      <c r="AA321" s="2" t="e">
        <f>IF(Table13[[#This Row],[Gender]]="M",Table13[[#This Row],[Whole_weight]],NA())</f>
        <v>#N/A</v>
      </c>
      <c r="AB321" s="2" t="e">
        <f>IF(Table13[[#This Row],[Gender]]="F",Table13[[#This Row],[Whole_weight]],NA())</f>
        <v>#N/A</v>
      </c>
      <c r="AC321" s="2">
        <f>IF(Table13[[#This Row],[Gender]]="I",Table13[[#This Row],[Whole_weight]],NA())</f>
        <v>2.6499999999999999E-2</v>
      </c>
      <c r="AD321" s="2" t="e">
        <f>IF(Table13[[#This Row],[Gender]]="M",Table13[[#This Row],[Diameter]],NA())</f>
        <v>#N/A</v>
      </c>
      <c r="AE321" s="2" t="e">
        <f>IF(Table13[[#This Row],[Gender]]="F",Table13[[#This Row],[Diameter]],NA())</f>
        <v>#N/A</v>
      </c>
      <c r="AF321" s="2">
        <f>IF(Table13[[#This Row],[Gender]]="I",Table13[[#This Row],[Diameter]],NA())</f>
        <v>0.13</v>
      </c>
    </row>
    <row r="322" spans="1:32" x14ac:dyDescent="0.2">
      <c r="A322">
        <v>347</v>
      </c>
      <c r="B322" t="s">
        <v>0</v>
      </c>
      <c r="C322">
        <v>0.52500000000000002</v>
      </c>
      <c r="D322">
        <v>0.42</v>
      </c>
      <c r="E322">
        <v>0.16</v>
      </c>
      <c r="F322">
        <v>0.75600000000000001</v>
      </c>
      <c r="G322">
        <v>0.27450000000000002</v>
      </c>
      <c r="H322">
        <v>0.17299999999999999</v>
      </c>
      <c r="I322">
        <v>0.27500000000000002</v>
      </c>
      <c r="J322">
        <v>9</v>
      </c>
      <c r="K322">
        <v>1</v>
      </c>
      <c r="L322" t="s">
        <v>8</v>
      </c>
      <c r="M322" t="s">
        <v>9</v>
      </c>
      <c r="N322" t="s">
        <v>3</v>
      </c>
      <c r="O322">
        <v>5</v>
      </c>
      <c r="P322" t="s">
        <v>14</v>
      </c>
      <c r="Q322">
        <v>12.8</v>
      </c>
      <c r="R322" t="str" cm="1">
        <f t="array" ref="R3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2" t="e">
        <f>IF(Table13[[#This Row],[Category All]]="Category 1", "Yes",NA())</f>
        <v>#N/A</v>
      </c>
      <c r="T322" t="str">
        <f>IF(Table13[[#This Row],[Category All]]="Category 2", "Yes",NA())</f>
        <v>Yes</v>
      </c>
      <c r="U322" t="e">
        <f>IF(Table13[[#This Row],[Category All]]="Category 3", "Yes",NA())</f>
        <v>#N/A</v>
      </c>
      <c r="V322">
        <f>SUM(1,(1/3)*(Table13[[#This Row],[Length]]-0.5),(1/3)*(Table13[[#This Row],[Diameter]]-0.4),(1/3)*(Table13[[#This Row],[Height]]-0.4)*Table13[[#This Row],[Whole_weight]]*0.5)</f>
        <v>0.98475999999999986</v>
      </c>
      <c r="W322" cm="1">
        <f t="array" ref="W3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0.78780799999999995</v>
      </c>
      <c r="X322" t="e">
        <f>IF(Table13[[#This Row],[Category All]]="Category 1",Table13[[#This Row],[Base Abalone Value]]*1.5,NA())</f>
        <v>#N/A</v>
      </c>
      <c r="Y322">
        <f>IF(Table13[[#This Row],[Category All]]="Category 2",Table13[[#This Row],[Base Abalone Value]]*0.8,NA())</f>
        <v>0.78780799999999995</v>
      </c>
      <c r="Z322" t="e">
        <f>IF(Table13[[#This Row],[Category All]]="Category 3",Table13[[#This Row],[Base Abalone Value]],NA())</f>
        <v>#N/A</v>
      </c>
      <c r="AA322" s="2" t="e">
        <f>IF(Table13[[#This Row],[Gender]]="M",Table13[[#This Row],[Whole_weight]],NA())</f>
        <v>#N/A</v>
      </c>
      <c r="AB322" s="2">
        <f>IF(Table13[[#This Row],[Gender]]="F",Table13[[#This Row],[Whole_weight]],NA())</f>
        <v>0.75600000000000001</v>
      </c>
      <c r="AC322" s="2" t="e">
        <f>IF(Table13[[#This Row],[Gender]]="I",Table13[[#This Row],[Whole_weight]],NA())</f>
        <v>#N/A</v>
      </c>
      <c r="AD322" s="2" t="e">
        <f>IF(Table13[[#This Row],[Gender]]="M",Table13[[#This Row],[Diameter]],NA())</f>
        <v>#N/A</v>
      </c>
      <c r="AE322" s="2">
        <f>IF(Table13[[#This Row],[Gender]]="F",Table13[[#This Row],[Diameter]],NA())</f>
        <v>0.42</v>
      </c>
      <c r="AF322" s="2" t="e">
        <f>IF(Table13[[#This Row],[Gender]]="I",Table13[[#This Row],[Diameter]],NA())</f>
        <v>#N/A</v>
      </c>
    </row>
    <row r="323" spans="1:32" x14ac:dyDescent="0.2">
      <c r="A323">
        <v>3239</v>
      </c>
      <c r="B323" t="s">
        <v>15</v>
      </c>
      <c r="C323">
        <v>0.69499999999999995</v>
      </c>
      <c r="D323">
        <v>0.53</v>
      </c>
      <c r="E323">
        <v>0.15</v>
      </c>
      <c r="F323">
        <v>1.4770000000000001</v>
      </c>
      <c r="G323">
        <v>0.63749999999999996</v>
      </c>
      <c r="H323">
        <v>0.30249999999999999</v>
      </c>
      <c r="I323">
        <v>0.43</v>
      </c>
      <c r="J323">
        <v>14</v>
      </c>
      <c r="K323">
        <v>11</v>
      </c>
      <c r="L323" t="s">
        <v>5</v>
      </c>
      <c r="M323" t="s">
        <v>6</v>
      </c>
      <c r="N323" t="s">
        <v>3</v>
      </c>
      <c r="O323">
        <v>3</v>
      </c>
      <c r="P323" t="s">
        <v>48</v>
      </c>
      <c r="Q323">
        <v>3.6</v>
      </c>
      <c r="R323" t="str" cm="1">
        <f t="array" ref="R3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23" t="e">
        <f>IF(Table13[[#This Row],[Category All]]="Category 1", "Yes",NA())</f>
        <v>#N/A</v>
      </c>
      <c r="T323" t="e">
        <f>IF(Table13[[#This Row],[Category All]]="Category 2", "Yes",NA())</f>
        <v>#N/A</v>
      </c>
      <c r="U323" t="str">
        <f>IF(Table13[[#This Row],[Category All]]="Category 3", "Yes",NA())</f>
        <v>Yes</v>
      </c>
      <c r="V323">
        <f>SUM(1,(1/3)*(Table13[[#This Row],[Length]]-0.5),(1/3)*(Table13[[#This Row],[Diameter]]-0.4),(1/3)*(Table13[[#This Row],[Height]]-0.4)*Table13[[#This Row],[Whole_weight]]*0.5)</f>
        <v>1.0467916666666668</v>
      </c>
      <c r="W323" cm="1">
        <f t="array" ref="W3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1.0467916666666668</v>
      </c>
      <c r="X323" t="e">
        <f>IF(Table13[[#This Row],[Category All]]="Category 1",Table13[[#This Row],[Base Abalone Value]]*1.5,NA())</f>
        <v>#N/A</v>
      </c>
      <c r="Y323" t="e">
        <f>IF(Table13[[#This Row],[Category All]]="Category 2",Table13[[#This Row],[Base Abalone Value]]*0.8,NA())</f>
        <v>#N/A</v>
      </c>
      <c r="Z323">
        <f>IF(Table13[[#This Row],[Category All]]="Category 3",Table13[[#This Row],[Base Abalone Value]],NA())</f>
        <v>1.0467916666666668</v>
      </c>
      <c r="AA323" s="2">
        <f>IF(Table13[[#This Row],[Gender]]="M",Table13[[#This Row],[Whole_weight]],NA())</f>
        <v>1.4770000000000001</v>
      </c>
      <c r="AB323" s="2" t="e">
        <f>IF(Table13[[#This Row],[Gender]]="F",Table13[[#This Row],[Whole_weight]],NA())</f>
        <v>#N/A</v>
      </c>
      <c r="AC323" s="2" t="e">
        <f>IF(Table13[[#This Row],[Gender]]="I",Table13[[#This Row],[Whole_weight]],NA())</f>
        <v>#N/A</v>
      </c>
      <c r="AD323" s="2">
        <f>IF(Table13[[#This Row],[Gender]]="M",Table13[[#This Row],[Diameter]],NA())</f>
        <v>0.53</v>
      </c>
      <c r="AE323" s="2" t="e">
        <f>IF(Table13[[#This Row],[Gender]]="F",Table13[[#This Row],[Diameter]],NA())</f>
        <v>#N/A</v>
      </c>
      <c r="AF323" s="2" t="e">
        <f>IF(Table13[[#This Row],[Gender]]="I",Table13[[#This Row],[Diameter]],NA())</f>
        <v>#N/A</v>
      </c>
    </row>
    <row r="324" spans="1:32" x14ac:dyDescent="0.2">
      <c r="A324">
        <v>647</v>
      </c>
      <c r="B324" t="s">
        <v>15</v>
      </c>
      <c r="C324">
        <v>0.33</v>
      </c>
      <c r="D324">
        <v>0.215</v>
      </c>
      <c r="E324">
        <v>7.4999999999999997E-2</v>
      </c>
      <c r="F324">
        <v>0.1145</v>
      </c>
      <c r="G324">
        <v>4.4999999999999998E-2</v>
      </c>
      <c r="H324">
        <v>2.6499999999999999E-2</v>
      </c>
      <c r="I324">
        <v>3.5000000000000003E-2</v>
      </c>
      <c r="J324">
        <v>6</v>
      </c>
      <c r="K324">
        <v>11</v>
      </c>
      <c r="L324" t="s">
        <v>5</v>
      </c>
      <c r="M324" t="s">
        <v>6</v>
      </c>
      <c r="N324" t="s">
        <v>3</v>
      </c>
      <c r="O324">
        <v>1</v>
      </c>
      <c r="P324" t="s">
        <v>4</v>
      </c>
      <c r="Q324">
        <v>22.1</v>
      </c>
      <c r="R324" t="str" cm="1">
        <f t="array" ref="R3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4" t="e">
        <f>IF(Table13[[#This Row],[Category All]]="Category 1", "Yes",NA())</f>
        <v>#N/A</v>
      </c>
      <c r="T324" t="str">
        <f>IF(Table13[[#This Row],[Category All]]="Category 2", "Yes",NA())</f>
        <v>Yes</v>
      </c>
      <c r="U324" t="e">
        <f>IF(Table13[[#This Row],[Category All]]="Category 3", "Yes",NA())</f>
        <v>#N/A</v>
      </c>
      <c r="V324">
        <f>SUM(1,(1/3)*(Table13[[#This Row],[Length]]-0.5),(1/3)*(Table13[[#This Row],[Diameter]]-0.4),(1/3)*(Table13[[#This Row],[Height]]-0.4)*Table13[[#This Row],[Whole_weight]]*0.5)</f>
        <v>0.87546458333333332</v>
      </c>
      <c r="W324" cm="1">
        <f t="array" ref="W3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0.70037166666666673</v>
      </c>
      <c r="X324" t="e">
        <f>IF(Table13[[#This Row],[Category All]]="Category 1",Table13[[#This Row],[Base Abalone Value]]*1.5,NA())</f>
        <v>#N/A</v>
      </c>
      <c r="Y324">
        <f>IF(Table13[[#This Row],[Category All]]="Category 2",Table13[[#This Row],[Base Abalone Value]]*0.8,NA())</f>
        <v>0.70037166666666673</v>
      </c>
      <c r="Z324" t="e">
        <f>IF(Table13[[#This Row],[Category All]]="Category 3",Table13[[#This Row],[Base Abalone Value]],NA())</f>
        <v>#N/A</v>
      </c>
      <c r="AA324" s="2">
        <f>IF(Table13[[#This Row],[Gender]]="M",Table13[[#This Row],[Whole_weight]],NA())</f>
        <v>0.1145</v>
      </c>
      <c r="AB324" s="2" t="e">
        <f>IF(Table13[[#This Row],[Gender]]="F",Table13[[#This Row],[Whole_weight]],NA())</f>
        <v>#N/A</v>
      </c>
      <c r="AC324" s="2" t="e">
        <f>IF(Table13[[#This Row],[Gender]]="I",Table13[[#This Row],[Whole_weight]],NA())</f>
        <v>#N/A</v>
      </c>
      <c r="AD324" s="2">
        <f>IF(Table13[[#This Row],[Gender]]="M",Table13[[#This Row],[Diameter]],NA())</f>
        <v>0.215</v>
      </c>
      <c r="AE324" s="2" t="e">
        <f>IF(Table13[[#This Row],[Gender]]="F",Table13[[#This Row],[Diameter]],NA())</f>
        <v>#N/A</v>
      </c>
      <c r="AF324" s="2" t="e">
        <f>IF(Table13[[#This Row],[Gender]]="I",Table13[[#This Row],[Diameter]],NA())</f>
        <v>#N/A</v>
      </c>
    </row>
    <row r="325" spans="1:32" x14ac:dyDescent="0.2">
      <c r="A325">
        <v>39</v>
      </c>
      <c r="B325" t="s">
        <v>0</v>
      </c>
      <c r="C325">
        <v>0.57499999999999996</v>
      </c>
      <c r="D325">
        <v>0.44500000000000001</v>
      </c>
      <c r="E325">
        <v>0.13500000000000001</v>
      </c>
      <c r="F325">
        <v>0.88300000000000001</v>
      </c>
      <c r="G325">
        <v>0.38100000000000001</v>
      </c>
      <c r="H325">
        <v>0.20349999999999999</v>
      </c>
      <c r="I325">
        <v>0.26</v>
      </c>
      <c r="J325">
        <v>11</v>
      </c>
      <c r="K325">
        <v>14</v>
      </c>
      <c r="L325" t="s">
        <v>23</v>
      </c>
      <c r="M325" t="s">
        <v>24</v>
      </c>
      <c r="N325" t="s">
        <v>25</v>
      </c>
      <c r="O325">
        <v>10</v>
      </c>
      <c r="P325" t="s">
        <v>38</v>
      </c>
      <c r="Q325">
        <v>24.1</v>
      </c>
      <c r="R325" t="str" cm="1">
        <f t="array" ref="R3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5" t="e">
        <f>IF(Table13[[#This Row],[Category All]]="Category 1", "Yes",NA())</f>
        <v>#N/A</v>
      </c>
      <c r="T325" t="str">
        <f>IF(Table13[[#This Row],[Category All]]="Category 2", "Yes",NA())</f>
        <v>Yes</v>
      </c>
      <c r="U325" t="e">
        <f>IF(Table13[[#This Row],[Category All]]="Category 3", "Yes",NA())</f>
        <v>#N/A</v>
      </c>
      <c r="V325">
        <f>SUM(1,(1/3)*(Table13[[#This Row],[Length]]-0.5),(1/3)*(Table13[[#This Row],[Diameter]]-0.4),(1/3)*(Table13[[#This Row],[Height]]-0.4)*Table13[[#This Row],[Whole_weight]]*0.5)</f>
        <v>1.0010008333333331</v>
      </c>
      <c r="W325" cm="1">
        <f t="array" ref="W3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0.80080066666666649</v>
      </c>
      <c r="X325" t="e">
        <f>IF(Table13[[#This Row],[Category All]]="Category 1",Table13[[#This Row],[Base Abalone Value]]*1.5,NA())</f>
        <v>#N/A</v>
      </c>
      <c r="Y325">
        <f>IF(Table13[[#This Row],[Category All]]="Category 2",Table13[[#This Row],[Base Abalone Value]]*0.8,NA())</f>
        <v>0.80080066666666649</v>
      </c>
      <c r="Z325" t="e">
        <f>IF(Table13[[#This Row],[Category All]]="Category 3",Table13[[#This Row],[Base Abalone Value]],NA())</f>
        <v>#N/A</v>
      </c>
      <c r="AA325" s="2" t="e">
        <f>IF(Table13[[#This Row],[Gender]]="M",Table13[[#This Row],[Whole_weight]],NA())</f>
        <v>#N/A</v>
      </c>
      <c r="AB325" s="2">
        <f>IF(Table13[[#This Row],[Gender]]="F",Table13[[#This Row],[Whole_weight]],NA())</f>
        <v>0.88300000000000001</v>
      </c>
      <c r="AC325" s="2" t="e">
        <f>IF(Table13[[#This Row],[Gender]]="I",Table13[[#This Row],[Whole_weight]],NA())</f>
        <v>#N/A</v>
      </c>
      <c r="AD325" s="2" t="e">
        <f>IF(Table13[[#This Row],[Gender]]="M",Table13[[#This Row],[Diameter]],NA())</f>
        <v>#N/A</v>
      </c>
      <c r="AE325" s="2">
        <f>IF(Table13[[#This Row],[Gender]]="F",Table13[[#This Row],[Diameter]],NA())</f>
        <v>0.44500000000000001</v>
      </c>
      <c r="AF325" s="2" t="e">
        <f>IF(Table13[[#This Row],[Gender]]="I",Table13[[#This Row],[Diameter]],NA())</f>
        <v>#N/A</v>
      </c>
    </row>
    <row r="326" spans="1:32" x14ac:dyDescent="0.2">
      <c r="A326">
        <v>2105</v>
      </c>
      <c r="B326" t="s">
        <v>0</v>
      </c>
      <c r="C326">
        <v>0.49</v>
      </c>
      <c r="D326">
        <v>0.38500000000000001</v>
      </c>
      <c r="E326">
        <v>0.125</v>
      </c>
      <c r="F326">
        <v>0.53949999999999998</v>
      </c>
      <c r="G326">
        <v>0.2175</v>
      </c>
      <c r="H326">
        <v>0.128</v>
      </c>
      <c r="I326">
        <v>0.16500000000000001</v>
      </c>
      <c r="J326">
        <v>11</v>
      </c>
      <c r="K326">
        <v>12</v>
      </c>
      <c r="L326" t="s">
        <v>1</v>
      </c>
      <c r="M326" t="s">
        <v>2</v>
      </c>
      <c r="N326" t="s">
        <v>3</v>
      </c>
      <c r="O326">
        <v>6</v>
      </c>
      <c r="P326" t="s">
        <v>47</v>
      </c>
      <c r="Q326">
        <v>14.1</v>
      </c>
      <c r="R326" t="str" cm="1">
        <f t="array" ref="R3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6" t="e">
        <f>IF(Table13[[#This Row],[Category All]]="Category 1", "Yes",NA())</f>
        <v>#N/A</v>
      </c>
      <c r="T326" t="str">
        <f>IF(Table13[[#This Row],[Category All]]="Category 2", "Yes",NA())</f>
        <v>Yes</v>
      </c>
      <c r="U326" t="e">
        <f>IF(Table13[[#This Row],[Category All]]="Category 3", "Yes",NA())</f>
        <v>#N/A</v>
      </c>
      <c r="V326">
        <f>SUM(1,(1/3)*(Table13[[#This Row],[Length]]-0.5),(1/3)*(Table13[[#This Row],[Diameter]]-0.4),(1/3)*(Table13[[#This Row],[Height]]-0.4)*Table13[[#This Row],[Whole_weight]]*0.5)</f>
        <v>0.96693958333333341</v>
      </c>
      <c r="W326" cm="1">
        <f t="array" ref="W3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0.77355166666666675</v>
      </c>
      <c r="X326" t="e">
        <f>IF(Table13[[#This Row],[Category All]]="Category 1",Table13[[#This Row],[Base Abalone Value]]*1.5,NA())</f>
        <v>#N/A</v>
      </c>
      <c r="Y326">
        <f>IF(Table13[[#This Row],[Category All]]="Category 2",Table13[[#This Row],[Base Abalone Value]]*0.8,NA())</f>
        <v>0.77355166666666675</v>
      </c>
      <c r="Z326" t="e">
        <f>IF(Table13[[#This Row],[Category All]]="Category 3",Table13[[#This Row],[Base Abalone Value]],NA())</f>
        <v>#N/A</v>
      </c>
      <c r="AA326" s="2" t="e">
        <f>IF(Table13[[#This Row],[Gender]]="M",Table13[[#This Row],[Whole_weight]],NA())</f>
        <v>#N/A</v>
      </c>
      <c r="AB326" s="2">
        <f>IF(Table13[[#This Row],[Gender]]="F",Table13[[#This Row],[Whole_weight]],NA())</f>
        <v>0.53949999999999998</v>
      </c>
      <c r="AC326" s="2" t="e">
        <f>IF(Table13[[#This Row],[Gender]]="I",Table13[[#This Row],[Whole_weight]],NA())</f>
        <v>#N/A</v>
      </c>
      <c r="AD326" s="2" t="e">
        <f>IF(Table13[[#This Row],[Gender]]="M",Table13[[#This Row],[Diameter]],NA())</f>
        <v>#N/A</v>
      </c>
      <c r="AE326" s="2">
        <f>IF(Table13[[#This Row],[Gender]]="F",Table13[[#This Row],[Diameter]],NA())</f>
        <v>0.38500000000000001</v>
      </c>
      <c r="AF326" s="2" t="e">
        <f>IF(Table13[[#This Row],[Gender]]="I",Table13[[#This Row],[Diameter]],NA())</f>
        <v>#N/A</v>
      </c>
    </row>
    <row r="327" spans="1:32" x14ac:dyDescent="0.2">
      <c r="A327">
        <v>1119</v>
      </c>
      <c r="B327" t="s">
        <v>11</v>
      </c>
      <c r="C327">
        <v>0.53500000000000003</v>
      </c>
      <c r="D327">
        <v>0.39</v>
      </c>
      <c r="E327">
        <v>0.125</v>
      </c>
      <c r="F327">
        <v>0.59899999999999998</v>
      </c>
      <c r="G327">
        <v>0.25950000000000001</v>
      </c>
      <c r="H327">
        <v>0.14899999999999999</v>
      </c>
      <c r="I327">
        <v>0.16900000000000001</v>
      </c>
      <c r="J327">
        <v>9</v>
      </c>
      <c r="K327">
        <v>2</v>
      </c>
      <c r="L327" t="s">
        <v>32</v>
      </c>
      <c r="M327" t="s">
        <v>33</v>
      </c>
      <c r="N327" t="s">
        <v>34</v>
      </c>
      <c r="O327">
        <v>8</v>
      </c>
      <c r="P327" t="s">
        <v>19</v>
      </c>
      <c r="Q327">
        <v>12.3</v>
      </c>
      <c r="R327" t="str" cm="1">
        <f t="array" ref="R3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7" t="e">
        <f>IF(Table13[[#This Row],[Category All]]="Category 1", "Yes",NA())</f>
        <v>#N/A</v>
      </c>
      <c r="T327" t="str">
        <f>IF(Table13[[#This Row],[Category All]]="Category 2", "Yes",NA())</f>
        <v>Yes</v>
      </c>
      <c r="U327" t="e">
        <f>IF(Table13[[#This Row],[Category All]]="Category 3", "Yes",NA())</f>
        <v>#N/A</v>
      </c>
      <c r="V327">
        <f>SUM(1,(1/3)*(Table13[[#This Row],[Length]]-0.5),(1/3)*(Table13[[#This Row],[Diameter]]-0.4),(1/3)*(Table13[[#This Row],[Height]]-0.4)*Table13[[#This Row],[Whole_weight]]*0.5)</f>
        <v>0.98087916666666664</v>
      </c>
      <c r="W327" cm="1">
        <f t="array" ref="W3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0.78470333333333331</v>
      </c>
      <c r="X327" t="e">
        <f>IF(Table13[[#This Row],[Category All]]="Category 1",Table13[[#This Row],[Base Abalone Value]]*1.5,NA())</f>
        <v>#N/A</v>
      </c>
      <c r="Y327">
        <f>IF(Table13[[#This Row],[Category All]]="Category 2",Table13[[#This Row],[Base Abalone Value]]*0.8,NA())</f>
        <v>0.78470333333333331</v>
      </c>
      <c r="Z327" t="e">
        <f>IF(Table13[[#This Row],[Category All]]="Category 3",Table13[[#This Row],[Base Abalone Value]],NA())</f>
        <v>#N/A</v>
      </c>
      <c r="AA327" s="2" t="e">
        <f>IF(Table13[[#This Row],[Gender]]="M",Table13[[#This Row],[Whole_weight]],NA())</f>
        <v>#N/A</v>
      </c>
      <c r="AB327" s="2" t="e">
        <f>IF(Table13[[#This Row],[Gender]]="F",Table13[[#This Row],[Whole_weight]],NA())</f>
        <v>#N/A</v>
      </c>
      <c r="AC327" s="2">
        <f>IF(Table13[[#This Row],[Gender]]="I",Table13[[#This Row],[Whole_weight]],NA())</f>
        <v>0.59899999999999998</v>
      </c>
      <c r="AD327" s="2" t="e">
        <f>IF(Table13[[#This Row],[Gender]]="M",Table13[[#This Row],[Diameter]],NA())</f>
        <v>#N/A</v>
      </c>
      <c r="AE327" s="2" t="e">
        <f>IF(Table13[[#This Row],[Gender]]="F",Table13[[#This Row],[Diameter]],NA())</f>
        <v>#N/A</v>
      </c>
      <c r="AF327" s="2">
        <f>IF(Table13[[#This Row],[Gender]]="I",Table13[[#This Row],[Diameter]],NA())</f>
        <v>0.39</v>
      </c>
    </row>
    <row r="328" spans="1:32" x14ac:dyDescent="0.2">
      <c r="A328">
        <v>543</v>
      </c>
      <c r="B328" t="s">
        <v>15</v>
      </c>
      <c r="C328">
        <v>0.42</v>
      </c>
      <c r="D328">
        <v>0.32500000000000001</v>
      </c>
      <c r="E328">
        <v>0.115</v>
      </c>
      <c r="F328">
        <v>0.28849999999999998</v>
      </c>
      <c r="G328">
        <v>0.1</v>
      </c>
      <c r="H328">
        <v>5.7000000000000002E-2</v>
      </c>
      <c r="I328">
        <v>0.1135</v>
      </c>
      <c r="J328">
        <v>15</v>
      </c>
      <c r="K328">
        <v>1</v>
      </c>
      <c r="L328" t="s">
        <v>8</v>
      </c>
      <c r="M328" t="s">
        <v>9</v>
      </c>
      <c r="N328" t="s">
        <v>3</v>
      </c>
      <c r="O328">
        <v>9</v>
      </c>
      <c r="P328" t="s">
        <v>46</v>
      </c>
      <c r="Q328">
        <v>1.9</v>
      </c>
      <c r="R328" t="str" cm="1">
        <f t="array" ref="R3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8" t="e">
        <f>IF(Table13[[#This Row],[Category All]]="Category 1", "Yes",NA())</f>
        <v>#N/A</v>
      </c>
      <c r="T328" t="str">
        <f>IF(Table13[[#This Row],[Category All]]="Category 2", "Yes",NA())</f>
        <v>Yes</v>
      </c>
      <c r="U328" t="e">
        <f>IF(Table13[[#This Row],[Category All]]="Category 3", "Yes",NA())</f>
        <v>#N/A</v>
      </c>
      <c r="V328">
        <f>SUM(1,(1/3)*(Table13[[#This Row],[Length]]-0.5),(1/3)*(Table13[[#This Row],[Diameter]]-0.4),(1/3)*(Table13[[#This Row],[Height]]-0.4)*Table13[[#This Row],[Whole_weight]]*0.5)</f>
        <v>0.93462958333333335</v>
      </c>
      <c r="W328" cm="1">
        <f t="array" ref="W3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0.74770366666666677</v>
      </c>
      <c r="X328" t="e">
        <f>IF(Table13[[#This Row],[Category All]]="Category 1",Table13[[#This Row],[Base Abalone Value]]*1.5,NA())</f>
        <v>#N/A</v>
      </c>
      <c r="Y328">
        <f>IF(Table13[[#This Row],[Category All]]="Category 2",Table13[[#This Row],[Base Abalone Value]]*0.8,NA())</f>
        <v>0.74770366666666677</v>
      </c>
      <c r="Z328" t="e">
        <f>IF(Table13[[#This Row],[Category All]]="Category 3",Table13[[#This Row],[Base Abalone Value]],NA())</f>
        <v>#N/A</v>
      </c>
      <c r="AA328" s="2">
        <f>IF(Table13[[#This Row],[Gender]]="M",Table13[[#This Row],[Whole_weight]],NA())</f>
        <v>0.28849999999999998</v>
      </c>
      <c r="AB328" s="2" t="e">
        <f>IF(Table13[[#This Row],[Gender]]="F",Table13[[#This Row],[Whole_weight]],NA())</f>
        <v>#N/A</v>
      </c>
      <c r="AC328" s="2" t="e">
        <f>IF(Table13[[#This Row],[Gender]]="I",Table13[[#This Row],[Whole_weight]],NA())</f>
        <v>#N/A</v>
      </c>
      <c r="AD328" s="2">
        <f>IF(Table13[[#This Row],[Gender]]="M",Table13[[#This Row],[Diameter]],NA())</f>
        <v>0.32500000000000001</v>
      </c>
      <c r="AE328" s="2" t="e">
        <f>IF(Table13[[#This Row],[Gender]]="F",Table13[[#This Row],[Diameter]],NA())</f>
        <v>#N/A</v>
      </c>
      <c r="AF328" s="2" t="e">
        <f>IF(Table13[[#This Row],[Gender]]="I",Table13[[#This Row],[Diameter]],NA())</f>
        <v>#N/A</v>
      </c>
    </row>
    <row r="329" spans="1:32" x14ac:dyDescent="0.2">
      <c r="A329">
        <v>1348</v>
      </c>
      <c r="B329" t="s">
        <v>11</v>
      </c>
      <c r="C329">
        <v>0.59</v>
      </c>
      <c r="D329">
        <v>0.44500000000000001</v>
      </c>
      <c r="E329">
        <v>0.13500000000000001</v>
      </c>
      <c r="F329">
        <v>0.77149999999999996</v>
      </c>
      <c r="G329">
        <v>0.32800000000000001</v>
      </c>
      <c r="H329">
        <v>0.17449999999999999</v>
      </c>
      <c r="I329">
        <v>0.23</v>
      </c>
      <c r="J329">
        <v>9</v>
      </c>
      <c r="K329">
        <v>15</v>
      </c>
      <c r="L329" t="s">
        <v>49</v>
      </c>
      <c r="M329" t="s">
        <v>50</v>
      </c>
      <c r="N329" t="s">
        <v>3</v>
      </c>
      <c r="O329">
        <v>4</v>
      </c>
      <c r="P329" t="s">
        <v>10</v>
      </c>
      <c r="Q329">
        <v>6.1</v>
      </c>
      <c r="R329" t="str" cm="1">
        <f t="array" ref="R3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9" t="e">
        <f>IF(Table13[[#This Row],[Category All]]="Category 1", "Yes",NA())</f>
        <v>#N/A</v>
      </c>
      <c r="T329" t="str">
        <f>IF(Table13[[#This Row],[Category All]]="Category 2", "Yes",NA())</f>
        <v>Yes</v>
      </c>
      <c r="U329" t="e">
        <f>IF(Table13[[#This Row],[Category All]]="Category 3", "Yes",NA())</f>
        <v>#N/A</v>
      </c>
      <c r="V329">
        <f>SUM(1,(1/3)*(Table13[[#This Row],[Length]]-0.5),(1/3)*(Table13[[#This Row],[Diameter]]-0.4),(1/3)*(Table13[[#This Row],[Height]]-0.4)*Table13[[#This Row],[Whole_weight]]*0.5)</f>
        <v>1.0109254166666666</v>
      </c>
      <c r="W329" cm="1">
        <f t="array" ref="W3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0.80874033333333328</v>
      </c>
      <c r="X329" t="e">
        <f>IF(Table13[[#This Row],[Category All]]="Category 1",Table13[[#This Row],[Base Abalone Value]]*1.5,NA())</f>
        <v>#N/A</v>
      </c>
      <c r="Y329">
        <f>IF(Table13[[#This Row],[Category All]]="Category 2",Table13[[#This Row],[Base Abalone Value]]*0.8,NA())</f>
        <v>0.80874033333333328</v>
      </c>
      <c r="Z329" t="e">
        <f>IF(Table13[[#This Row],[Category All]]="Category 3",Table13[[#This Row],[Base Abalone Value]],NA())</f>
        <v>#N/A</v>
      </c>
      <c r="AA329" s="2" t="e">
        <f>IF(Table13[[#This Row],[Gender]]="M",Table13[[#This Row],[Whole_weight]],NA())</f>
        <v>#N/A</v>
      </c>
      <c r="AB329" s="2" t="e">
        <f>IF(Table13[[#This Row],[Gender]]="F",Table13[[#This Row],[Whole_weight]],NA())</f>
        <v>#N/A</v>
      </c>
      <c r="AC329" s="2">
        <f>IF(Table13[[#This Row],[Gender]]="I",Table13[[#This Row],[Whole_weight]],NA())</f>
        <v>0.77149999999999996</v>
      </c>
      <c r="AD329" s="2" t="e">
        <f>IF(Table13[[#This Row],[Gender]]="M",Table13[[#This Row],[Diameter]],NA())</f>
        <v>#N/A</v>
      </c>
      <c r="AE329" s="2" t="e">
        <f>IF(Table13[[#This Row],[Gender]]="F",Table13[[#This Row],[Diameter]],NA())</f>
        <v>#N/A</v>
      </c>
      <c r="AF329" s="2">
        <f>IF(Table13[[#This Row],[Gender]]="I",Table13[[#This Row],[Diameter]],NA())</f>
        <v>0.44500000000000001</v>
      </c>
    </row>
    <row r="330" spans="1:32" x14ac:dyDescent="0.2">
      <c r="A330">
        <v>2158</v>
      </c>
      <c r="B330" t="s">
        <v>15</v>
      </c>
      <c r="C330">
        <v>0.62</v>
      </c>
      <c r="D330">
        <v>0.495</v>
      </c>
      <c r="E330">
        <v>0.17499999999999999</v>
      </c>
      <c r="F330">
        <v>1.806</v>
      </c>
      <c r="G330">
        <v>0.64300000000000002</v>
      </c>
      <c r="H330">
        <v>0.32850000000000001</v>
      </c>
      <c r="I330">
        <v>0.72499999999999998</v>
      </c>
      <c r="J330">
        <v>17</v>
      </c>
      <c r="K330">
        <v>11</v>
      </c>
      <c r="L330" t="s">
        <v>5</v>
      </c>
      <c r="M330" t="s">
        <v>6</v>
      </c>
      <c r="N330" t="s">
        <v>3</v>
      </c>
      <c r="O330">
        <v>3</v>
      </c>
      <c r="P330" t="s">
        <v>48</v>
      </c>
      <c r="Q330">
        <v>3.6</v>
      </c>
      <c r="R330" t="str" cm="1">
        <f t="array" ref="R3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30" t="e">
        <f>IF(Table13[[#This Row],[Category All]]="Category 1", "Yes",NA())</f>
        <v>#N/A</v>
      </c>
      <c r="T330" t="str">
        <f>IF(Table13[[#This Row],[Category All]]="Category 2", "Yes",NA())</f>
        <v>Yes</v>
      </c>
      <c r="U330" t="e">
        <f>IF(Table13[[#This Row],[Category All]]="Category 3", "Yes",NA())</f>
        <v>#N/A</v>
      </c>
      <c r="V330">
        <f>SUM(1,(1/3)*(Table13[[#This Row],[Length]]-0.5),(1/3)*(Table13[[#This Row],[Diameter]]-0.4),(1/3)*(Table13[[#This Row],[Height]]-0.4)*Table13[[#This Row],[Whole_weight]]*0.5)</f>
        <v>1.0039416666666667</v>
      </c>
      <c r="W330" cm="1">
        <f t="array" ref="W3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0.80315333333333339</v>
      </c>
      <c r="X330" t="e">
        <f>IF(Table13[[#This Row],[Category All]]="Category 1",Table13[[#This Row],[Base Abalone Value]]*1.5,NA())</f>
        <v>#N/A</v>
      </c>
      <c r="Y330">
        <f>IF(Table13[[#This Row],[Category All]]="Category 2",Table13[[#This Row],[Base Abalone Value]]*0.8,NA())</f>
        <v>0.80315333333333339</v>
      </c>
      <c r="Z330" t="e">
        <f>IF(Table13[[#This Row],[Category All]]="Category 3",Table13[[#This Row],[Base Abalone Value]],NA())</f>
        <v>#N/A</v>
      </c>
      <c r="AA330" s="2">
        <f>IF(Table13[[#This Row],[Gender]]="M",Table13[[#This Row],[Whole_weight]],NA())</f>
        <v>1.806</v>
      </c>
      <c r="AB330" s="2" t="e">
        <f>IF(Table13[[#This Row],[Gender]]="F",Table13[[#This Row],[Whole_weight]],NA())</f>
        <v>#N/A</v>
      </c>
      <c r="AC330" s="2" t="e">
        <f>IF(Table13[[#This Row],[Gender]]="I",Table13[[#This Row],[Whole_weight]],NA())</f>
        <v>#N/A</v>
      </c>
      <c r="AD330" s="2">
        <f>IF(Table13[[#This Row],[Gender]]="M",Table13[[#This Row],[Diameter]],NA())</f>
        <v>0.495</v>
      </c>
      <c r="AE330" s="2" t="e">
        <f>IF(Table13[[#This Row],[Gender]]="F",Table13[[#This Row],[Diameter]],NA())</f>
        <v>#N/A</v>
      </c>
      <c r="AF330" s="2" t="e">
        <f>IF(Table13[[#This Row],[Gender]]="I",Table13[[#This Row],[Diameter]],NA())</f>
        <v>#N/A</v>
      </c>
    </row>
    <row r="331" spans="1:32" x14ac:dyDescent="0.2">
      <c r="A331">
        <v>2507</v>
      </c>
      <c r="B331" t="s">
        <v>11</v>
      </c>
      <c r="C331">
        <v>0.375</v>
      </c>
      <c r="D331">
        <v>0.3</v>
      </c>
      <c r="E331">
        <v>7.4999999999999997E-2</v>
      </c>
      <c r="F331">
        <v>0.14399999999999999</v>
      </c>
      <c r="G331">
        <v>5.8999999999999997E-2</v>
      </c>
      <c r="H331">
        <v>0.03</v>
      </c>
      <c r="I331">
        <v>4.3999999999999997E-2</v>
      </c>
      <c r="J331">
        <v>7</v>
      </c>
      <c r="K331">
        <v>3</v>
      </c>
      <c r="L331" t="s">
        <v>43</v>
      </c>
      <c r="M331" t="s">
        <v>44</v>
      </c>
      <c r="N331" t="s">
        <v>45</v>
      </c>
      <c r="O331">
        <v>8</v>
      </c>
      <c r="P331" t="s">
        <v>19</v>
      </c>
      <c r="Q331">
        <v>12.3</v>
      </c>
      <c r="R331" t="str" cm="1">
        <f t="array" ref="R3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31" t="e">
        <f>IF(Table13[[#This Row],[Category All]]="Category 1", "Yes",NA())</f>
        <v>#N/A</v>
      </c>
      <c r="T331" t="str">
        <f>IF(Table13[[#This Row],[Category All]]="Category 2", "Yes",NA())</f>
        <v>Yes</v>
      </c>
      <c r="U331" t="e">
        <f>IF(Table13[[#This Row],[Category All]]="Category 3", "Yes",NA())</f>
        <v>#N/A</v>
      </c>
      <c r="V331">
        <f>SUM(1,(1/3)*(Table13[[#This Row],[Length]]-0.5),(1/3)*(Table13[[#This Row],[Diameter]]-0.4),(1/3)*(Table13[[#This Row],[Height]]-0.4)*Table13[[#This Row],[Whole_weight]]*0.5)</f>
        <v>0.91720000000000002</v>
      </c>
      <c r="W331" cm="1">
        <f t="array" ref="W3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0.73376000000000008</v>
      </c>
      <c r="X331" t="e">
        <f>IF(Table13[[#This Row],[Category All]]="Category 1",Table13[[#This Row],[Base Abalone Value]]*1.5,NA())</f>
        <v>#N/A</v>
      </c>
      <c r="Y331">
        <f>IF(Table13[[#This Row],[Category All]]="Category 2",Table13[[#This Row],[Base Abalone Value]]*0.8,NA())</f>
        <v>0.73376000000000008</v>
      </c>
      <c r="Z331" t="e">
        <f>IF(Table13[[#This Row],[Category All]]="Category 3",Table13[[#This Row],[Base Abalone Value]],NA())</f>
        <v>#N/A</v>
      </c>
      <c r="AA331" s="2" t="e">
        <f>IF(Table13[[#This Row],[Gender]]="M",Table13[[#This Row],[Whole_weight]],NA())</f>
        <v>#N/A</v>
      </c>
      <c r="AB331" s="2" t="e">
        <f>IF(Table13[[#This Row],[Gender]]="F",Table13[[#This Row],[Whole_weight]],NA())</f>
        <v>#N/A</v>
      </c>
      <c r="AC331" s="2">
        <f>IF(Table13[[#This Row],[Gender]]="I",Table13[[#This Row],[Whole_weight]],NA())</f>
        <v>0.14399999999999999</v>
      </c>
      <c r="AD331" s="2" t="e">
        <f>IF(Table13[[#This Row],[Gender]]="M",Table13[[#This Row],[Diameter]],NA())</f>
        <v>#N/A</v>
      </c>
      <c r="AE331" s="2" t="e">
        <f>IF(Table13[[#This Row],[Gender]]="F",Table13[[#This Row],[Diameter]],NA())</f>
        <v>#N/A</v>
      </c>
      <c r="AF331" s="2">
        <f>IF(Table13[[#This Row],[Gender]]="I",Table13[[#This Row],[Diameter]],NA())</f>
        <v>0.3</v>
      </c>
    </row>
    <row r="332" spans="1:32" x14ac:dyDescent="0.2">
      <c r="A332">
        <v>64</v>
      </c>
      <c r="B332" t="s">
        <v>15</v>
      </c>
      <c r="C332">
        <v>0.42499999999999999</v>
      </c>
      <c r="D332">
        <v>0.32500000000000001</v>
      </c>
      <c r="E332">
        <v>9.5000000000000001E-2</v>
      </c>
      <c r="F332">
        <v>0.3785</v>
      </c>
      <c r="G332">
        <v>0.17050000000000001</v>
      </c>
      <c r="H332">
        <v>0.08</v>
      </c>
      <c r="I332">
        <v>0.1</v>
      </c>
      <c r="J332">
        <v>7</v>
      </c>
      <c r="K332">
        <v>4</v>
      </c>
      <c r="L332" t="s">
        <v>52</v>
      </c>
      <c r="M332" t="s">
        <v>53</v>
      </c>
      <c r="N332" t="s">
        <v>54</v>
      </c>
      <c r="O332">
        <v>6</v>
      </c>
      <c r="P332" t="s">
        <v>47</v>
      </c>
      <c r="Q332">
        <v>14.1</v>
      </c>
      <c r="R332" t="str" cm="1">
        <f t="array" ref="R3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32" t="e">
        <f>IF(Table13[[#This Row],[Category All]]="Category 1", "Yes",NA())</f>
        <v>#N/A</v>
      </c>
      <c r="T332" t="str">
        <f>IF(Table13[[#This Row],[Category All]]="Category 2", "Yes",NA())</f>
        <v>Yes</v>
      </c>
      <c r="U332" t="e">
        <f>IF(Table13[[#This Row],[Category All]]="Category 3", "Yes",NA())</f>
        <v>#N/A</v>
      </c>
      <c r="V332">
        <f>SUM(1,(1/3)*(Table13[[#This Row],[Length]]-0.5),(1/3)*(Table13[[#This Row],[Diameter]]-0.4),(1/3)*(Table13[[#This Row],[Height]]-0.4)*Table13[[#This Row],[Whole_weight]]*0.5)</f>
        <v>0.93075958333333331</v>
      </c>
      <c r="W332" cm="1">
        <f t="array" ref="W3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0.74460766666666667</v>
      </c>
      <c r="X332" t="e">
        <f>IF(Table13[[#This Row],[Category All]]="Category 1",Table13[[#This Row],[Base Abalone Value]]*1.5,NA())</f>
        <v>#N/A</v>
      </c>
      <c r="Y332">
        <f>IF(Table13[[#This Row],[Category All]]="Category 2",Table13[[#This Row],[Base Abalone Value]]*0.8,NA())</f>
        <v>0.74460766666666667</v>
      </c>
      <c r="Z332" t="e">
        <f>IF(Table13[[#This Row],[Category All]]="Category 3",Table13[[#This Row],[Base Abalone Value]],NA())</f>
        <v>#N/A</v>
      </c>
      <c r="AA332" s="2">
        <f>IF(Table13[[#This Row],[Gender]]="M",Table13[[#This Row],[Whole_weight]],NA())</f>
        <v>0.3785</v>
      </c>
      <c r="AB332" s="2" t="e">
        <f>IF(Table13[[#This Row],[Gender]]="F",Table13[[#This Row],[Whole_weight]],NA())</f>
        <v>#N/A</v>
      </c>
      <c r="AC332" s="2" t="e">
        <f>IF(Table13[[#This Row],[Gender]]="I",Table13[[#This Row],[Whole_weight]],NA())</f>
        <v>#N/A</v>
      </c>
      <c r="AD332" s="2">
        <f>IF(Table13[[#This Row],[Gender]]="M",Table13[[#This Row],[Diameter]],NA())</f>
        <v>0.32500000000000001</v>
      </c>
      <c r="AE332" s="2" t="e">
        <f>IF(Table13[[#This Row],[Gender]]="F",Table13[[#This Row],[Diameter]],NA())</f>
        <v>#N/A</v>
      </c>
      <c r="AF332" s="2" t="e">
        <f>IF(Table13[[#This Row],[Gender]]="I",Table13[[#This Row],[Diameter]],NA())</f>
        <v>#N/A</v>
      </c>
    </row>
    <row r="333" spans="1:32" x14ac:dyDescent="0.2">
      <c r="A333">
        <v>2837</v>
      </c>
      <c r="B333" t="s">
        <v>15</v>
      </c>
      <c r="C333">
        <v>0.57999999999999996</v>
      </c>
      <c r="D333">
        <v>0.44500000000000001</v>
      </c>
      <c r="E333">
        <v>0.16</v>
      </c>
      <c r="F333">
        <v>0.98399999999999999</v>
      </c>
      <c r="G333">
        <v>0.49</v>
      </c>
      <c r="H333">
        <v>0.20100000000000001</v>
      </c>
      <c r="I333">
        <v>0.27</v>
      </c>
      <c r="J333">
        <v>9</v>
      </c>
      <c r="K333">
        <v>5</v>
      </c>
      <c r="L333" t="s">
        <v>26</v>
      </c>
      <c r="M333" t="s">
        <v>27</v>
      </c>
      <c r="N333" t="s">
        <v>28</v>
      </c>
      <c r="O333">
        <v>2</v>
      </c>
      <c r="P333" t="s">
        <v>7</v>
      </c>
      <c r="Q333">
        <v>18</v>
      </c>
      <c r="R333" t="str" cm="1">
        <f t="array" ref="R3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33" t="e">
        <f>IF(Table13[[#This Row],[Category All]]="Category 1", "Yes",NA())</f>
        <v>#N/A</v>
      </c>
      <c r="T333" t="e">
        <f>IF(Table13[[#This Row],[Category All]]="Category 2", "Yes",NA())</f>
        <v>#N/A</v>
      </c>
      <c r="U333" t="str">
        <f>IF(Table13[[#This Row],[Category All]]="Category 3", "Yes",NA())</f>
        <v>Yes</v>
      </c>
      <c r="V333">
        <f>SUM(1,(1/3)*(Table13[[#This Row],[Length]]-0.5),(1/3)*(Table13[[#This Row],[Diameter]]-0.4),(1/3)*(Table13[[#This Row],[Height]]-0.4)*Table13[[#This Row],[Whole_weight]]*0.5)</f>
        <v>1.0023066666666665</v>
      </c>
      <c r="W333" cm="1">
        <f t="array" ref="W3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1.0023066666666665</v>
      </c>
      <c r="X333" t="e">
        <f>IF(Table13[[#This Row],[Category All]]="Category 1",Table13[[#This Row],[Base Abalone Value]]*1.5,NA())</f>
        <v>#N/A</v>
      </c>
      <c r="Y333" t="e">
        <f>IF(Table13[[#This Row],[Category All]]="Category 2",Table13[[#This Row],[Base Abalone Value]]*0.8,NA())</f>
        <v>#N/A</v>
      </c>
      <c r="Z333">
        <f>IF(Table13[[#This Row],[Category All]]="Category 3",Table13[[#This Row],[Base Abalone Value]],NA())</f>
        <v>1.0023066666666665</v>
      </c>
      <c r="AA333" s="2">
        <f>IF(Table13[[#This Row],[Gender]]="M",Table13[[#This Row],[Whole_weight]],NA())</f>
        <v>0.98399999999999999</v>
      </c>
      <c r="AB333" s="2" t="e">
        <f>IF(Table13[[#This Row],[Gender]]="F",Table13[[#This Row],[Whole_weight]],NA())</f>
        <v>#N/A</v>
      </c>
      <c r="AC333" s="2" t="e">
        <f>IF(Table13[[#This Row],[Gender]]="I",Table13[[#This Row],[Whole_weight]],NA())</f>
        <v>#N/A</v>
      </c>
      <c r="AD333" s="2">
        <f>IF(Table13[[#This Row],[Gender]]="M",Table13[[#This Row],[Diameter]],NA())</f>
        <v>0.44500000000000001</v>
      </c>
      <c r="AE333" s="2" t="e">
        <f>IF(Table13[[#This Row],[Gender]]="F",Table13[[#This Row],[Diameter]],NA())</f>
        <v>#N/A</v>
      </c>
      <c r="AF333" s="2" t="e">
        <f>IF(Table13[[#This Row],[Gender]]="I",Table13[[#This Row],[Diameter]],NA())</f>
        <v>#N/A</v>
      </c>
    </row>
    <row r="334" spans="1:32" x14ac:dyDescent="0.2">
      <c r="A334">
        <v>2732</v>
      </c>
      <c r="B334" t="s">
        <v>11</v>
      </c>
      <c r="C334">
        <v>0.41</v>
      </c>
      <c r="D334">
        <v>0.315</v>
      </c>
      <c r="E334">
        <v>0.1</v>
      </c>
      <c r="F334">
        <v>0.3</v>
      </c>
      <c r="G334">
        <v>0.124</v>
      </c>
      <c r="H334">
        <v>5.7500000000000002E-2</v>
      </c>
      <c r="I334">
        <v>0.1</v>
      </c>
      <c r="J334">
        <v>8</v>
      </c>
      <c r="K334">
        <v>10</v>
      </c>
      <c r="L334" t="s">
        <v>16</v>
      </c>
      <c r="M334" t="s">
        <v>17</v>
      </c>
      <c r="N334" t="s">
        <v>18</v>
      </c>
      <c r="O334">
        <v>2</v>
      </c>
      <c r="P334" t="s">
        <v>7</v>
      </c>
      <c r="Q334">
        <v>18</v>
      </c>
      <c r="R334" t="str" cm="1">
        <f t="array" ref="R3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34" t="e">
        <f>IF(Table13[[#This Row],[Category All]]="Category 1", "Yes",NA())</f>
        <v>#N/A</v>
      </c>
      <c r="T334" t="str">
        <f>IF(Table13[[#This Row],[Category All]]="Category 2", "Yes",NA())</f>
        <v>Yes</v>
      </c>
      <c r="U334" t="e">
        <f>IF(Table13[[#This Row],[Category All]]="Category 3", "Yes",NA())</f>
        <v>#N/A</v>
      </c>
      <c r="V334">
        <f>SUM(1,(1/3)*(Table13[[#This Row],[Length]]-0.5),(1/3)*(Table13[[#This Row],[Diameter]]-0.4),(1/3)*(Table13[[#This Row],[Height]]-0.4)*Table13[[#This Row],[Whole_weight]]*0.5)</f>
        <v>0.92666666666666664</v>
      </c>
      <c r="W334" cm="1">
        <f t="array" ref="W3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0.7413333333333334</v>
      </c>
      <c r="X334" t="e">
        <f>IF(Table13[[#This Row],[Category All]]="Category 1",Table13[[#This Row],[Base Abalone Value]]*1.5,NA())</f>
        <v>#N/A</v>
      </c>
      <c r="Y334">
        <f>IF(Table13[[#This Row],[Category All]]="Category 2",Table13[[#This Row],[Base Abalone Value]]*0.8,NA())</f>
        <v>0.7413333333333334</v>
      </c>
      <c r="Z334" t="e">
        <f>IF(Table13[[#This Row],[Category All]]="Category 3",Table13[[#This Row],[Base Abalone Value]],NA())</f>
        <v>#N/A</v>
      </c>
      <c r="AA334" s="2" t="e">
        <f>IF(Table13[[#This Row],[Gender]]="M",Table13[[#This Row],[Whole_weight]],NA())</f>
        <v>#N/A</v>
      </c>
      <c r="AB334" s="2" t="e">
        <f>IF(Table13[[#This Row],[Gender]]="F",Table13[[#This Row],[Whole_weight]],NA())</f>
        <v>#N/A</v>
      </c>
      <c r="AC334" s="2">
        <f>IF(Table13[[#This Row],[Gender]]="I",Table13[[#This Row],[Whole_weight]],NA())</f>
        <v>0.3</v>
      </c>
      <c r="AD334" s="2" t="e">
        <f>IF(Table13[[#This Row],[Gender]]="M",Table13[[#This Row],[Diameter]],NA())</f>
        <v>#N/A</v>
      </c>
      <c r="AE334" s="2" t="e">
        <f>IF(Table13[[#This Row],[Gender]]="F",Table13[[#This Row],[Diameter]],NA())</f>
        <v>#N/A</v>
      </c>
      <c r="AF334" s="2">
        <f>IF(Table13[[#This Row],[Gender]]="I",Table13[[#This Row],[Diameter]],NA())</f>
        <v>0.315</v>
      </c>
    </row>
    <row r="335" spans="1:32" x14ac:dyDescent="0.2">
      <c r="A335">
        <v>887</v>
      </c>
      <c r="B335" t="s">
        <v>0</v>
      </c>
      <c r="C335">
        <v>0.67500000000000004</v>
      </c>
      <c r="D335">
        <v>0.52500000000000002</v>
      </c>
      <c r="E335">
        <v>0.17</v>
      </c>
      <c r="F335">
        <v>1.8095000000000001</v>
      </c>
      <c r="G335">
        <v>0.78400000000000003</v>
      </c>
      <c r="H335">
        <v>0.39100000000000001</v>
      </c>
      <c r="I335">
        <v>0.45500000000000002</v>
      </c>
      <c r="J335">
        <v>12</v>
      </c>
      <c r="K335">
        <v>1</v>
      </c>
      <c r="L335" t="s">
        <v>8</v>
      </c>
      <c r="M335" t="s">
        <v>9</v>
      </c>
      <c r="N335" t="s">
        <v>3</v>
      </c>
      <c r="O335">
        <v>3</v>
      </c>
      <c r="P335" t="s">
        <v>48</v>
      </c>
      <c r="Q335">
        <v>3.6</v>
      </c>
      <c r="R335" t="str" cm="1">
        <f t="array" ref="R3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35" t="e">
        <f>IF(Table13[[#This Row],[Category All]]="Category 1", "Yes",NA())</f>
        <v>#N/A</v>
      </c>
      <c r="T335" t="e">
        <f>IF(Table13[[#This Row],[Category All]]="Category 2", "Yes",NA())</f>
        <v>#N/A</v>
      </c>
      <c r="U335" t="str">
        <f>IF(Table13[[#This Row],[Category All]]="Category 3", "Yes",NA())</f>
        <v>Yes</v>
      </c>
      <c r="V335">
        <f>SUM(1,(1/3)*(Table13[[#This Row],[Length]]-0.5),(1/3)*(Table13[[#This Row],[Diameter]]-0.4),(1/3)*(Table13[[#This Row],[Height]]-0.4)*Table13[[#This Row],[Whole_weight]]*0.5)</f>
        <v>1.0306358333333334</v>
      </c>
      <c r="W335" cm="1">
        <f t="array" ref="W3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1.0306358333333334</v>
      </c>
      <c r="X335" t="e">
        <f>IF(Table13[[#This Row],[Category All]]="Category 1",Table13[[#This Row],[Base Abalone Value]]*1.5,NA())</f>
        <v>#N/A</v>
      </c>
      <c r="Y335" t="e">
        <f>IF(Table13[[#This Row],[Category All]]="Category 2",Table13[[#This Row],[Base Abalone Value]]*0.8,NA())</f>
        <v>#N/A</v>
      </c>
      <c r="Z335">
        <f>IF(Table13[[#This Row],[Category All]]="Category 3",Table13[[#This Row],[Base Abalone Value]],NA())</f>
        <v>1.0306358333333334</v>
      </c>
      <c r="AA335" s="2" t="e">
        <f>IF(Table13[[#This Row],[Gender]]="M",Table13[[#This Row],[Whole_weight]],NA())</f>
        <v>#N/A</v>
      </c>
      <c r="AB335" s="2">
        <f>IF(Table13[[#This Row],[Gender]]="F",Table13[[#This Row],[Whole_weight]],NA())</f>
        <v>1.8095000000000001</v>
      </c>
      <c r="AC335" s="2" t="e">
        <f>IF(Table13[[#This Row],[Gender]]="I",Table13[[#This Row],[Whole_weight]],NA())</f>
        <v>#N/A</v>
      </c>
      <c r="AD335" s="2" t="e">
        <f>IF(Table13[[#This Row],[Gender]]="M",Table13[[#This Row],[Diameter]],NA())</f>
        <v>#N/A</v>
      </c>
      <c r="AE335" s="2">
        <f>IF(Table13[[#This Row],[Gender]]="F",Table13[[#This Row],[Diameter]],NA())</f>
        <v>0.52500000000000002</v>
      </c>
      <c r="AF335" s="2" t="e">
        <f>IF(Table13[[#This Row],[Gender]]="I",Table13[[#This Row],[Diameter]],NA())</f>
        <v>#N/A</v>
      </c>
    </row>
    <row r="336" spans="1:32" x14ac:dyDescent="0.2">
      <c r="A336">
        <v>3131</v>
      </c>
      <c r="B336" t="s">
        <v>15</v>
      </c>
      <c r="C336">
        <v>0.67</v>
      </c>
      <c r="D336">
        <v>0.51500000000000001</v>
      </c>
      <c r="E336">
        <v>0.16500000000000001</v>
      </c>
      <c r="F336">
        <v>1.1735</v>
      </c>
      <c r="G336">
        <v>0.52600000000000002</v>
      </c>
      <c r="H336">
        <v>0.28499999999999998</v>
      </c>
      <c r="I336">
        <v>0.316</v>
      </c>
      <c r="J336">
        <v>11</v>
      </c>
      <c r="K336">
        <v>14</v>
      </c>
      <c r="L336" t="s">
        <v>23</v>
      </c>
      <c r="M336" t="s">
        <v>24</v>
      </c>
      <c r="N336" t="s">
        <v>25</v>
      </c>
      <c r="O336">
        <v>3</v>
      </c>
      <c r="P336" t="s">
        <v>48</v>
      </c>
      <c r="Q336">
        <v>3.6</v>
      </c>
      <c r="R336" t="str" cm="1">
        <f t="array" ref="R3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36" t="e">
        <f>IF(Table13[[#This Row],[Category All]]="Category 1", "Yes",NA())</f>
        <v>#N/A</v>
      </c>
      <c r="T336" t="e">
        <f>IF(Table13[[#This Row],[Category All]]="Category 2", "Yes",NA())</f>
        <v>#N/A</v>
      </c>
      <c r="U336" t="str">
        <f>IF(Table13[[#This Row],[Category All]]="Category 3", "Yes",NA())</f>
        <v>Yes</v>
      </c>
      <c r="V336">
        <f>SUM(1,(1/3)*(Table13[[#This Row],[Length]]-0.5),(1/3)*(Table13[[#This Row],[Diameter]]-0.4),(1/3)*(Table13[[#This Row],[Height]]-0.4)*Table13[[#This Row],[Whole_weight]]*0.5)</f>
        <v>1.0490379166666666</v>
      </c>
      <c r="W336" cm="1">
        <f t="array" ref="W3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1.0490379166666666</v>
      </c>
      <c r="X336" t="e">
        <f>IF(Table13[[#This Row],[Category All]]="Category 1",Table13[[#This Row],[Base Abalone Value]]*1.5,NA())</f>
        <v>#N/A</v>
      </c>
      <c r="Y336" t="e">
        <f>IF(Table13[[#This Row],[Category All]]="Category 2",Table13[[#This Row],[Base Abalone Value]]*0.8,NA())</f>
        <v>#N/A</v>
      </c>
      <c r="Z336">
        <f>IF(Table13[[#This Row],[Category All]]="Category 3",Table13[[#This Row],[Base Abalone Value]],NA())</f>
        <v>1.0490379166666666</v>
      </c>
      <c r="AA336" s="2">
        <f>IF(Table13[[#This Row],[Gender]]="M",Table13[[#This Row],[Whole_weight]],NA())</f>
        <v>1.1735</v>
      </c>
      <c r="AB336" s="2" t="e">
        <f>IF(Table13[[#This Row],[Gender]]="F",Table13[[#This Row],[Whole_weight]],NA())</f>
        <v>#N/A</v>
      </c>
      <c r="AC336" s="2" t="e">
        <f>IF(Table13[[#This Row],[Gender]]="I",Table13[[#This Row],[Whole_weight]],NA())</f>
        <v>#N/A</v>
      </c>
      <c r="AD336" s="2">
        <f>IF(Table13[[#This Row],[Gender]]="M",Table13[[#This Row],[Diameter]],NA())</f>
        <v>0.51500000000000001</v>
      </c>
      <c r="AE336" s="2" t="e">
        <f>IF(Table13[[#This Row],[Gender]]="F",Table13[[#This Row],[Diameter]],NA())</f>
        <v>#N/A</v>
      </c>
      <c r="AF336" s="2" t="e">
        <f>IF(Table13[[#This Row],[Gender]]="I",Table13[[#This Row],[Diameter]],NA())</f>
        <v>#N/A</v>
      </c>
    </row>
    <row r="337" spans="1:32" x14ac:dyDescent="0.2">
      <c r="A337">
        <v>3172</v>
      </c>
      <c r="B337" t="s">
        <v>15</v>
      </c>
      <c r="C337">
        <v>0.52500000000000002</v>
      </c>
      <c r="D337">
        <v>0.40500000000000003</v>
      </c>
      <c r="E337">
        <v>0.16</v>
      </c>
      <c r="F337">
        <v>0.79200000000000004</v>
      </c>
      <c r="G337">
        <v>0.316</v>
      </c>
      <c r="H337">
        <v>0.14549999999999999</v>
      </c>
      <c r="I337">
        <v>0.28000000000000003</v>
      </c>
      <c r="J337">
        <v>13</v>
      </c>
      <c r="K337">
        <v>10</v>
      </c>
      <c r="L337" t="s">
        <v>16</v>
      </c>
      <c r="M337" t="s">
        <v>17</v>
      </c>
      <c r="N337" t="s">
        <v>18</v>
      </c>
      <c r="O337">
        <v>8</v>
      </c>
      <c r="P337" t="s">
        <v>19</v>
      </c>
      <c r="Q337">
        <v>12.3</v>
      </c>
      <c r="R337" t="str" cm="1">
        <f t="array" ref="R3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37" t="e">
        <f>IF(Table13[[#This Row],[Category All]]="Category 1", "Yes",NA())</f>
        <v>#N/A</v>
      </c>
      <c r="T337" t="str">
        <f>IF(Table13[[#This Row],[Category All]]="Category 2", "Yes",NA())</f>
        <v>Yes</v>
      </c>
      <c r="U337" t="e">
        <f>IF(Table13[[#This Row],[Category All]]="Category 3", "Yes",NA())</f>
        <v>#N/A</v>
      </c>
      <c r="V337">
        <f>SUM(1,(1/3)*(Table13[[#This Row],[Length]]-0.5),(1/3)*(Table13[[#This Row],[Diameter]]-0.4),(1/3)*(Table13[[#This Row],[Height]]-0.4)*Table13[[#This Row],[Whole_weight]]*0.5)</f>
        <v>0.97831999999999997</v>
      </c>
      <c r="W337" cm="1">
        <f t="array" ref="W3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0.78265600000000002</v>
      </c>
      <c r="X337" t="e">
        <f>IF(Table13[[#This Row],[Category All]]="Category 1",Table13[[#This Row],[Base Abalone Value]]*1.5,NA())</f>
        <v>#N/A</v>
      </c>
      <c r="Y337">
        <f>IF(Table13[[#This Row],[Category All]]="Category 2",Table13[[#This Row],[Base Abalone Value]]*0.8,NA())</f>
        <v>0.78265600000000002</v>
      </c>
      <c r="Z337" t="e">
        <f>IF(Table13[[#This Row],[Category All]]="Category 3",Table13[[#This Row],[Base Abalone Value]],NA())</f>
        <v>#N/A</v>
      </c>
      <c r="AA337" s="2">
        <f>IF(Table13[[#This Row],[Gender]]="M",Table13[[#This Row],[Whole_weight]],NA())</f>
        <v>0.79200000000000004</v>
      </c>
      <c r="AB337" s="2" t="e">
        <f>IF(Table13[[#This Row],[Gender]]="F",Table13[[#This Row],[Whole_weight]],NA())</f>
        <v>#N/A</v>
      </c>
      <c r="AC337" s="2" t="e">
        <f>IF(Table13[[#This Row],[Gender]]="I",Table13[[#This Row],[Whole_weight]],NA())</f>
        <v>#N/A</v>
      </c>
      <c r="AD337" s="2">
        <f>IF(Table13[[#This Row],[Gender]]="M",Table13[[#This Row],[Diameter]],NA())</f>
        <v>0.40500000000000003</v>
      </c>
      <c r="AE337" s="2" t="e">
        <f>IF(Table13[[#This Row],[Gender]]="F",Table13[[#This Row],[Diameter]],NA())</f>
        <v>#N/A</v>
      </c>
      <c r="AF337" s="2" t="e">
        <f>IF(Table13[[#This Row],[Gender]]="I",Table13[[#This Row],[Diameter]],NA())</f>
        <v>#N/A</v>
      </c>
    </row>
    <row r="338" spans="1:32" x14ac:dyDescent="0.2">
      <c r="A338">
        <v>868</v>
      </c>
      <c r="B338" t="s">
        <v>0</v>
      </c>
      <c r="C338">
        <v>0.61499999999999999</v>
      </c>
      <c r="D338">
        <v>0.5</v>
      </c>
      <c r="E338">
        <v>0.17499999999999999</v>
      </c>
      <c r="F338">
        <v>1.377</v>
      </c>
      <c r="G338">
        <v>0.5585</v>
      </c>
      <c r="H338">
        <v>0.33</v>
      </c>
      <c r="I338">
        <v>0.29199999999999998</v>
      </c>
      <c r="J338">
        <v>12</v>
      </c>
      <c r="K338">
        <v>13</v>
      </c>
      <c r="L338" t="s">
        <v>12</v>
      </c>
      <c r="M338" t="s">
        <v>13</v>
      </c>
      <c r="N338" t="s">
        <v>3</v>
      </c>
      <c r="O338">
        <v>1</v>
      </c>
      <c r="P338" t="s">
        <v>4</v>
      </c>
      <c r="Q338">
        <v>22.1</v>
      </c>
      <c r="R338" t="str" cm="1">
        <f t="array" ref="R3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38" t="e">
        <f>IF(Table13[[#This Row],[Category All]]="Category 1", "Yes",NA())</f>
        <v>#N/A</v>
      </c>
      <c r="T338" t="e">
        <f>IF(Table13[[#This Row],[Category All]]="Category 2", "Yes",NA())</f>
        <v>#N/A</v>
      </c>
      <c r="U338" t="str">
        <f>IF(Table13[[#This Row],[Category All]]="Category 3", "Yes",NA())</f>
        <v>Yes</v>
      </c>
      <c r="V338">
        <f>SUM(1,(1/3)*(Table13[[#This Row],[Length]]-0.5),(1/3)*(Table13[[#This Row],[Diameter]]-0.4),(1/3)*(Table13[[#This Row],[Height]]-0.4)*Table13[[#This Row],[Whole_weight]]*0.5)</f>
        <v>1.0200291666666668</v>
      </c>
      <c r="W338" cm="1">
        <f t="array" ref="W3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1.0200291666666668</v>
      </c>
      <c r="X338" t="e">
        <f>IF(Table13[[#This Row],[Category All]]="Category 1",Table13[[#This Row],[Base Abalone Value]]*1.5,NA())</f>
        <v>#N/A</v>
      </c>
      <c r="Y338" t="e">
        <f>IF(Table13[[#This Row],[Category All]]="Category 2",Table13[[#This Row],[Base Abalone Value]]*0.8,NA())</f>
        <v>#N/A</v>
      </c>
      <c r="Z338">
        <f>IF(Table13[[#This Row],[Category All]]="Category 3",Table13[[#This Row],[Base Abalone Value]],NA())</f>
        <v>1.0200291666666668</v>
      </c>
      <c r="AA338" s="2" t="e">
        <f>IF(Table13[[#This Row],[Gender]]="M",Table13[[#This Row],[Whole_weight]],NA())</f>
        <v>#N/A</v>
      </c>
      <c r="AB338" s="2">
        <f>IF(Table13[[#This Row],[Gender]]="F",Table13[[#This Row],[Whole_weight]],NA())</f>
        <v>1.377</v>
      </c>
      <c r="AC338" s="2" t="e">
        <f>IF(Table13[[#This Row],[Gender]]="I",Table13[[#This Row],[Whole_weight]],NA())</f>
        <v>#N/A</v>
      </c>
      <c r="AD338" s="2" t="e">
        <f>IF(Table13[[#This Row],[Gender]]="M",Table13[[#This Row],[Diameter]],NA())</f>
        <v>#N/A</v>
      </c>
      <c r="AE338" s="2">
        <f>IF(Table13[[#This Row],[Gender]]="F",Table13[[#This Row],[Diameter]],NA())</f>
        <v>0.5</v>
      </c>
      <c r="AF338" s="2" t="e">
        <f>IF(Table13[[#This Row],[Gender]]="I",Table13[[#This Row],[Diameter]],NA())</f>
        <v>#N/A</v>
      </c>
    </row>
    <row r="339" spans="1:32" x14ac:dyDescent="0.2">
      <c r="A339">
        <v>721</v>
      </c>
      <c r="B339" t="s">
        <v>11</v>
      </c>
      <c r="C339">
        <v>0.16</v>
      </c>
      <c r="D339">
        <v>0.11</v>
      </c>
      <c r="E339">
        <v>2.5000000000000001E-2</v>
      </c>
      <c r="F339">
        <v>1.7999999999999999E-2</v>
      </c>
      <c r="G339">
        <v>6.4999999999999997E-3</v>
      </c>
      <c r="H339">
        <v>5.4999999999999997E-3</v>
      </c>
      <c r="I339">
        <v>5.0000000000000001E-3</v>
      </c>
      <c r="J339">
        <v>3</v>
      </c>
      <c r="K339">
        <v>2</v>
      </c>
      <c r="L339" t="s">
        <v>32</v>
      </c>
      <c r="M339" t="s">
        <v>33</v>
      </c>
      <c r="N339" t="s">
        <v>34</v>
      </c>
      <c r="O339">
        <v>7</v>
      </c>
      <c r="P339" t="s">
        <v>42</v>
      </c>
      <c r="Q339">
        <v>2.5</v>
      </c>
      <c r="R339" t="str" cm="1">
        <f t="array" ref="R3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39" t="e">
        <f>IF(Table13[[#This Row],[Category All]]="Category 1", "Yes",NA())</f>
        <v>#N/A</v>
      </c>
      <c r="T339" t="str">
        <f>IF(Table13[[#This Row],[Category All]]="Category 2", "Yes",NA())</f>
        <v>Yes</v>
      </c>
      <c r="U339" t="e">
        <f>IF(Table13[[#This Row],[Category All]]="Category 3", "Yes",NA())</f>
        <v>#N/A</v>
      </c>
      <c r="V339">
        <f>SUM(1,(1/3)*(Table13[[#This Row],[Length]]-0.5),(1/3)*(Table13[[#This Row],[Diameter]]-0.4),(1/3)*(Table13[[#This Row],[Height]]-0.4)*Table13[[#This Row],[Whole_weight]]*0.5)</f>
        <v>0.78887499999999999</v>
      </c>
      <c r="W339" cm="1">
        <f t="array" ref="W3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0.63109999999999999</v>
      </c>
      <c r="X339" t="e">
        <f>IF(Table13[[#This Row],[Category All]]="Category 1",Table13[[#This Row],[Base Abalone Value]]*1.5,NA())</f>
        <v>#N/A</v>
      </c>
      <c r="Y339">
        <f>IF(Table13[[#This Row],[Category All]]="Category 2",Table13[[#This Row],[Base Abalone Value]]*0.8,NA())</f>
        <v>0.63109999999999999</v>
      </c>
      <c r="Z339" t="e">
        <f>IF(Table13[[#This Row],[Category All]]="Category 3",Table13[[#This Row],[Base Abalone Value]],NA())</f>
        <v>#N/A</v>
      </c>
      <c r="AA339" s="2" t="e">
        <f>IF(Table13[[#This Row],[Gender]]="M",Table13[[#This Row],[Whole_weight]],NA())</f>
        <v>#N/A</v>
      </c>
      <c r="AB339" s="2" t="e">
        <f>IF(Table13[[#This Row],[Gender]]="F",Table13[[#This Row],[Whole_weight]],NA())</f>
        <v>#N/A</v>
      </c>
      <c r="AC339" s="2">
        <f>IF(Table13[[#This Row],[Gender]]="I",Table13[[#This Row],[Whole_weight]],NA())</f>
        <v>1.7999999999999999E-2</v>
      </c>
      <c r="AD339" s="2" t="e">
        <f>IF(Table13[[#This Row],[Gender]]="M",Table13[[#This Row],[Diameter]],NA())</f>
        <v>#N/A</v>
      </c>
      <c r="AE339" s="2" t="e">
        <f>IF(Table13[[#This Row],[Gender]]="F",Table13[[#This Row],[Diameter]],NA())</f>
        <v>#N/A</v>
      </c>
      <c r="AF339" s="2">
        <f>IF(Table13[[#This Row],[Gender]]="I",Table13[[#This Row],[Diameter]],NA())</f>
        <v>0.11</v>
      </c>
    </row>
    <row r="340" spans="1:32" x14ac:dyDescent="0.2">
      <c r="A340">
        <v>1408</v>
      </c>
      <c r="B340" t="s">
        <v>15</v>
      </c>
      <c r="C340">
        <v>0.65500000000000003</v>
      </c>
      <c r="D340">
        <v>0.49</v>
      </c>
      <c r="E340">
        <v>0.17499999999999999</v>
      </c>
      <c r="F340">
        <v>1.3585</v>
      </c>
      <c r="G340">
        <v>0.63949999999999996</v>
      </c>
      <c r="H340">
        <v>0.29399999999999998</v>
      </c>
      <c r="I340">
        <v>0.36499999999999999</v>
      </c>
      <c r="J340">
        <v>10</v>
      </c>
      <c r="K340">
        <v>2</v>
      </c>
      <c r="L340" t="s">
        <v>32</v>
      </c>
      <c r="M340" t="s">
        <v>33</v>
      </c>
      <c r="N340" t="s">
        <v>34</v>
      </c>
      <c r="O340">
        <v>4</v>
      </c>
      <c r="P340" t="s">
        <v>10</v>
      </c>
      <c r="Q340">
        <v>6.1</v>
      </c>
      <c r="R340" t="str" cm="1">
        <f t="array" ref="R3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40" t="e">
        <f>IF(Table13[[#This Row],[Category All]]="Category 1", "Yes",NA())</f>
        <v>#N/A</v>
      </c>
      <c r="T340" t="e">
        <f>IF(Table13[[#This Row],[Category All]]="Category 2", "Yes",NA())</f>
        <v>#N/A</v>
      </c>
      <c r="U340" t="str">
        <f>IF(Table13[[#This Row],[Category All]]="Category 3", "Yes",NA())</f>
        <v>Yes</v>
      </c>
      <c r="V340">
        <f>SUM(1,(1/3)*(Table13[[#This Row],[Length]]-0.5),(1/3)*(Table13[[#This Row],[Diameter]]-0.4),(1/3)*(Table13[[#This Row],[Height]]-0.4)*Table13[[#This Row],[Whole_weight]]*0.5)</f>
        <v>1.0307229166666667</v>
      </c>
      <c r="W340" cm="1">
        <f t="array" ref="W3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1.0307229166666667</v>
      </c>
      <c r="X340" t="e">
        <f>IF(Table13[[#This Row],[Category All]]="Category 1",Table13[[#This Row],[Base Abalone Value]]*1.5,NA())</f>
        <v>#N/A</v>
      </c>
      <c r="Y340" t="e">
        <f>IF(Table13[[#This Row],[Category All]]="Category 2",Table13[[#This Row],[Base Abalone Value]]*0.8,NA())</f>
        <v>#N/A</v>
      </c>
      <c r="Z340">
        <f>IF(Table13[[#This Row],[Category All]]="Category 3",Table13[[#This Row],[Base Abalone Value]],NA())</f>
        <v>1.0307229166666667</v>
      </c>
      <c r="AA340" s="2">
        <f>IF(Table13[[#This Row],[Gender]]="M",Table13[[#This Row],[Whole_weight]],NA())</f>
        <v>1.3585</v>
      </c>
      <c r="AB340" s="2" t="e">
        <f>IF(Table13[[#This Row],[Gender]]="F",Table13[[#This Row],[Whole_weight]],NA())</f>
        <v>#N/A</v>
      </c>
      <c r="AC340" s="2" t="e">
        <f>IF(Table13[[#This Row],[Gender]]="I",Table13[[#This Row],[Whole_weight]],NA())</f>
        <v>#N/A</v>
      </c>
      <c r="AD340" s="2">
        <f>IF(Table13[[#This Row],[Gender]]="M",Table13[[#This Row],[Diameter]],NA())</f>
        <v>0.49</v>
      </c>
      <c r="AE340" s="2" t="e">
        <f>IF(Table13[[#This Row],[Gender]]="F",Table13[[#This Row],[Diameter]],NA())</f>
        <v>#N/A</v>
      </c>
      <c r="AF340" s="2" t="e">
        <f>IF(Table13[[#This Row],[Gender]]="I",Table13[[#This Row],[Diameter]],NA())</f>
        <v>#N/A</v>
      </c>
    </row>
    <row r="341" spans="1:32" x14ac:dyDescent="0.2">
      <c r="A341">
        <v>928</v>
      </c>
      <c r="B341" t="s">
        <v>11</v>
      </c>
      <c r="C341">
        <v>0.435</v>
      </c>
      <c r="D341">
        <v>0.32500000000000001</v>
      </c>
      <c r="E341">
        <v>0.12</v>
      </c>
      <c r="F341">
        <v>0.39950000000000002</v>
      </c>
      <c r="G341">
        <v>0.18149999999999999</v>
      </c>
      <c r="H341">
        <v>6.0999999999999999E-2</v>
      </c>
      <c r="I341">
        <v>0.1125</v>
      </c>
      <c r="J341">
        <v>8</v>
      </c>
      <c r="K341">
        <v>2</v>
      </c>
      <c r="L341" t="s">
        <v>32</v>
      </c>
      <c r="M341" t="s">
        <v>33</v>
      </c>
      <c r="N341" t="s">
        <v>34</v>
      </c>
      <c r="O341">
        <v>6</v>
      </c>
      <c r="P341" t="s">
        <v>47</v>
      </c>
      <c r="Q341">
        <v>14.1</v>
      </c>
      <c r="R341" t="str" cm="1">
        <f t="array" ref="R3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41" t="e">
        <f>IF(Table13[[#This Row],[Category All]]="Category 1", "Yes",NA())</f>
        <v>#N/A</v>
      </c>
      <c r="T341" t="str">
        <f>IF(Table13[[#This Row],[Category All]]="Category 2", "Yes",NA())</f>
        <v>Yes</v>
      </c>
      <c r="U341" t="e">
        <f>IF(Table13[[#This Row],[Category All]]="Category 3", "Yes",NA())</f>
        <v>#N/A</v>
      </c>
      <c r="V341">
        <f>SUM(1,(1/3)*(Table13[[#This Row],[Length]]-0.5),(1/3)*(Table13[[#This Row],[Diameter]]-0.4),(1/3)*(Table13[[#This Row],[Height]]-0.4)*Table13[[#This Row],[Whole_weight]]*0.5)</f>
        <v>0.93468999999999991</v>
      </c>
      <c r="W341" cm="1">
        <f t="array" ref="W3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0.74775199999999997</v>
      </c>
      <c r="X341" t="e">
        <f>IF(Table13[[#This Row],[Category All]]="Category 1",Table13[[#This Row],[Base Abalone Value]]*1.5,NA())</f>
        <v>#N/A</v>
      </c>
      <c r="Y341">
        <f>IF(Table13[[#This Row],[Category All]]="Category 2",Table13[[#This Row],[Base Abalone Value]]*0.8,NA())</f>
        <v>0.74775199999999997</v>
      </c>
      <c r="Z341" t="e">
        <f>IF(Table13[[#This Row],[Category All]]="Category 3",Table13[[#This Row],[Base Abalone Value]],NA())</f>
        <v>#N/A</v>
      </c>
      <c r="AA341" s="2" t="e">
        <f>IF(Table13[[#This Row],[Gender]]="M",Table13[[#This Row],[Whole_weight]],NA())</f>
        <v>#N/A</v>
      </c>
      <c r="AB341" s="2" t="e">
        <f>IF(Table13[[#This Row],[Gender]]="F",Table13[[#This Row],[Whole_weight]],NA())</f>
        <v>#N/A</v>
      </c>
      <c r="AC341" s="2">
        <f>IF(Table13[[#This Row],[Gender]]="I",Table13[[#This Row],[Whole_weight]],NA())</f>
        <v>0.39950000000000002</v>
      </c>
      <c r="AD341" s="2" t="e">
        <f>IF(Table13[[#This Row],[Gender]]="M",Table13[[#This Row],[Diameter]],NA())</f>
        <v>#N/A</v>
      </c>
      <c r="AE341" s="2" t="e">
        <f>IF(Table13[[#This Row],[Gender]]="F",Table13[[#This Row],[Diameter]],NA())</f>
        <v>#N/A</v>
      </c>
      <c r="AF341" s="2">
        <f>IF(Table13[[#This Row],[Gender]]="I",Table13[[#This Row],[Diameter]],NA())</f>
        <v>0.32500000000000001</v>
      </c>
    </row>
    <row r="342" spans="1:32" x14ac:dyDescent="0.2">
      <c r="A342">
        <v>1699</v>
      </c>
      <c r="B342" t="s">
        <v>15</v>
      </c>
      <c r="C342">
        <v>0.63</v>
      </c>
      <c r="D342">
        <v>0.495</v>
      </c>
      <c r="E342">
        <v>0.17499999999999999</v>
      </c>
      <c r="F342">
        <v>1.2695000000000001</v>
      </c>
      <c r="G342">
        <v>0.60499999999999998</v>
      </c>
      <c r="H342">
        <v>0.27100000000000002</v>
      </c>
      <c r="I342">
        <v>0.32800000000000001</v>
      </c>
      <c r="J342">
        <v>11</v>
      </c>
      <c r="K342">
        <v>8</v>
      </c>
      <c r="L342" t="s">
        <v>29</v>
      </c>
      <c r="M342" t="s">
        <v>30</v>
      </c>
      <c r="N342" t="s">
        <v>31</v>
      </c>
      <c r="O342">
        <v>1</v>
      </c>
      <c r="P342" t="s">
        <v>4</v>
      </c>
      <c r="Q342">
        <v>22.1</v>
      </c>
      <c r="R342" t="str" cm="1">
        <f t="array" ref="R3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42" t="e">
        <f>IF(Table13[[#This Row],[Category All]]="Category 1", "Yes",NA())</f>
        <v>#N/A</v>
      </c>
      <c r="T342" t="e">
        <f>IF(Table13[[#This Row],[Category All]]="Category 2", "Yes",NA())</f>
        <v>#N/A</v>
      </c>
      <c r="U342" t="str">
        <f>IF(Table13[[#This Row],[Category All]]="Category 3", "Yes",NA())</f>
        <v>Yes</v>
      </c>
      <c r="V342">
        <f>SUM(1,(1/3)*(Table13[[#This Row],[Length]]-0.5),(1/3)*(Table13[[#This Row],[Diameter]]-0.4),(1/3)*(Table13[[#This Row],[Height]]-0.4)*Table13[[#This Row],[Whole_weight]]*0.5)</f>
        <v>1.0273937500000001</v>
      </c>
      <c r="W342" cm="1">
        <f t="array" ref="W3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1.0273937500000001</v>
      </c>
      <c r="X342" t="e">
        <f>IF(Table13[[#This Row],[Category All]]="Category 1",Table13[[#This Row],[Base Abalone Value]]*1.5,NA())</f>
        <v>#N/A</v>
      </c>
      <c r="Y342" t="e">
        <f>IF(Table13[[#This Row],[Category All]]="Category 2",Table13[[#This Row],[Base Abalone Value]]*0.8,NA())</f>
        <v>#N/A</v>
      </c>
      <c r="Z342">
        <f>IF(Table13[[#This Row],[Category All]]="Category 3",Table13[[#This Row],[Base Abalone Value]],NA())</f>
        <v>1.0273937500000001</v>
      </c>
      <c r="AA342" s="2">
        <f>IF(Table13[[#This Row],[Gender]]="M",Table13[[#This Row],[Whole_weight]],NA())</f>
        <v>1.2695000000000001</v>
      </c>
      <c r="AB342" s="2" t="e">
        <f>IF(Table13[[#This Row],[Gender]]="F",Table13[[#This Row],[Whole_weight]],NA())</f>
        <v>#N/A</v>
      </c>
      <c r="AC342" s="2" t="e">
        <f>IF(Table13[[#This Row],[Gender]]="I",Table13[[#This Row],[Whole_weight]],NA())</f>
        <v>#N/A</v>
      </c>
      <c r="AD342" s="2">
        <f>IF(Table13[[#This Row],[Gender]]="M",Table13[[#This Row],[Diameter]],NA())</f>
        <v>0.495</v>
      </c>
      <c r="AE342" s="2" t="e">
        <f>IF(Table13[[#This Row],[Gender]]="F",Table13[[#This Row],[Diameter]],NA())</f>
        <v>#N/A</v>
      </c>
      <c r="AF342" s="2" t="e">
        <f>IF(Table13[[#This Row],[Gender]]="I",Table13[[#This Row],[Diameter]],NA())</f>
        <v>#N/A</v>
      </c>
    </row>
    <row r="343" spans="1:32" x14ac:dyDescent="0.2">
      <c r="A343">
        <v>3445</v>
      </c>
      <c r="B343" t="s">
        <v>0</v>
      </c>
      <c r="C343">
        <v>0.49</v>
      </c>
      <c r="D343">
        <v>0.4</v>
      </c>
      <c r="E343">
        <v>0.115</v>
      </c>
      <c r="F343">
        <v>0.56899999999999995</v>
      </c>
      <c r="G343">
        <v>0.25600000000000001</v>
      </c>
      <c r="H343">
        <v>0.13250000000000001</v>
      </c>
      <c r="I343">
        <v>0.14499999999999999</v>
      </c>
      <c r="J343">
        <v>9</v>
      </c>
      <c r="K343">
        <v>10</v>
      </c>
      <c r="L343" t="s">
        <v>16</v>
      </c>
      <c r="M343" t="s">
        <v>17</v>
      </c>
      <c r="N343" t="s">
        <v>18</v>
      </c>
      <c r="O343">
        <v>9</v>
      </c>
      <c r="P343" t="s">
        <v>46</v>
      </c>
      <c r="Q343">
        <v>1.9</v>
      </c>
      <c r="R343" t="str" cm="1">
        <f t="array" ref="R3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43" t="e">
        <f>IF(Table13[[#This Row],[Category All]]="Category 1", "Yes",NA())</f>
        <v>#N/A</v>
      </c>
      <c r="T343" t="str">
        <f>IF(Table13[[#This Row],[Category All]]="Category 2", "Yes",NA())</f>
        <v>Yes</v>
      </c>
      <c r="U343" t="e">
        <f>IF(Table13[[#This Row],[Category All]]="Category 3", "Yes",NA())</f>
        <v>#N/A</v>
      </c>
      <c r="V343">
        <f>SUM(1,(1/3)*(Table13[[#This Row],[Length]]-0.5),(1/3)*(Table13[[#This Row],[Diameter]]-0.4),(1/3)*(Table13[[#This Row],[Height]]-0.4)*Table13[[#This Row],[Whole_weight]]*0.5)</f>
        <v>0.96963916666666672</v>
      </c>
      <c r="W343" cm="1">
        <f t="array" ref="W3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0.77571133333333342</v>
      </c>
      <c r="X343" t="e">
        <f>IF(Table13[[#This Row],[Category All]]="Category 1",Table13[[#This Row],[Base Abalone Value]]*1.5,NA())</f>
        <v>#N/A</v>
      </c>
      <c r="Y343">
        <f>IF(Table13[[#This Row],[Category All]]="Category 2",Table13[[#This Row],[Base Abalone Value]]*0.8,NA())</f>
        <v>0.77571133333333342</v>
      </c>
      <c r="Z343" t="e">
        <f>IF(Table13[[#This Row],[Category All]]="Category 3",Table13[[#This Row],[Base Abalone Value]],NA())</f>
        <v>#N/A</v>
      </c>
      <c r="AA343" s="2" t="e">
        <f>IF(Table13[[#This Row],[Gender]]="M",Table13[[#This Row],[Whole_weight]],NA())</f>
        <v>#N/A</v>
      </c>
      <c r="AB343" s="2">
        <f>IF(Table13[[#This Row],[Gender]]="F",Table13[[#This Row],[Whole_weight]],NA())</f>
        <v>0.56899999999999995</v>
      </c>
      <c r="AC343" s="2" t="e">
        <f>IF(Table13[[#This Row],[Gender]]="I",Table13[[#This Row],[Whole_weight]],NA())</f>
        <v>#N/A</v>
      </c>
      <c r="AD343" s="2" t="e">
        <f>IF(Table13[[#This Row],[Gender]]="M",Table13[[#This Row],[Diameter]],NA())</f>
        <v>#N/A</v>
      </c>
      <c r="AE343" s="2">
        <f>IF(Table13[[#This Row],[Gender]]="F",Table13[[#This Row],[Diameter]],NA())</f>
        <v>0.4</v>
      </c>
      <c r="AF343" s="2" t="e">
        <f>IF(Table13[[#This Row],[Gender]]="I",Table13[[#This Row],[Diameter]],NA())</f>
        <v>#N/A</v>
      </c>
    </row>
    <row r="344" spans="1:32" x14ac:dyDescent="0.2">
      <c r="A344">
        <v>2086</v>
      </c>
      <c r="B344" t="s">
        <v>0</v>
      </c>
      <c r="C344">
        <v>0.70499999999999996</v>
      </c>
      <c r="D344">
        <v>0.56999999999999995</v>
      </c>
      <c r="E344">
        <v>0.185</v>
      </c>
      <c r="F344">
        <v>1.7609999999999999</v>
      </c>
      <c r="G344">
        <v>0.747</v>
      </c>
      <c r="H344">
        <v>0.3725</v>
      </c>
      <c r="I344">
        <v>0.48799999999999999</v>
      </c>
      <c r="J344">
        <v>10</v>
      </c>
      <c r="K344">
        <v>11</v>
      </c>
      <c r="L344" t="s">
        <v>5</v>
      </c>
      <c r="M344" t="s">
        <v>6</v>
      </c>
      <c r="N344" t="s">
        <v>3</v>
      </c>
      <c r="O344">
        <v>6</v>
      </c>
      <c r="P344" t="s">
        <v>47</v>
      </c>
      <c r="Q344">
        <v>14.1</v>
      </c>
      <c r="R344" t="str" cm="1">
        <f t="array" ref="R3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44" t="e">
        <f>IF(Table13[[#This Row],[Category All]]="Category 1", "Yes",NA())</f>
        <v>#N/A</v>
      </c>
      <c r="T344" t="e">
        <f>IF(Table13[[#This Row],[Category All]]="Category 2", "Yes",NA())</f>
        <v>#N/A</v>
      </c>
      <c r="U344" t="str">
        <f>IF(Table13[[#This Row],[Category All]]="Category 3", "Yes",NA())</f>
        <v>Yes</v>
      </c>
      <c r="V344">
        <f>SUM(1,(1/3)*(Table13[[#This Row],[Length]]-0.5),(1/3)*(Table13[[#This Row],[Diameter]]-0.4),(1/3)*(Table13[[#This Row],[Height]]-0.4)*Table13[[#This Row],[Whole_weight]]*0.5)</f>
        <v>1.0618974999999999</v>
      </c>
      <c r="W344" cm="1">
        <f t="array" ref="W3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1.0618974999999999</v>
      </c>
      <c r="X344" t="e">
        <f>IF(Table13[[#This Row],[Category All]]="Category 1",Table13[[#This Row],[Base Abalone Value]]*1.5,NA())</f>
        <v>#N/A</v>
      </c>
      <c r="Y344" t="e">
        <f>IF(Table13[[#This Row],[Category All]]="Category 2",Table13[[#This Row],[Base Abalone Value]]*0.8,NA())</f>
        <v>#N/A</v>
      </c>
      <c r="Z344">
        <f>IF(Table13[[#This Row],[Category All]]="Category 3",Table13[[#This Row],[Base Abalone Value]],NA())</f>
        <v>1.0618974999999999</v>
      </c>
      <c r="AA344" s="2" t="e">
        <f>IF(Table13[[#This Row],[Gender]]="M",Table13[[#This Row],[Whole_weight]],NA())</f>
        <v>#N/A</v>
      </c>
      <c r="AB344" s="2">
        <f>IF(Table13[[#This Row],[Gender]]="F",Table13[[#This Row],[Whole_weight]],NA())</f>
        <v>1.7609999999999999</v>
      </c>
      <c r="AC344" s="2" t="e">
        <f>IF(Table13[[#This Row],[Gender]]="I",Table13[[#This Row],[Whole_weight]],NA())</f>
        <v>#N/A</v>
      </c>
      <c r="AD344" s="2" t="e">
        <f>IF(Table13[[#This Row],[Gender]]="M",Table13[[#This Row],[Diameter]],NA())</f>
        <v>#N/A</v>
      </c>
      <c r="AE344" s="2">
        <f>IF(Table13[[#This Row],[Gender]]="F",Table13[[#This Row],[Diameter]],NA())</f>
        <v>0.56999999999999995</v>
      </c>
      <c r="AF344" s="2" t="e">
        <f>IF(Table13[[#This Row],[Gender]]="I",Table13[[#This Row],[Diameter]],NA())</f>
        <v>#N/A</v>
      </c>
    </row>
    <row r="345" spans="1:32" x14ac:dyDescent="0.2">
      <c r="A345">
        <v>2076</v>
      </c>
      <c r="B345" t="s">
        <v>15</v>
      </c>
      <c r="C345">
        <v>0.59499999999999997</v>
      </c>
      <c r="D345">
        <v>0.46500000000000002</v>
      </c>
      <c r="E345">
        <v>0.15</v>
      </c>
      <c r="F345">
        <v>0.91900000000000004</v>
      </c>
      <c r="G345">
        <v>0.4335</v>
      </c>
      <c r="H345">
        <v>0.17649999999999999</v>
      </c>
      <c r="I345">
        <v>0.26200000000000001</v>
      </c>
      <c r="J345">
        <v>9</v>
      </c>
      <c r="K345">
        <v>9</v>
      </c>
      <c r="L345" t="s">
        <v>20</v>
      </c>
      <c r="M345" t="s">
        <v>21</v>
      </c>
      <c r="N345" t="s">
        <v>22</v>
      </c>
      <c r="O345">
        <v>7</v>
      </c>
      <c r="P345" t="s">
        <v>42</v>
      </c>
      <c r="Q345">
        <v>2.5</v>
      </c>
      <c r="R345" t="str" cm="1">
        <f t="array" ref="R3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45" t="e">
        <f>IF(Table13[[#This Row],[Category All]]="Category 1", "Yes",NA())</f>
        <v>#N/A</v>
      </c>
      <c r="T345" t="e">
        <f>IF(Table13[[#This Row],[Category All]]="Category 2", "Yes",NA())</f>
        <v>#N/A</v>
      </c>
      <c r="U345" t="str">
        <f>IF(Table13[[#This Row],[Category All]]="Category 3", "Yes",NA())</f>
        <v>Yes</v>
      </c>
      <c r="V345">
        <f>SUM(1,(1/3)*(Table13[[#This Row],[Length]]-0.5),(1/3)*(Table13[[#This Row],[Diameter]]-0.4),(1/3)*(Table13[[#This Row],[Height]]-0.4)*Table13[[#This Row],[Whole_weight]]*0.5)</f>
        <v>1.0150416666666668</v>
      </c>
      <c r="W345" cm="1">
        <f t="array" ref="W3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1.0150416666666668</v>
      </c>
      <c r="X345" t="e">
        <f>IF(Table13[[#This Row],[Category All]]="Category 1",Table13[[#This Row],[Base Abalone Value]]*1.5,NA())</f>
        <v>#N/A</v>
      </c>
      <c r="Y345" t="e">
        <f>IF(Table13[[#This Row],[Category All]]="Category 2",Table13[[#This Row],[Base Abalone Value]]*0.8,NA())</f>
        <v>#N/A</v>
      </c>
      <c r="Z345">
        <f>IF(Table13[[#This Row],[Category All]]="Category 3",Table13[[#This Row],[Base Abalone Value]],NA())</f>
        <v>1.0150416666666668</v>
      </c>
      <c r="AA345" s="2">
        <f>IF(Table13[[#This Row],[Gender]]="M",Table13[[#This Row],[Whole_weight]],NA())</f>
        <v>0.91900000000000004</v>
      </c>
      <c r="AB345" s="2" t="e">
        <f>IF(Table13[[#This Row],[Gender]]="F",Table13[[#This Row],[Whole_weight]],NA())</f>
        <v>#N/A</v>
      </c>
      <c r="AC345" s="2" t="e">
        <f>IF(Table13[[#This Row],[Gender]]="I",Table13[[#This Row],[Whole_weight]],NA())</f>
        <v>#N/A</v>
      </c>
      <c r="AD345" s="2">
        <f>IF(Table13[[#This Row],[Gender]]="M",Table13[[#This Row],[Diameter]],NA())</f>
        <v>0.46500000000000002</v>
      </c>
      <c r="AE345" s="2" t="e">
        <f>IF(Table13[[#This Row],[Gender]]="F",Table13[[#This Row],[Diameter]],NA())</f>
        <v>#N/A</v>
      </c>
      <c r="AF345" s="2" t="e">
        <f>IF(Table13[[#This Row],[Gender]]="I",Table13[[#This Row],[Diameter]],NA())</f>
        <v>#N/A</v>
      </c>
    </row>
    <row r="346" spans="1:32" x14ac:dyDescent="0.2">
      <c r="A346">
        <v>533</v>
      </c>
      <c r="B346" t="s">
        <v>11</v>
      </c>
      <c r="C346">
        <v>0.47</v>
      </c>
      <c r="D346">
        <v>0.37</v>
      </c>
      <c r="E346">
        <v>0.12</v>
      </c>
      <c r="F346">
        <v>0.47049999999999997</v>
      </c>
      <c r="G346">
        <v>0.1845</v>
      </c>
      <c r="H346">
        <v>0.1055</v>
      </c>
      <c r="I346">
        <v>0.155</v>
      </c>
      <c r="J346">
        <v>12</v>
      </c>
      <c r="K346">
        <v>12</v>
      </c>
      <c r="L346" t="s">
        <v>1</v>
      </c>
      <c r="M346" t="s">
        <v>2</v>
      </c>
      <c r="N346" t="s">
        <v>3</v>
      </c>
      <c r="O346">
        <v>3</v>
      </c>
      <c r="P346" t="s">
        <v>48</v>
      </c>
      <c r="Q346">
        <v>3.6</v>
      </c>
      <c r="R346" t="str" cm="1">
        <f t="array" ref="R3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46" t="e">
        <f>IF(Table13[[#This Row],[Category All]]="Category 1", "Yes",NA())</f>
        <v>#N/A</v>
      </c>
      <c r="T346" t="str">
        <f>IF(Table13[[#This Row],[Category All]]="Category 2", "Yes",NA())</f>
        <v>Yes</v>
      </c>
      <c r="U346" t="e">
        <f>IF(Table13[[#This Row],[Category All]]="Category 3", "Yes",NA())</f>
        <v>#N/A</v>
      </c>
      <c r="V346">
        <f>SUM(1,(1/3)*(Table13[[#This Row],[Length]]-0.5),(1/3)*(Table13[[#This Row],[Diameter]]-0.4),(1/3)*(Table13[[#This Row],[Height]]-0.4)*Table13[[#This Row],[Whole_weight]]*0.5)</f>
        <v>0.95804333333333336</v>
      </c>
      <c r="W346" cm="1">
        <f t="array" ref="W3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0.76643466666666671</v>
      </c>
      <c r="X346" t="e">
        <f>IF(Table13[[#This Row],[Category All]]="Category 1",Table13[[#This Row],[Base Abalone Value]]*1.5,NA())</f>
        <v>#N/A</v>
      </c>
      <c r="Y346">
        <f>IF(Table13[[#This Row],[Category All]]="Category 2",Table13[[#This Row],[Base Abalone Value]]*0.8,NA())</f>
        <v>0.76643466666666671</v>
      </c>
      <c r="Z346" t="e">
        <f>IF(Table13[[#This Row],[Category All]]="Category 3",Table13[[#This Row],[Base Abalone Value]],NA())</f>
        <v>#N/A</v>
      </c>
      <c r="AA346" s="2" t="e">
        <f>IF(Table13[[#This Row],[Gender]]="M",Table13[[#This Row],[Whole_weight]],NA())</f>
        <v>#N/A</v>
      </c>
      <c r="AB346" s="2" t="e">
        <f>IF(Table13[[#This Row],[Gender]]="F",Table13[[#This Row],[Whole_weight]],NA())</f>
        <v>#N/A</v>
      </c>
      <c r="AC346" s="2">
        <f>IF(Table13[[#This Row],[Gender]]="I",Table13[[#This Row],[Whole_weight]],NA())</f>
        <v>0.47049999999999997</v>
      </c>
      <c r="AD346" s="2" t="e">
        <f>IF(Table13[[#This Row],[Gender]]="M",Table13[[#This Row],[Diameter]],NA())</f>
        <v>#N/A</v>
      </c>
      <c r="AE346" s="2" t="e">
        <f>IF(Table13[[#This Row],[Gender]]="F",Table13[[#This Row],[Diameter]],NA())</f>
        <v>#N/A</v>
      </c>
      <c r="AF346" s="2">
        <f>IF(Table13[[#This Row],[Gender]]="I",Table13[[#This Row],[Diameter]],NA())</f>
        <v>0.37</v>
      </c>
    </row>
    <row r="347" spans="1:32" x14ac:dyDescent="0.2">
      <c r="A347">
        <v>3443</v>
      </c>
      <c r="B347" t="s">
        <v>15</v>
      </c>
      <c r="C347">
        <v>0.48</v>
      </c>
      <c r="D347">
        <v>0.37</v>
      </c>
      <c r="E347">
        <v>0.13</v>
      </c>
      <c r="F347">
        <v>0.64300000000000002</v>
      </c>
      <c r="G347">
        <v>0.34899999999999998</v>
      </c>
      <c r="H347">
        <v>0.11550000000000001</v>
      </c>
      <c r="I347">
        <v>0.13500000000000001</v>
      </c>
      <c r="J347">
        <v>8</v>
      </c>
      <c r="K347">
        <v>12</v>
      </c>
      <c r="L347" t="s">
        <v>1</v>
      </c>
      <c r="M347" t="s">
        <v>2</v>
      </c>
      <c r="N347" t="s">
        <v>3</v>
      </c>
      <c r="O347">
        <v>10</v>
      </c>
      <c r="P347" t="s">
        <v>38</v>
      </c>
      <c r="Q347">
        <v>24.1</v>
      </c>
      <c r="R347" t="str" cm="1">
        <f t="array" ref="R3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47" t="e">
        <f>IF(Table13[[#This Row],[Category All]]="Category 1", "Yes",NA())</f>
        <v>#N/A</v>
      </c>
      <c r="T347" t="str">
        <f>IF(Table13[[#This Row],[Category All]]="Category 2", "Yes",NA())</f>
        <v>Yes</v>
      </c>
      <c r="U347" t="e">
        <f>IF(Table13[[#This Row],[Category All]]="Category 3", "Yes",NA())</f>
        <v>#N/A</v>
      </c>
      <c r="V347">
        <f>SUM(1,(1/3)*(Table13[[#This Row],[Length]]-0.5),(1/3)*(Table13[[#This Row],[Diameter]]-0.4),(1/3)*(Table13[[#This Row],[Height]]-0.4)*Table13[[#This Row],[Whole_weight]]*0.5)</f>
        <v>0.95439833333333324</v>
      </c>
      <c r="W347" cm="1">
        <f t="array" ref="W3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0.76351866666666668</v>
      </c>
      <c r="X347" t="e">
        <f>IF(Table13[[#This Row],[Category All]]="Category 1",Table13[[#This Row],[Base Abalone Value]]*1.5,NA())</f>
        <v>#N/A</v>
      </c>
      <c r="Y347">
        <f>IF(Table13[[#This Row],[Category All]]="Category 2",Table13[[#This Row],[Base Abalone Value]]*0.8,NA())</f>
        <v>0.76351866666666668</v>
      </c>
      <c r="Z347" t="e">
        <f>IF(Table13[[#This Row],[Category All]]="Category 3",Table13[[#This Row],[Base Abalone Value]],NA())</f>
        <v>#N/A</v>
      </c>
      <c r="AA347" s="2">
        <f>IF(Table13[[#This Row],[Gender]]="M",Table13[[#This Row],[Whole_weight]],NA())</f>
        <v>0.64300000000000002</v>
      </c>
      <c r="AB347" s="2" t="e">
        <f>IF(Table13[[#This Row],[Gender]]="F",Table13[[#This Row],[Whole_weight]],NA())</f>
        <v>#N/A</v>
      </c>
      <c r="AC347" s="2" t="e">
        <f>IF(Table13[[#This Row],[Gender]]="I",Table13[[#This Row],[Whole_weight]],NA())</f>
        <v>#N/A</v>
      </c>
      <c r="AD347" s="2">
        <f>IF(Table13[[#This Row],[Gender]]="M",Table13[[#This Row],[Diameter]],NA())</f>
        <v>0.37</v>
      </c>
      <c r="AE347" s="2" t="e">
        <f>IF(Table13[[#This Row],[Gender]]="F",Table13[[#This Row],[Diameter]],NA())</f>
        <v>#N/A</v>
      </c>
      <c r="AF347" s="2" t="e">
        <f>IF(Table13[[#This Row],[Gender]]="I",Table13[[#This Row],[Diameter]],NA())</f>
        <v>#N/A</v>
      </c>
    </row>
    <row r="348" spans="1:32" x14ac:dyDescent="0.2">
      <c r="A348">
        <v>2496</v>
      </c>
      <c r="B348" t="s">
        <v>15</v>
      </c>
      <c r="C348">
        <v>0.45</v>
      </c>
      <c r="D348">
        <v>0.36</v>
      </c>
      <c r="E348">
        <v>0.16</v>
      </c>
      <c r="F348">
        <v>0.56699999999999995</v>
      </c>
      <c r="G348">
        <v>0.17399999999999999</v>
      </c>
      <c r="H348">
        <v>0.1245</v>
      </c>
      <c r="I348">
        <v>0.22500000000000001</v>
      </c>
      <c r="J348">
        <v>12</v>
      </c>
      <c r="K348">
        <v>14</v>
      </c>
      <c r="L348" t="s">
        <v>23</v>
      </c>
      <c r="M348" t="s">
        <v>24</v>
      </c>
      <c r="N348" t="s">
        <v>25</v>
      </c>
      <c r="O348">
        <v>3</v>
      </c>
      <c r="P348" t="s">
        <v>48</v>
      </c>
      <c r="Q348">
        <v>3.6</v>
      </c>
      <c r="R348" t="str" cm="1">
        <f t="array" ref="R3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48" t="e">
        <f>IF(Table13[[#This Row],[Category All]]="Category 1", "Yes",NA())</f>
        <v>#N/A</v>
      </c>
      <c r="T348" t="str">
        <f>IF(Table13[[#This Row],[Category All]]="Category 2", "Yes",NA())</f>
        <v>Yes</v>
      </c>
      <c r="U348" t="e">
        <f>IF(Table13[[#This Row],[Category All]]="Category 3", "Yes",NA())</f>
        <v>#N/A</v>
      </c>
      <c r="V348">
        <f>SUM(1,(1/3)*(Table13[[#This Row],[Length]]-0.5),(1/3)*(Table13[[#This Row],[Diameter]]-0.4),(1/3)*(Table13[[#This Row],[Height]]-0.4)*Table13[[#This Row],[Whole_weight]]*0.5)</f>
        <v>0.94732000000000005</v>
      </c>
      <c r="W348" cm="1">
        <f t="array" ref="W3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0.75785600000000009</v>
      </c>
      <c r="X348" t="e">
        <f>IF(Table13[[#This Row],[Category All]]="Category 1",Table13[[#This Row],[Base Abalone Value]]*1.5,NA())</f>
        <v>#N/A</v>
      </c>
      <c r="Y348">
        <f>IF(Table13[[#This Row],[Category All]]="Category 2",Table13[[#This Row],[Base Abalone Value]]*0.8,NA())</f>
        <v>0.75785600000000009</v>
      </c>
      <c r="Z348" t="e">
        <f>IF(Table13[[#This Row],[Category All]]="Category 3",Table13[[#This Row],[Base Abalone Value]],NA())</f>
        <v>#N/A</v>
      </c>
      <c r="AA348" s="2">
        <f>IF(Table13[[#This Row],[Gender]]="M",Table13[[#This Row],[Whole_weight]],NA())</f>
        <v>0.56699999999999995</v>
      </c>
      <c r="AB348" s="2" t="e">
        <f>IF(Table13[[#This Row],[Gender]]="F",Table13[[#This Row],[Whole_weight]],NA())</f>
        <v>#N/A</v>
      </c>
      <c r="AC348" s="2" t="e">
        <f>IF(Table13[[#This Row],[Gender]]="I",Table13[[#This Row],[Whole_weight]],NA())</f>
        <v>#N/A</v>
      </c>
      <c r="AD348" s="2">
        <f>IF(Table13[[#This Row],[Gender]]="M",Table13[[#This Row],[Diameter]],NA())</f>
        <v>0.36</v>
      </c>
      <c r="AE348" s="2" t="e">
        <f>IF(Table13[[#This Row],[Gender]]="F",Table13[[#This Row],[Diameter]],NA())</f>
        <v>#N/A</v>
      </c>
      <c r="AF348" s="2" t="e">
        <f>IF(Table13[[#This Row],[Gender]]="I",Table13[[#This Row],[Diameter]],NA())</f>
        <v>#N/A</v>
      </c>
    </row>
    <row r="349" spans="1:32" x14ac:dyDescent="0.2">
      <c r="A349">
        <v>903</v>
      </c>
      <c r="B349" t="s">
        <v>11</v>
      </c>
      <c r="C349">
        <v>0.30499999999999999</v>
      </c>
      <c r="D349">
        <v>0.22</v>
      </c>
      <c r="E349">
        <v>7.0000000000000007E-2</v>
      </c>
      <c r="F349">
        <v>0.14099999999999999</v>
      </c>
      <c r="G349">
        <v>6.2E-2</v>
      </c>
      <c r="H349">
        <v>3.1E-2</v>
      </c>
      <c r="I349">
        <v>3.6999999999999998E-2</v>
      </c>
      <c r="J349">
        <v>5</v>
      </c>
      <c r="K349">
        <v>5</v>
      </c>
      <c r="L349" t="s">
        <v>26</v>
      </c>
      <c r="M349" t="s">
        <v>27</v>
      </c>
      <c r="N349" t="s">
        <v>28</v>
      </c>
      <c r="O349">
        <v>1</v>
      </c>
      <c r="P349" t="s">
        <v>4</v>
      </c>
      <c r="Q349">
        <v>22.1</v>
      </c>
      <c r="R349" t="str" cm="1">
        <f t="array" ref="R3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49" t="e">
        <f>IF(Table13[[#This Row],[Category All]]="Category 1", "Yes",NA())</f>
        <v>#N/A</v>
      </c>
      <c r="T349" t="str">
        <f>IF(Table13[[#This Row],[Category All]]="Category 2", "Yes",NA())</f>
        <v>Yes</v>
      </c>
      <c r="U349" t="e">
        <f>IF(Table13[[#This Row],[Category All]]="Category 3", "Yes",NA())</f>
        <v>#N/A</v>
      </c>
      <c r="V349">
        <f>SUM(1,(1/3)*(Table13[[#This Row],[Length]]-0.5),(1/3)*(Table13[[#This Row],[Diameter]]-0.4),(1/3)*(Table13[[#This Row],[Height]]-0.4)*Table13[[#This Row],[Whole_weight]]*0.5)</f>
        <v>0.86724500000000004</v>
      </c>
      <c r="W349" cm="1">
        <f t="array" ref="W3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0.69379600000000008</v>
      </c>
      <c r="X349" t="e">
        <f>IF(Table13[[#This Row],[Category All]]="Category 1",Table13[[#This Row],[Base Abalone Value]]*1.5,NA())</f>
        <v>#N/A</v>
      </c>
      <c r="Y349">
        <f>IF(Table13[[#This Row],[Category All]]="Category 2",Table13[[#This Row],[Base Abalone Value]]*0.8,NA())</f>
        <v>0.69379600000000008</v>
      </c>
      <c r="Z349" t="e">
        <f>IF(Table13[[#This Row],[Category All]]="Category 3",Table13[[#This Row],[Base Abalone Value]],NA())</f>
        <v>#N/A</v>
      </c>
      <c r="AA349" s="2" t="e">
        <f>IF(Table13[[#This Row],[Gender]]="M",Table13[[#This Row],[Whole_weight]],NA())</f>
        <v>#N/A</v>
      </c>
      <c r="AB349" s="2" t="e">
        <f>IF(Table13[[#This Row],[Gender]]="F",Table13[[#This Row],[Whole_weight]],NA())</f>
        <v>#N/A</v>
      </c>
      <c r="AC349" s="2">
        <f>IF(Table13[[#This Row],[Gender]]="I",Table13[[#This Row],[Whole_weight]],NA())</f>
        <v>0.14099999999999999</v>
      </c>
      <c r="AD349" s="2" t="e">
        <f>IF(Table13[[#This Row],[Gender]]="M",Table13[[#This Row],[Diameter]],NA())</f>
        <v>#N/A</v>
      </c>
      <c r="AE349" s="2" t="e">
        <f>IF(Table13[[#This Row],[Gender]]="F",Table13[[#This Row],[Diameter]],NA())</f>
        <v>#N/A</v>
      </c>
      <c r="AF349" s="2">
        <f>IF(Table13[[#This Row],[Gender]]="I",Table13[[#This Row],[Diameter]],NA())</f>
        <v>0.22</v>
      </c>
    </row>
    <row r="350" spans="1:32" x14ac:dyDescent="0.2">
      <c r="A350">
        <v>3222</v>
      </c>
      <c r="B350" t="s">
        <v>15</v>
      </c>
      <c r="C350">
        <v>0.38500000000000001</v>
      </c>
      <c r="D350">
        <v>0.30499999999999999</v>
      </c>
      <c r="E350">
        <v>0.09</v>
      </c>
      <c r="F350">
        <v>0.27750000000000002</v>
      </c>
      <c r="G350">
        <v>0.109</v>
      </c>
      <c r="H350">
        <v>5.1499999999999997E-2</v>
      </c>
      <c r="I350">
        <v>0.1</v>
      </c>
      <c r="J350">
        <v>9</v>
      </c>
      <c r="K350">
        <v>5</v>
      </c>
      <c r="L350" t="s">
        <v>26</v>
      </c>
      <c r="M350" t="s">
        <v>27</v>
      </c>
      <c r="N350" t="s">
        <v>28</v>
      </c>
      <c r="O350">
        <v>7</v>
      </c>
      <c r="P350" t="s">
        <v>42</v>
      </c>
      <c r="Q350">
        <v>2.5</v>
      </c>
      <c r="R350" t="str" cm="1">
        <f t="array" ref="R3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50" t="e">
        <f>IF(Table13[[#This Row],[Category All]]="Category 1", "Yes",NA())</f>
        <v>#N/A</v>
      </c>
      <c r="T350" t="str">
        <f>IF(Table13[[#This Row],[Category All]]="Category 2", "Yes",NA())</f>
        <v>Yes</v>
      </c>
      <c r="U350" t="e">
        <f>IF(Table13[[#This Row],[Category All]]="Category 3", "Yes",NA())</f>
        <v>#N/A</v>
      </c>
      <c r="V350">
        <f>SUM(1,(1/3)*(Table13[[#This Row],[Length]]-0.5),(1/3)*(Table13[[#This Row],[Diameter]]-0.4),(1/3)*(Table13[[#This Row],[Height]]-0.4)*Table13[[#This Row],[Whole_weight]]*0.5)</f>
        <v>0.91566249999999993</v>
      </c>
      <c r="W350" cm="1">
        <f t="array" ref="W3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0.73253000000000001</v>
      </c>
      <c r="X350" t="e">
        <f>IF(Table13[[#This Row],[Category All]]="Category 1",Table13[[#This Row],[Base Abalone Value]]*1.5,NA())</f>
        <v>#N/A</v>
      </c>
      <c r="Y350">
        <f>IF(Table13[[#This Row],[Category All]]="Category 2",Table13[[#This Row],[Base Abalone Value]]*0.8,NA())</f>
        <v>0.73253000000000001</v>
      </c>
      <c r="Z350" t="e">
        <f>IF(Table13[[#This Row],[Category All]]="Category 3",Table13[[#This Row],[Base Abalone Value]],NA())</f>
        <v>#N/A</v>
      </c>
      <c r="AA350" s="2">
        <f>IF(Table13[[#This Row],[Gender]]="M",Table13[[#This Row],[Whole_weight]],NA())</f>
        <v>0.27750000000000002</v>
      </c>
      <c r="AB350" s="2" t="e">
        <f>IF(Table13[[#This Row],[Gender]]="F",Table13[[#This Row],[Whole_weight]],NA())</f>
        <v>#N/A</v>
      </c>
      <c r="AC350" s="2" t="e">
        <f>IF(Table13[[#This Row],[Gender]]="I",Table13[[#This Row],[Whole_weight]],NA())</f>
        <v>#N/A</v>
      </c>
      <c r="AD350" s="2">
        <f>IF(Table13[[#This Row],[Gender]]="M",Table13[[#This Row],[Diameter]],NA())</f>
        <v>0.30499999999999999</v>
      </c>
      <c r="AE350" s="2" t="e">
        <f>IF(Table13[[#This Row],[Gender]]="F",Table13[[#This Row],[Diameter]],NA())</f>
        <v>#N/A</v>
      </c>
      <c r="AF350" s="2" t="e">
        <f>IF(Table13[[#This Row],[Gender]]="I",Table13[[#This Row],[Diameter]],NA())</f>
        <v>#N/A</v>
      </c>
    </row>
    <row r="351" spans="1:32" x14ac:dyDescent="0.2">
      <c r="A351">
        <v>792</v>
      </c>
      <c r="B351" t="s">
        <v>0</v>
      </c>
      <c r="C351">
        <v>0.48499999999999999</v>
      </c>
      <c r="D351">
        <v>0.375</v>
      </c>
      <c r="E351">
        <v>0.13500000000000001</v>
      </c>
      <c r="F351">
        <v>0.55600000000000005</v>
      </c>
      <c r="G351">
        <v>0.1925</v>
      </c>
      <c r="H351">
        <v>0.13150000000000001</v>
      </c>
      <c r="I351">
        <v>0.16850000000000001</v>
      </c>
      <c r="J351">
        <v>10</v>
      </c>
      <c r="K351">
        <v>11</v>
      </c>
      <c r="L351" t="s">
        <v>5</v>
      </c>
      <c r="M351" t="s">
        <v>6</v>
      </c>
      <c r="N351" t="s">
        <v>3</v>
      </c>
      <c r="O351">
        <v>9</v>
      </c>
      <c r="P351" t="s">
        <v>46</v>
      </c>
      <c r="Q351">
        <v>1.9</v>
      </c>
      <c r="R351" t="str" cm="1">
        <f t="array" ref="R3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51" t="e">
        <f>IF(Table13[[#This Row],[Category All]]="Category 1", "Yes",NA())</f>
        <v>#N/A</v>
      </c>
      <c r="T351" t="str">
        <f>IF(Table13[[#This Row],[Category All]]="Category 2", "Yes",NA())</f>
        <v>Yes</v>
      </c>
      <c r="U351" t="e">
        <f>IF(Table13[[#This Row],[Category All]]="Category 3", "Yes",NA())</f>
        <v>#N/A</v>
      </c>
      <c r="V351">
        <f>SUM(1,(1/3)*(Table13[[#This Row],[Length]]-0.5),(1/3)*(Table13[[#This Row],[Diameter]]-0.4),(1/3)*(Table13[[#This Row],[Height]]-0.4)*Table13[[#This Row],[Whole_weight]]*0.5)</f>
        <v>0.96211000000000002</v>
      </c>
      <c r="W351" cm="1">
        <f t="array" ref="W3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0.76968800000000004</v>
      </c>
      <c r="X351" t="e">
        <f>IF(Table13[[#This Row],[Category All]]="Category 1",Table13[[#This Row],[Base Abalone Value]]*1.5,NA())</f>
        <v>#N/A</v>
      </c>
      <c r="Y351">
        <f>IF(Table13[[#This Row],[Category All]]="Category 2",Table13[[#This Row],[Base Abalone Value]]*0.8,NA())</f>
        <v>0.76968800000000004</v>
      </c>
      <c r="Z351" t="e">
        <f>IF(Table13[[#This Row],[Category All]]="Category 3",Table13[[#This Row],[Base Abalone Value]],NA())</f>
        <v>#N/A</v>
      </c>
      <c r="AA351" s="2" t="e">
        <f>IF(Table13[[#This Row],[Gender]]="M",Table13[[#This Row],[Whole_weight]],NA())</f>
        <v>#N/A</v>
      </c>
      <c r="AB351" s="2">
        <f>IF(Table13[[#This Row],[Gender]]="F",Table13[[#This Row],[Whole_weight]],NA())</f>
        <v>0.55600000000000005</v>
      </c>
      <c r="AC351" s="2" t="e">
        <f>IF(Table13[[#This Row],[Gender]]="I",Table13[[#This Row],[Whole_weight]],NA())</f>
        <v>#N/A</v>
      </c>
      <c r="AD351" s="2" t="e">
        <f>IF(Table13[[#This Row],[Gender]]="M",Table13[[#This Row],[Diameter]],NA())</f>
        <v>#N/A</v>
      </c>
      <c r="AE351" s="2">
        <f>IF(Table13[[#This Row],[Gender]]="F",Table13[[#This Row],[Diameter]],NA())</f>
        <v>0.375</v>
      </c>
      <c r="AF351" s="2" t="e">
        <f>IF(Table13[[#This Row],[Gender]]="I",Table13[[#This Row],[Diameter]],NA())</f>
        <v>#N/A</v>
      </c>
    </row>
    <row r="352" spans="1:32" x14ac:dyDescent="0.2">
      <c r="A352">
        <v>376</v>
      </c>
      <c r="B352" t="s">
        <v>0</v>
      </c>
      <c r="C352">
        <v>0.67500000000000004</v>
      </c>
      <c r="D352">
        <v>0.54500000000000004</v>
      </c>
      <c r="E352">
        <v>0.19500000000000001</v>
      </c>
      <c r="F352">
        <v>1.7344999999999999</v>
      </c>
      <c r="G352">
        <v>0.6845</v>
      </c>
      <c r="H352">
        <v>0.3695</v>
      </c>
      <c r="I352">
        <v>0.60499999999999998</v>
      </c>
      <c r="J352">
        <v>20</v>
      </c>
      <c r="K352">
        <v>5</v>
      </c>
      <c r="L352" t="s">
        <v>26</v>
      </c>
      <c r="M352" t="s">
        <v>27</v>
      </c>
      <c r="N352" t="s">
        <v>28</v>
      </c>
      <c r="O352">
        <v>3</v>
      </c>
      <c r="P352" t="s">
        <v>48</v>
      </c>
      <c r="Q352">
        <v>3.6</v>
      </c>
      <c r="R352" t="str" cm="1">
        <f t="array" ref="R3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52" t="e">
        <f>IF(Table13[[#This Row],[Category All]]="Category 1", "Yes",NA())</f>
        <v>#N/A</v>
      </c>
      <c r="T352" t="str">
        <f>IF(Table13[[#This Row],[Category All]]="Category 2", "Yes",NA())</f>
        <v>Yes</v>
      </c>
      <c r="U352" t="e">
        <f>IF(Table13[[#This Row],[Category All]]="Category 3", "Yes",NA())</f>
        <v>#N/A</v>
      </c>
      <c r="V352">
        <f>SUM(1,(1/3)*(Table13[[#This Row],[Length]]-0.5),(1/3)*(Table13[[#This Row],[Diameter]]-0.4),(1/3)*(Table13[[#This Row],[Height]]-0.4)*Table13[[#This Row],[Whole_weight]]*0.5)</f>
        <v>1.0474045833333334</v>
      </c>
      <c r="W352" cm="1">
        <f t="array" ref="W3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0.83792366666666673</v>
      </c>
      <c r="X352" t="e">
        <f>IF(Table13[[#This Row],[Category All]]="Category 1",Table13[[#This Row],[Base Abalone Value]]*1.5,NA())</f>
        <v>#N/A</v>
      </c>
      <c r="Y352">
        <f>IF(Table13[[#This Row],[Category All]]="Category 2",Table13[[#This Row],[Base Abalone Value]]*0.8,NA())</f>
        <v>0.83792366666666673</v>
      </c>
      <c r="Z352" t="e">
        <f>IF(Table13[[#This Row],[Category All]]="Category 3",Table13[[#This Row],[Base Abalone Value]],NA())</f>
        <v>#N/A</v>
      </c>
      <c r="AA352" s="2" t="e">
        <f>IF(Table13[[#This Row],[Gender]]="M",Table13[[#This Row],[Whole_weight]],NA())</f>
        <v>#N/A</v>
      </c>
      <c r="AB352" s="2">
        <f>IF(Table13[[#This Row],[Gender]]="F",Table13[[#This Row],[Whole_weight]],NA())</f>
        <v>1.7344999999999999</v>
      </c>
      <c r="AC352" s="2" t="e">
        <f>IF(Table13[[#This Row],[Gender]]="I",Table13[[#This Row],[Whole_weight]],NA())</f>
        <v>#N/A</v>
      </c>
      <c r="AD352" s="2" t="e">
        <f>IF(Table13[[#This Row],[Gender]]="M",Table13[[#This Row],[Diameter]],NA())</f>
        <v>#N/A</v>
      </c>
      <c r="AE352" s="2">
        <f>IF(Table13[[#This Row],[Gender]]="F",Table13[[#This Row],[Diameter]],NA())</f>
        <v>0.54500000000000004</v>
      </c>
      <c r="AF352" s="2" t="e">
        <f>IF(Table13[[#This Row],[Gender]]="I",Table13[[#This Row],[Diameter]],NA())</f>
        <v>#N/A</v>
      </c>
    </row>
    <row r="353" spans="1:32" x14ac:dyDescent="0.2">
      <c r="A353">
        <v>1984</v>
      </c>
      <c r="B353" t="s">
        <v>0</v>
      </c>
      <c r="C353">
        <v>0.72499999999999998</v>
      </c>
      <c r="D353">
        <v>0.56999999999999995</v>
      </c>
      <c r="E353">
        <v>0.20499999999999999</v>
      </c>
      <c r="F353">
        <v>1.6194999999999999</v>
      </c>
      <c r="G353">
        <v>0.74399999999999999</v>
      </c>
      <c r="H353">
        <v>0.315</v>
      </c>
      <c r="I353">
        <v>0.48799999999999999</v>
      </c>
      <c r="J353">
        <v>11</v>
      </c>
      <c r="K353">
        <v>3</v>
      </c>
      <c r="L353" t="s">
        <v>43</v>
      </c>
      <c r="M353" t="s">
        <v>44</v>
      </c>
      <c r="N353" t="s">
        <v>45</v>
      </c>
      <c r="O353">
        <v>8</v>
      </c>
      <c r="P353" t="s">
        <v>19</v>
      </c>
      <c r="Q353">
        <v>12.3</v>
      </c>
      <c r="R353" t="str" cm="1">
        <f t="array" ref="R3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53" t="e">
        <f>IF(Table13[[#This Row],[Category All]]="Category 1", "Yes",NA())</f>
        <v>#N/A</v>
      </c>
      <c r="T353" t="e">
        <f>IF(Table13[[#This Row],[Category All]]="Category 2", "Yes",NA())</f>
        <v>#N/A</v>
      </c>
      <c r="U353" t="str">
        <f>IF(Table13[[#This Row],[Category All]]="Category 3", "Yes",NA())</f>
        <v>Yes</v>
      </c>
      <c r="V353">
        <f>SUM(1,(1/3)*(Table13[[#This Row],[Length]]-0.5),(1/3)*(Table13[[#This Row],[Diameter]]-0.4),(1/3)*(Table13[[#This Row],[Height]]-0.4)*Table13[[#This Row],[Whole_weight]]*0.5)</f>
        <v>1.0790329166666666</v>
      </c>
      <c r="W353" cm="1">
        <f t="array" ref="W3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1.0790329166666666</v>
      </c>
      <c r="X353" t="e">
        <f>IF(Table13[[#This Row],[Category All]]="Category 1",Table13[[#This Row],[Base Abalone Value]]*1.5,NA())</f>
        <v>#N/A</v>
      </c>
      <c r="Y353" t="e">
        <f>IF(Table13[[#This Row],[Category All]]="Category 2",Table13[[#This Row],[Base Abalone Value]]*0.8,NA())</f>
        <v>#N/A</v>
      </c>
      <c r="Z353">
        <f>IF(Table13[[#This Row],[Category All]]="Category 3",Table13[[#This Row],[Base Abalone Value]],NA())</f>
        <v>1.0790329166666666</v>
      </c>
      <c r="AA353" s="2" t="e">
        <f>IF(Table13[[#This Row],[Gender]]="M",Table13[[#This Row],[Whole_weight]],NA())</f>
        <v>#N/A</v>
      </c>
      <c r="AB353" s="2">
        <f>IF(Table13[[#This Row],[Gender]]="F",Table13[[#This Row],[Whole_weight]],NA())</f>
        <v>1.6194999999999999</v>
      </c>
      <c r="AC353" s="2" t="e">
        <f>IF(Table13[[#This Row],[Gender]]="I",Table13[[#This Row],[Whole_weight]],NA())</f>
        <v>#N/A</v>
      </c>
      <c r="AD353" s="2" t="e">
        <f>IF(Table13[[#This Row],[Gender]]="M",Table13[[#This Row],[Diameter]],NA())</f>
        <v>#N/A</v>
      </c>
      <c r="AE353" s="2">
        <f>IF(Table13[[#This Row],[Gender]]="F",Table13[[#This Row],[Diameter]],NA())</f>
        <v>0.56999999999999995</v>
      </c>
      <c r="AF353" s="2" t="e">
        <f>IF(Table13[[#This Row],[Gender]]="I",Table13[[#This Row],[Diameter]],NA())</f>
        <v>#N/A</v>
      </c>
    </row>
    <row r="354" spans="1:32" x14ac:dyDescent="0.2">
      <c r="A354">
        <v>3456</v>
      </c>
      <c r="B354" t="s">
        <v>15</v>
      </c>
      <c r="C354">
        <v>0.6</v>
      </c>
      <c r="D354">
        <v>0.47499999999999998</v>
      </c>
      <c r="E354">
        <v>0.155</v>
      </c>
      <c r="F354">
        <v>1.1385000000000001</v>
      </c>
      <c r="G354">
        <v>0.502</v>
      </c>
      <c r="H354">
        <v>0.22950000000000001</v>
      </c>
      <c r="I354">
        <v>0.31</v>
      </c>
      <c r="J354">
        <v>9</v>
      </c>
      <c r="K354">
        <v>4</v>
      </c>
      <c r="L354" t="s">
        <v>52</v>
      </c>
      <c r="M354" t="s">
        <v>53</v>
      </c>
      <c r="N354" t="s">
        <v>54</v>
      </c>
      <c r="O354">
        <v>1</v>
      </c>
      <c r="P354" t="s">
        <v>4</v>
      </c>
      <c r="Q354">
        <v>22.1</v>
      </c>
      <c r="R354" t="str" cm="1">
        <f t="array" ref="R3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54" t="e">
        <f>IF(Table13[[#This Row],[Category All]]="Category 1", "Yes",NA())</f>
        <v>#N/A</v>
      </c>
      <c r="T354" t="e">
        <f>IF(Table13[[#This Row],[Category All]]="Category 2", "Yes",NA())</f>
        <v>#N/A</v>
      </c>
      <c r="U354" t="str">
        <f>IF(Table13[[#This Row],[Category All]]="Category 3", "Yes",NA())</f>
        <v>Yes</v>
      </c>
      <c r="V354">
        <f>SUM(1,(1/3)*(Table13[[#This Row],[Length]]-0.5),(1/3)*(Table13[[#This Row],[Diameter]]-0.4),(1/3)*(Table13[[#This Row],[Height]]-0.4)*Table13[[#This Row],[Whole_weight]]*0.5)</f>
        <v>1.0118445833333332</v>
      </c>
      <c r="W354" cm="1">
        <f t="array" ref="W3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1.0118445833333332</v>
      </c>
      <c r="X354" t="e">
        <f>IF(Table13[[#This Row],[Category All]]="Category 1",Table13[[#This Row],[Base Abalone Value]]*1.5,NA())</f>
        <v>#N/A</v>
      </c>
      <c r="Y354" t="e">
        <f>IF(Table13[[#This Row],[Category All]]="Category 2",Table13[[#This Row],[Base Abalone Value]]*0.8,NA())</f>
        <v>#N/A</v>
      </c>
      <c r="Z354">
        <f>IF(Table13[[#This Row],[Category All]]="Category 3",Table13[[#This Row],[Base Abalone Value]],NA())</f>
        <v>1.0118445833333332</v>
      </c>
      <c r="AA354" s="2">
        <f>IF(Table13[[#This Row],[Gender]]="M",Table13[[#This Row],[Whole_weight]],NA())</f>
        <v>1.1385000000000001</v>
      </c>
      <c r="AB354" s="2" t="e">
        <f>IF(Table13[[#This Row],[Gender]]="F",Table13[[#This Row],[Whole_weight]],NA())</f>
        <v>#N/A</v>
      </c>
      <c r="AC354" s="2" t="e">
        <f>IF(Table13[[#This Row],[Gender]]="I",Table13[[#This Row],[Whole_weight]],NA())</f>
        <v>#N/A</v>
      </c>
      <c r="AD354" s="2">
        <f>IF(Table13[[#This Row],[Gender]]="M",Table13[[#This Row],[Diameter]],NA())</f>
        <v>0.47499999999999998</v>
      </c>
      <c r="AE354" s="2" t="e">
        <f>IF(Table13[[#This Row],[Gender]]="F",Table13[[#This Row],[Diameter]],NA())</f>
        <v>#N/A</v>
      </c>
      <c r="AF354" s="2" t="e">
        <f>IF(Table13[[#This Row],[Gender]]="I",Table13[[#This Row],[Diameter]],NA())</f>
        <v>#N/A</v>
      </c>
    </row>
    <row r="355" spans="1:32" x14ac:dyDescent="0.2">
      <c r="A355">
        <v>3663</v>
      </c>
      <c r="B355" t="s">
        <v>11</v>
      </c>
      <c r="C355">
        <v>0.55000000000000004</v>
      </c>
      <c r="D355">
        <v>0.45</v>
      </c>
      <c r="E355">
        <v>0.14000000000000001</v>
      </c>
      <c r="F355">
        <v>0.753</v>
      </c>
      <c r="G355">
        <v>0.34449999999999997</v>
      </c>
      <c r="H355">
        <v>0.13250000000000001</v>
      </c>
      <c r="I355">
        <v>0.24</v>
      </c>
      <c r="J355">
        <v>8</v>
      </c>
      <c r="K355">
        <v>15</v>
      </c>
      <c r="L355" t="s">
        <v>49</v>
      </c>
      <c r="M355" t="s">
        <v>50</v>
      </c>
      <c r="N355" t="s">
        <v>3</v>
      </c>
      <c r="O355">
        <v>7</v>
      </c>
      <c r="P355" t="s">
        <v>42</v>
      </c>
      <c r="Q355">
        <v>2.5</v>
      </c>
      <c r="R355" t="str" cm="1">
        <f t="array" ref="R3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55" t="e">
        <f>IF(Table13[[#This Row],[Category All]]="Category 1", "Yes",NA())</f>
        <v>#N/A</v>
      </c>
      <c r="T355" t="str">
        <f>IF(Table13[[#This Row],[Category All]]="Category 2", "Yes",NA())</f>
        <v>Yes</v>
      </c>
      <c r="U355" t="e">
        <f>IF(Table13[[#This Row],[Category All]]="Category 3", "Yes",NA())</f>
        <v>#N/A</v>
      </c>
      <c r="V355">
        <f>SUM(1,(1/3)*(Table13[[#This Row],[Length]]-0.5),(1/3)*(Table13[[#This Row],[Diameter]]-0.4),(1/3)*(Table13[[#This Row],[Height]]-0.4)*Table13[[#This Row],[Whole_weight]]*0.5)</f>
        <v>1.0007033333333333</v>
      </c>
      <c r="W355" cm="1">
        <f t="array" ref="W3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0.80056266666666664</v>
      </c>
      <c r="X355" t="e">
        <f>IF(Table13[[#This Row],[Category All]]="Category 1",Table13[[#This Row],[Base Abalone Value]]*1.5,NA())</f>
        <v>#N/A</v>
      </c>
      <c r="Y355">
        <f>IF(Table13[[#This Row],[Category All]]="Category 2",Table13[[#This Row],[Base Abalone Value]]*0.8,NA())</f>
        <v>0.80056266666666664</v>
      </c>
      <c r="Z355" t="e">
        <f>IF(Table13[[#This Row],[Category All]]="Category 3",Table13[[#This Row],[Base Abalone Value]],NA())</f>
        <v>#N/A</v>
      </c>
      <c r="AA355" s="2" t="e">
        <f>IF(Table13[[#This Row],[Gender]]="M",Table13[[#This Row],[Whole_weight]],NA())</f>
        <v>#N/A</v>
      </c>
      <c r="AB355" s="2" t="e">
        <f>IF(Table13[[#This Row],[Gender]]="F",Table13[[#This Row],[Whole_weight]],NA())</f>
        <v>#N/A</v>
      </c>
      <c r="AC355" s="2">
        <f>IF(Table13[[#This Row],[Gender]]="I",Table13[[#This Row],[Whole_weight]],NA())</f>
        <v>0.753</v>
      </c>
      <c r="AD355" s="2" t="e">
        <f>IF(Table13[[#This Row],[Gender]]="M",Table13[[#This Row],[Diameter]],NA())</f>
        <v>#N/A</v>
      </c>
      <c r="AE355" s="2" t="e">
        <f>IF(Table13[[#This Row],[Gender]]="F",Table13[[#This Row],[Diameter]],NA())</f>
        <v>#N/A</v>
      </c>
      <c r="AF355" s="2">
        <f>IF(Table13[[#This Row],[Gender]]="I",Table13[[#This Row],[Diameter]],NA())</f>
        <v>0.45</v>
      </c>
    </row>
    <row r="356" spans="1:32" x14ac:dyDescent="0.2">
      <c r="A356">
        <v>369</v>
      </c>
      <c r="B356" t="s">
        <v>15</v>
      </c>
      <c r="C356">
        <v>0.63</v>
      </c>
      <c r="D356">
        <v>0.49</v>
      </c>
      <c r="E356">
        <v>0.18</v>
      </c>
      <c r="F356">
        <v>1.1299999999999999</v>
      </c>
      <c r="G356">
        <v>0.45800000000000002</v>
      </c>
      <c r="H356">
        <v>0.27650000000000002</v>
      </c>
      <c r="I356">
        <v>0.315</v>
      </c>
      <c r="J356">
        <v>12</v>
      </c>
      <c r="K356">
        <v>12</v>
      </c>
      <c r="L356" t="s">
        <v>1</v>
      </c>
      <c r="M356" t="s">
        <v>2</v>
      </c>
      <c r="N356" t="s">
        <v>3</v>
      </c>
      <c r="O356">
        <v>10</v>
      </c>
      <c r="P356" t="s">
        <v>38</v>
      </c>
      <c r="Q356">
        <v>24.1</v>
      </c>
      <c r="R356" t="str" cm="1">
        <f t="array" ref="R3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56" t="e">
        <f>IF(Table13[[#This Row],[Category All]]="Category 1", "Yes",NA())</f>
        <v>#N/A</v>
      </c>
      <c r="T356" t="e">
        <f>IF(Table13[[#This Row],[Category All]]="Category 2", "Yes",NA())</f>
        <v>#N/A</v>
      </c>
      <c r="U356" t="str">
        <f>IF(Table13[[#This Row],[Category All]]="Category 3", "Yes",NA())</f>
        <v>Yes</v>
      </c>
      <c r="V356">
        <f>SUM(1,(1/3)*(Table13[[#This Row],[Length]]-0.5),(1/3)*(Table13[[#This Row],[Diameter]]-0.4),(1/3)*(Table13[[#This Row],[Height]]-0.4)*Table13[[#This Row],[Whole_weight]]*0.5)</f>
        <v>1.0319</v>
      </c>
      <c r="W356" cm="1">
        <f t="array" ref="W3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1.0319</v>
      </c>
      <c r="X356" t="e">
        <f>IF(Table13[[#This Row],[Category All]]="Category 1",Table13[[#This Row],[Base Abalone Value]]*1.5,NA())</f>
        <v>#N/A</v>
      </c>
      <c r="Y356" t="e">
        <f>IF(Table13[[#This Row],[Category All]]="Category 2",Table13[[#This Row],[Base Abalone Value]]*0.8,NA())</f>
        <v>#N/A</v>
      </c>
      <c r="Z356">
        <f>IF(Table13[[#This Row],[Category All]]="Category 3",Table13[[#This Row],[Base Abalone Value]],NA())</f>
        <v>1.0319</v>
      </c>
      <c r="AA356" s="2">
        <f>IF(Table13[[#This Row],[Gender]]="M",Table13[[#This Row],[Whole_weight]],NA())</f>
        <v>1.1299999999999999</v>
      </c>
      <c r="AB356" s="2" t="e">
        <f>IF(Table13[[#This Row],[Gender]]="F",Table13[[#This Row],[Whole_weight]],NA())</f>
        <v>#N/A</v>
      </c>
      <c r="AC356" s="2" t="e">
        <f>IF(Table13[[#This Row],[Gender]]="I",Table13[[#This Row],[Whole_weight]],NA())</f>
        <v>#N/A</v>
      </c>
      <c r="AD356" s="2">
        <f>IF(Table13[[#This Row],[Gender]]="M",Table13[[#This Row],[Diameter]],NA())</f>
        <v>0.49</v>
      </c>
      <c r="AE356" s="2" t="e">
        <f>IF(Table13[[#This Row],[Gender]]="F",Table13[[#This Row],[Diameter]],NA())</f>
        <v>#N/A</v>
      </c>
      <c r="AF356" s="2" t="e">
        <f>IF(Table13[[#This Row],[Gender]]="I",Table13[[#This Row],[Diameter]],NA())</f>
        <v>#N/A</v>
      </c>
    </row>
    <row r="357" spans="1:32" x14ac:dyDescent="0.2">
      <c r="A357">
        <v>3453</v>
      </c>
      <c r="B357" t="s">
        <v>0</v>
      </c>
      <c r="C357">
        <v>0.55500000000000005</v>
      </c>
      <c r="D357">
        <v>0.44</v>
      </c>
      <c r="E357">
        <v>0.14499999999999999</v>
      </c>
      <c r="F357">
        <v>0.88149999999999995</v>
      </c>
      <c r="G357">
        <v>0.43</v>
      </c>
      <c r="H357">
        <v>0.19750000000000001</v>
      </c>
      <c r="I357">
        <v>0.2155</v>
      </c>
      <c r="J357">
        <v>8</v>
      </c>
      <c r="K357">
        <v>4</v>
      </c>
      <c r="L357" t="s">
        <v>52</v>
      </c>
      <c r="M357" t="s">
        <v>53</v>
      </c>
      <c r="N357" t="s">
        <v>54</v>
      </c>
      <c r="O357">
        <v>6</v>
      </c>
      <c r="P357" t="s">
        <v>47</v>
      </c>
      <c r="Q357">
        <v>14.1</v>
      </c>
      <c r="R357" t="str" cm="1">
        <f t="array" ref="R3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57" t="e">
        <f>IF(Table13[[#This Row],[Category All]]="Category 1", "Yes",NA())</f>
        <v>#N/A</v>
      </c>
      <c r="T357" t="e">
        <f>IF(Table13[[#This Row],[Category All]]="Category 2", "Yes",NA())</f>
        <v>#N/A</v>
      </c>
      <c r="U357" t="str">
        <f>IF(Table13[[#This Row],[Category All]]="Category 3", "Yes",NA())</f>
        <v>Yes</v>
      </c>
      <c r="V357">
        <f>SUM(1,(1/3)*(Table13[[#This Row],[Length]]-0.5),(1/3)*(Table13[[#This Row],[Diameter]]-0.4),(1/3)*(Table13[[#This Row],[Height]]-0.4)*Table13[[#This Row],[Whole_weight]]*0.5)</f>
        <v>0.99420291666666671</v>
      </c>
      <c r="W357" cm="1">
        <f t="array" ref="W3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0.99420291666666671</v>
      </c>
      <c r="X357" t="e">
        <f>IF(Table13[[#This Row],[Category All]]="Category 1",Table13[[#This Row],[Base Abalone Value]]*1.5,NA())</f>
        <v>#N/A</v>
      </c>
      <c r="Y357" t="e">
        <f>IF(Table13[[#This Row],[Category All]]="Category 2",Table13[[#This Row],[Base Abalone Value]]*0.8,NA())</f>
        <v>#N/A</v>
      </c>
      <c r="Z357">
        <f>IF(Table13[[#This Row],[Category All]]="Category 3",Table13[[#This Row],[Base Abalone Value]],NA())</f>
        <v>0.99420291666666671</v>
      </c>
      <c r="AA357" s="2" t="e">
        <f>IF(Table13[[#This Row],[Gender]]="M",Table13[[#This Row],[Whole_weight]],NA())</f>
        <v>#N/A</v>
      </c>
      <c r="AB357" s="2">
        <f>IF(Table13[[#This Row],[Gender]]="F",Table13[[#This Row],[Whole_weight]],NA())</f>
        <v>0.88149999999999995</v>
      </c>
      <c r="AC357" s="2" t="e">
        <f>IF(Table13[[#This Row],[Gender]]="I",Table13[[#This Row],[Whole_weight]],NA())</f>
        <v>#N/A</v>
      </c>
      <c r="AD357" s="2" t="e">
        <f>IF(Table13[[#This Row],[Gender]]="M",Table13[[#This Row],[Diameter]],NA())</f>
        <v>#N/A</v>
      </c>
      <c r="AE357" s="2">
        <f>IF(Table13[[#This Row],[Gender]]="F",Table13[[#This Row],[Diameter]],NA())</f>
        <v>0.44</v>
      </c>
      <c r="AF357" s="2" t="e">
        <f>IF(Table13[[#This Row],[Gender]]="I",Table13[[#This Row],[Diameter]],NA())</f>
        <v>#N/A</v>
      </c>
    </row>
    <row r="358" spans="1:32" x14ac:dyDescent="0.2">
      <c r="A358">
        <v>3607</v>
      </c>
      <c r="B358" t="s">
        <v>0</v>
      </c>
      <c r="C358">
        <v>0.51</v>
      </c>
      <c r="D358">
        <v>0.375</v>
      </c>
      <c r="E358">
        <v>0.11</v>
      </c>
      <c r="F358">
        <v>0.58050000000000002</v>
      </c>
      <c r="G358">
        <v>0.28649999999999998</v>
      </c>
      <c r="H358">
        <v>0.11799999999999999</v>
      </c>
      <c r="I358">
        <v>0.14799999999999999</v>
      </c>
      <c r="J358">
        <v>7</v>
      </c>
      <c r="K358">
        <v>9</v>
      </c>
      <c r="L358" t="s">
        <v>20</v>
      </c>
      <c r="M358" t="s">
        <v>21</v>
      </c>
      <c r="N358" t="s">
        <v>22</v>
      </c>
      <c r="O358">
        <v>8</v>
      </c>
      <c r="P358" t="s">
        <v>19</v>
      </c>
      <c r="Q358">
        <v>12.3</v>
      </c>
      <c r="R358" t="str" cm="1">
        <f t="array" ref="R3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58" t="e">
        <f>IF(Table13[[#This Row],[Category All]]="Category 1", "Yes",NA())</f>
        <v>#N/A</v>
      </c>
      <c r="T358" t="str">
        <f>IF(Table13[[#This Row],[Category All]]="Category 2", "Yes",NA())</f>
        <v>Yes</v>
      </c>
      <c r="U358" t="e">
        <f>IF(Table13[[#This Row],[Category All]]="Category 3", "Yes",NA())</f>
        <v>#N/A</v>
      </c>
      <c r="V358">
        <f>SUM(1,(1/3)*(Table13[[#This Row],[Length]]-0.5),(1/3)*(Table13[[#This Row],[Diameter]]-0.4),(1/3)*(Table13[[#This Row],[Height]]-0.4)*Table13[[#This Row],[Whole_weight]]*0.5)</f>
        <v>0.96694250000000015</v>
      </c>
      <c r="W358" cm="1">
        <f t="array" ref="W3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0.77355400000000019</v>
      </c>
      <c r="X358" t="e">
        <f>IF(Table13[[#This Row],[Category All]]="Category 1",Table13[[#This Row],[Base Abalone Value]]*1.5,NA())</f>
        <v>#N/A</v>
      </c>
      <c r="Y358">
        <f>IF(Table13[[#This Row],[Category All]]="Category 2",Table13[[#This Row],[Base Abalone Value]]*0.8,NA())</f>
        <v>0.77355400000000019</v>
      </c>
      <c r="Z358" t="e">
        <f>IF(Table13[[#This Row],[Category All]]="Category 3",Table13[[#This Row],[Base Abalone Value]],NA())</f>
        <v>#N/A</v>
      </c>
      <c r="AA358" s="2" t="e">
        <f>IF(Table13[[#This Row],[Gender]]="M",Table13[[#This Row],[Whole_weight]],NA())</f>
        <v>#N/A</v>
      </c>
      <c r="AB358" s="2">
        <f>IF(Table13[[#This Row],[Gender]]="F",Table13[[#This Row],[Whole_weight]],NA())</f>
        <v>0.58050000000000002</v>
      </c>
      <c r="AC358" s="2" t="e">
        <f>IF(Table13[[#This Row],[Gender]]="I",Table13[[#This Row],[Whole_weight]],NA())</f>
        <v>#N/A</v>
      </c>
      <c r="AD358" s="2" t="e">
        <f>IF(Table13[[#This Row],[Gender]]="M",Table13[[#This Row],[Diameter]],NA())</f>
        <v>#N/A</v>
      </c>
      <c r="AE358" s="2">
        <f>IF(Table13[[#This Row],[Gender]]="F",Table13[[#This Row],[Diameter]],NA())</f>
        <v>0.375</v>
      </c>
      <c r="AF358" s="2" t="e">
        <f>IF(Table13[[#This Row],[Gender]]="I",Table13[[#This Row],[Diameter]],NA())</f>
        <v>#N/A</v>
      </c>
    </row>
    <row r="359" spans="1:32" x14ac:dyDescent="0.2">
      <c r="A359">
        <v>3686</v>
      </c>
      <c r="B359" t="s">
        <v>15</v>
      </c>
      <c r="C359">
        <v>0.62</v>
      </c>
      <c r="D359">
        <v>0.48</v>
      </c>
      <c r="E359">
        <v>0.16500000000000001</v>
      </c>
      <c r="F359">
        <v>1.0854999999999999</v>
      </c>
      <c r="G359">
        <v>0.48099999999999998</v>
      </c>
      <c r="H359">
        <v>0.25750000000000001</v>
      </c>
      <c r="I359">
        <v>0.30499999999999999</v>
      </c>
      <c r="J359">
        <v>10</v>
      </c>
      <c r="K359">
        <v>10</v>
      </c>
      <c r="L359" t="s">
        <v>16</v>
      </c>
      <c r="M359" t="s">
        <v>17</v>
      </c>
      <c r="N359" t="s">
        <v>18</v>
      </c>
      <c r="O359">
        <v>9</v>
      </c>
      <c r="P359" t="s">
        <v>46</v>
      </c>
      <c r="Q359">
        <v>1.9</v>
      </c>
      <c r="R359" t="str" cm="1">
        <f t="array" ref="R3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59" t="e">
        <f>IF(Table13[[#This Row],[Category All]]="Category 1", "Yes",NA())</f>
        <v>#N/A</v>
      </c>
      <c r="T359" t="e">
        <f>IF(Table13[[#This Row],[Category All]]="Category 2", "Yes",NA())</f>
        <v>#N/A</v>
      </c>
      <c r="U359" t="str">
        <f>IF(Table13[[#This Row],[Category All]]="Category 3", "Yes",NA())</f>
        <v>Yes</v>
      </c>
      <c r="V359">
        <f>SUM(1,(1/3)*(Table13[[#This Row],[Length]]-0.5),(1/3)*(Table13[[#This Row],[Diameter]]-0.4),(1/3)*(Table13[[#This Row],[Height]]-0.4)*Table13[[#This Row],[Whole_weight]]*0.5)</f>
        <v>1.0241512500000001</v>
      </c>
      <c r="W359" cm="1">
        <f t="array" ref="W3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1.0241512500000001</v>
      </c>
      <c r="X359" t="e">
        <f>IF(Table13[[#This Row],[Category All]]="Category 1",Table13[[#This Row],[Base Abalone Value]]*1.5,NA())</f>
        <v>#N/A</v>
      </c>
      <c r="Y359" t="e">
        <f>IF(Table13[[#This Row],[Category All]]="Category 2",Table13[[#This Row],[Base Abalone Value]]*0.8,NA())</f>
        <v>#N/A</v>
      </c>
      <c r="Z359">
        <f>IF(Table13[[#This Row],[Category All]]="Category 3",Table13[[#This Row],[Base Abalone Value]],NA())</f>
        <v>1.0241512500000001</v>
      </c>
      <c r="AA359" s="2">
        <f>IF(Table13[[#This Row],[Gender]]="M",Table13[[#This Row],[Whole_weight]],NA())</f>
        <v>1.0854999999999999</v>
      </c>
      <c r="AB359" s="2" t="e">
        <f>IF(Table13[[#This Row],[Gender]]="F",Table13[[#This Row],[Whole_weight]],NA())</f>
        <v>#N/A</v>
      </c>
      <c r="AC359" s="2" t="e">
        <f>IF(Table13[[#This Row],[Gender]]="I",Table13[[#This Row],[Whole_weight]],NA())</f>
        <v>#N/A</v>
      </c>
      <c r="AD359" s="2">
        <f>IF(Table13[[#This Row],[Gender]]="M",Table13[[#This Row],[Diameter]],NA())</f>
        <v>0.48</v>
      </c>
      <c r="AE359" s="2" t="e">
        <f>IF(Table13[[#This Row],[Gender]]="F",Table13[[#This Row],[Diameter]],NA())</f>
        <v>#N/A</v>
      </c>
      <c r="AF359" s="2" t="e">
        <f>IF(Table13[[#This Row],[Gender]]="I",Table13[[#This Row],[Diameter]],NA())</f>
        <v>#N/A</v>
      </c>
    </row>
    <row r="360" spans="1:32" x14ac:dyDescent="0.2">
      <c r="A360">
        <v>2977</v>
      </c>
      <c r="B360" t="s">
        <v>11</v>
      </c>
      <c r="C360">
        <v>0.43</v>
      </c>
      <c r="D360">
        <v>0.34499999999999997</v>
      </c>
      <c r="E360">
        <v>0.115</v>
      </c>
      <c r="F360">
        <v>0.42949999999999999</v>
      </c>
      <c r="G360">
        <v>0.21199999999999999</v>
      </c>
      <c r="H360">
        <v>0.108</v>
      </c>
      <c r="I360">
        <v>0.109</v>
      </c>
      <c r="J360">
        <v>8</v>
      </c>
      <c r="K360">
        <v>6</v>
      </c>
      <c r="L360" t="s">
        <v>39</v>
      </c>
      <c r="M360" t="s">
        <v>40</v>
      </c>
      <c r="N360" t="s">
        <v>41</v>
      </c>
      <c r="O360">
        <v>5</v>
      </c>
      <c r="P360" t="s">
        <v>14</v>
      </c>
      <c r="Q360">
        <v>12.8</v>
      </c>
      <c r="R360" t="str" cm="1">
        <f t="array" ref="R3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60" t="e">
        <f>IF(Table13[[#This Row],[Category All]]="Category 1", "Yes",NA())</f>
        <v>#N/A</v>
      </c>
      <c r="T360" t="str">
        <f>IF(Table13[[#This Row],[Category All]]="Category 2", "Yes",NA())</f>
        <v>Yes</v>
      </c>
      <c r="U360" t="e">
        <f>IF(Table13[[#This Row],[Category All]]="Category 3", "Yes",NA())</f>
        <v>#N/A</v>
      </c>
      <c r="V360">
        <f>SUM(1,(1/3)*(Table13[[#This Row],[Length]]-0.5),(1/3)*(Table13[[#This Row],[Diameter]]-0.4),(1/3)*(Table13[[#This Row],[Height]]-0.4)*Table13[[#This Row],[Whole_weight]]*0.5)</f>
        <v>0.93793208333333333</v>
      </c>
      <c r="W360" cm="1">
        <f t="array" ref="W3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0.75034566666666669</v>
      </c>
      <c r="X360" t="e">
        <f>IF(Table13[[#This Row],[Category All]]="Category 1",Table13[[#This Row],[Base Abalone Value]]*1.5,NA())</f>
        <v>#N/A</v>
      </c>
      <c r="Y360">
        <f>IF(Table13[[#This Row],[Category All]]="Category 2",Table13[[#This Row],[Base Abalone Value]]*0.8,NA())</f>
        <v>0.75034566666666669</v>
      </c>
      <c r="Z360" t="e">
        <f>IF(Table13[[#This Row],[Category All]]="Category 3",Table13[[#This Row],[Base Abalone Value]],NA())</f>
        <v>#N/A</v>
      </c>
      <c r="AA360" s="2" t="e">
        <f>IF(Table13[[#This Row],[Gender]]="M",Table13[[#This Row],[Whole_weight]],NA())</f>
        <v>#N/A</v>
      </c>
      <c r="AB360" s="2" t="e">
        <f>IF(Table13[[#This Row],[Gender]]="F",Table13[[#This Row],[Whole_weight]],NA())</f>
        <v>#N/A</v>
      </c>
      <c r="AC360" s="2">
        <f>IF(Table13[[#This Row],[Gender]]="I",Table13[[#This Row],[Whole_weight]],NA())</f>
        <v>0.42949999999999999</v>
      </c>
      <c r="AD360" s="2" t="e">
        <f>IF(Table13[[#This Row],[Gender]]="M",Table13[[#This Row],[Diameter]],NA())</f>
        <v>#N/A</v>
      </c>
      <c r="AE360" s="2" t="e">
        <f>IF(Table13[[#This Row],[Gender]]="F",Table13[[#This Row],[Diameter]],NA())</f>
        <v>#N/A</v>
      </c>
      <c r="AF360" s="2">
        <f>IF(Table13[[#This Row],[Gender]]="I",Table13[[#This Row],[Diameter]],NA())</f>
        <v>0.34499999999999997</v>
      </c>
    </row>
    <row r="361" spans="1:32" x14ac:dyDescent="0.2">
      <c r="A361">
        <v>3394</v>
      </c>
      <c r="B361" t="s">
        <v>15</v>
      </c>
      <c r="C361">
        <v>0.57499999999999996</v>
      </c>
      <c r="D361">
        <v>0.435</v>
      </c>
      <c r="E361">
        <v>0.13</v>
      </c>
      <c r="F361">
        <v>1.0105</v>
      </c>
      <c r="G361">
        <v>0.36799999999999999</v>
      </c>
      <c r="H361">
        <v>0.222</v>
      </c>
      <c r="I361">
        <v>0.32</v>
      </c>
      <c r="J361">
        <v>10</v>
      </c>
      <c r="K361">
        <v>4</v>
      </c>
      <c r="L361" t="s">
        <v>52</v>
      </c>
      <c r="M361" t="s">
        <v>53</v>
      </c>
      <c r="N361" t="s">
        <v>54</v>
      </c>
      <c r="O361">
        <v>4</v>
      </c>
      <c r="P361" t="s">
        <v>10</v>
      </c>
      <c r="Q361">
        <v>6.1</v>
      </c>
      <c r="R361" t="str" cm="1">
        <f t="array" ref="R3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61" t="e">
        <f>IF(Table13[[#This Row],[Category All]]="Category 1", "Yes",NA())</f>
        <v>#N/A</v>
      </c>
      <c r="T361" t="str">
        <f>IF(Table13[[#This Row],[Category All]]="Category 2", "Yes",NA())</f>
        <v>Yes</v>
      </c>
      <c r="U361" t="e">
        <f>IF(Table13[[#This Row],[Category All]]="Category 3", "Yes",NA())</f>
        <v>#N/A</v>
      </c>
      <c r="V361">
        <f>SUM(1,(1/3)*(Table13[[#This Row],[Length]]-0.5),(1/3)*(Table13[[#This Row],[Diameter]]-0.4),(1/3)*(Table13[[#This Row],[Height]]-0.4)*Table13[[#This Row],[Whole_weight]]*0.5)</f>
        <v>0.9911941666666666</v>
      </c>
      <c r="W361" cm="1">
        <f t="array" ref="W3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0.79295533333333335</v>
      </c>
      <c r="X361" t="e">
        <f>IF(Table13[[#This Row],[Category All]]="Category 1",Table13[[#This Row],[Base Abalone Value]]*1.5,NA())</f>
        <v>#N/A</v>
      </c>
      <c r="Y361">
        <f>IF(Table13[[#This Row],[Category All]]="Category 2",Table13[[#This Row],[Base Abalone Value]]*0.8,NA())</f>
        <v>0.79295533333333335</v>
      </c>
      <c r="Z361" t="e">
        <f>IF(Table13[[#This Row],[Category All]]="Category 3",Table13[[#This Row],[Base Abalone Value]],NA())</f>
        <v>#N/A</v>
      </c>
      <c r="AA361" s="2">
        <f>IF(Table13[[#This Row],[Gender]]="M",Table13[[#This Row],[Whole_weight]],NA())</f>
        <v>1.0105</v>
      </c>
      <c r="AB361" s="2" t="e">
        <f>IF(Table13[[#This Row],[Gender]]="F",Table13[[#This Row],[Whole_weight]],NA())</f>
        <v>#N/A</v>
      </c>
      <c r="AC361" s="2" t="e">
        <f>IF(Table13[[#This Row],[Gender]]="I",Table13[[#This Row],[Whole_weight]],NA())</f>
        <v>#N/A</v>
      </c>
      <c r="AD361" s="2">
        <f>IF(Table13[[#This Row],[Gender]]="M",Table13[[#This Row],[Diameter]],NA())</f>
        <v>0.435</v>
      </c>
      <c r="AE361" s="2" t="e">
        <f>IF(Table13[[#This Row],[Gender]]="F",Table13[[#This Row],[Diameter]],NA())</f>
        <v>#N/A</v>
      </c>
      <c r="AF361" s="2" t="e">
        <f>IF(Table13[[#This Row],[Gender]]="I",Table13[[#This Row],[Diameter]],NA())</f>
        <v>#N/A</v>
      </c>
    </row>
    <row r="362" spans="1:32" x14ac:dyDescent="0.2">
      <c r="A362">
        <v>907</v>
      </c>
      <c r="B362" t="s">
        <v>11</v>
      </c>
      <c r="C362">
        <v>0.32500000000000001</v>
      </c>
      <c r="D362">
        <v>0.24</v>
      </c>
      <c r="E362">
        <v>7.4999999999999997E-2</v>
      </c>
      <c r="F362">
        <v>0.187</v>
      </c>
      <c r="G362">
        <v>8.2500000000000004E-2</v>
      </c>
      <c r="H362">
        <v>4.4499999999999998E-2</v>
      </c>
      <c r="I362">
        <v>0.05</v>
      </c>
      <c r="J362">
        <v>6</v>
      </c>
      <c r="K362">
        <v>4</v>
      </c>
      <c r="L362" t="s">
        <v>52</v>
      </c>
      <c r="M362" t="s">
        <v>53</v>
      </c>
      <c r="N362" t="s">
        <v>54</v>
      </c>
      <c r="O362">
        <v>8</v>
      </c>
      <c r="P362" t="s">
        <v>19</v>
      </c>
      <c r="Q362">
        <v>12.3</v>
      </c>
      <c r="R362" t="str" cm="1">
        <f t="array" ref="R3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62" t="e">
        <f>IF(Table13[[#This Row],[Category All]]="Category 1", "Yes",NA())</f>
        <v>#N/A</v>
      </c>
      <c r="T362" t="str">
        <f>IF(Table13[[#This Row],[Category All]]="Category 2", "Yes",NA())</f>
        <v>Yes</v>
      </c>
      <c r="U362" t="e">
        <f>IF(Table13[[#This Row],[Category All]]="Category 3", "Yes",NA())</f>
        <v>#N/A</v>
      </c>
      <c r="V362">
        <f>SUM(1,(1/3)*(Table13[[#This Row],[Length]]-0.5),(1/3)*(Table13[[#This Row],[Diameter]]-0.4),(1/3)*(Table13[[#This Row],[Height]]-0.4)*Table13[[#This Row],[Whole_weight]]*0.5)</f>
        <v>0.87820416666666667</v>
      </c>
      <c r="W362" cm="1">
        <f t="array" ref="W3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0.70256333333333343</v>
      </c>
      <c r="X362" t="e">
        <f>IF(Table13[[#This Row],[Category All]]="Category 1",Table13[[#This Row],[Base Abalone Value]]*1.5,NA())</f>
        <v>#N/A</v>
      </c>
      <c r="Y362">
        <f>IF(Table13[[#This Row],[Category All]]="Category 2",Table13[[#This Row],[Base Abalone Value]]*0.8,NA())</f>
        <v>0.70256333333333343</v>
      </c>
      <c r="Z362" t="e">
        <f>IF(Table13[[#This Row],[Category All]]="Category 3",Table13[[#This Row],[Base Abalone Value]],NA())</f>
        <v>#N/A</v>
      </c>
      <c r="AA362" s="2" t="e">
        <f>IF(Table13[[#This Row],[Gender]]="M",Table13[[#This Row],[Whole_weight]],NA())</f>
        <v>#N/A</v>
      </c>
      <c r="AB362" s="2" t="e">
        <f>IF(Table13[[#This Row],[Gender]]="F",Table13[[#This Row],[Whole_weight]],NA())</f>
        <v>#N/A</v>
      </c>
      <c r="AC362" s="2">
        <f>IF(Table13[[#This Row],[Gender]]="I",Table13[[#This Row],[Whole_weight]],NA())</f>
        <v>0.187</v>
      </c>
      <c r="AD362" s="2" t="e">
        <f>IF(Table13[[#This Row],[Gender]]="M",Table13[[#This Row],[Diameter]],NA())</f>
        <v>#N/A</v>
      </c>
      <c r="AE362" s="2" t="e">
        <f>IF(Table13[[#This Row],[Gender]]="F",Table13[[#This Row],[Diameter]],NA())</f>
        <v>#N/A</v>
      </c>
      <c r="AF362" s="2">
        <f>IF(Table13[[#This Row],[Gender]]="I",Table13[[#This Row],[Diameter]],NA())</f>
        <v>0.24</v>
      </c>
    </row>
    <row r="363" spans="1:32" x14ac:dyDescent="0.2">
      <c r="A363">
        <v>522</v>
      </c>
      <c r="B363" t="s">
        <v>0</v>
      </c>
      <c r="C363">
        <v>0.36</v>
      </c>
      <c r="D363">
        <v>0.27</v>
      </c>
      <c r="E363">
        <v>0.09</v>
      </c>
      <c r="F363">
        <v>0.1885</v>
      </c>
      <c r="G363">
        <v>8.4500000000000006E-2</v>
      </c>
      <c r="H363">
        <v>3.85E-2</v>
      </c>
      <c r="I363">
        <v>5.5E-2</v>
      </c>
      <c r="J363">
        <v>5</v>
      </c>
      <c r="K363">
        <v>13</v>
      </c>
      <c r="L363" t="s">
        <v>12</v>
      </c>
      <c r="M363" t="s">
        <v>13</v>
      </c>
      <c r="N363" t="s">
        <v>3</v>
      </c>
      <c r="O363">
        <v>5</v>
      </c>
      <c r="P363" t="s">
        <v>14</v>
      </c>
      <c r="Q363">
        <v>12.8</v>
      </c>
      <c r="R363" t="str" cm="1">
        <f t="array" ref="R3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63" t="e">
        <f>IF(Table13[[#This Row],[Category All]]="Category 1", "Yes",NA())</f>
        <v>#N/A</v>
      </c>
      <c r="T363" t="str">
        <f>IF(Table13[[#This Row],[Category All]]="Category 2", "Yes",NA())</f>
        <v>Yes</v>
      </c>
      <c r="U363" t="e">
        <f>IF(Table13[[#This Row],[Category All]]="Category 3", "Yes",NA())</f>
        <v>#N/A</v>
      </c>
      <c r="V363">
        <f>SUM(1,(1/3)*(Table13[[#This Row],[Length]]-0.5),(1/3)*(Table13[[#This Row],[Diameter]]-0.4),(1/3)*(Table13[[#This Row],[Height]]-0.4)*Table13[[#This Row],[Whole_weight]]*0.5)</f>
        <v>0.9002608333333334</v>
      </c>
      <c r="W363" cm="1">
        <f t="array" ref="W3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0.72020866666666672</v>
      </c>
      <c r="X363" t="e">
        <f>IF(Table13[[#This Row],[Category All]]="Category 1",Table13[[#This Row],[Base Abalone Value]]*1.5,NA())</f>
        <v>#N/A</v>
      </c>
      <c r="Y363">
        <f>IF(Table13[[#This Row],[Category All]]="Category 2",Table13[[#This Row],[Base Abalone Value]]*0.8,NA())</f>
        <v>0.72020866666666672</v>
      </c>
      <c r="Z363" t="e">
        <f>IF(Table13[[#This Row],[Category All]]="Category 3",Table13[[#This Row],[Base Abalone Value]],NA())</f>
        <v>#N/A</v>
      </c>
      <c r="AA363" s="2" t="e">
        <f>IF(Table13[[#This Row],[Gender]]="M",Table13[[#This Row],[Whole_weight]],NA())</f>
        <v>#N/A</v>
      </c>
      <c r="AB363" s="2">
        <f>IF(Table13[[#This Row],[Gender]]="F",Table13[[#This Row],[Whole_weight]],NA())</f>
        <v>0.1885</v>
      </c>
      <c r="AC363" s="2" t="e">
        <f>IF(Table13[[#This Row],[Gender]]="I",Table13[[#This Row],[Whole_weight]],NA())</f>
        <v>#N/A</v>
      </c>
      <c r="AD363" s="2" t="e">
        <f>IF(Table13[[#This Row],[Gender]]="M",Table13[[#This Row],[Diameter]],NA())</f>
        <v>#N/A</v>
      </c>
      <c r="AE363" s="2">
        <f>IF(Table13[[#This Row],[Gender]]="F",Table13[[#This Row],[Diameter]],NA())</f>
        <v>0.27</v>
      </c>
      <c r="AF363" s="2" t="e">
        <f>IF(Table13[[#This Row],[Gender]]="I",Table13[[#This Row],[Diameter]],NA())</f>
        <v>#N/A</v>
      </c>
    </row>
    <row r="364" spans="1:32" x14ac:dyDescent="0.2">
      <c r="A364">
        <v>399</v>
      </c>
      <c r="B364" t="s">
        <v>15</v>
      </c>
      <c r="C364">
        <v>0.53500000000000003</v>
      </c>
      <c r="D364">
        <v>0.44</v>
      </c>
      <c r="E364">
        <v>0.15</v>
      </c>
      <c r="F364">
        <v>0.67649999999999999</v>
      </c>
      <c r="G364">
        <v>0.25600000000000001</v>
      </c>
      <c r="H364">
        <v>0.13900000000000001</v>
      </c>
      <c r="I364">
        <v>0.26</v>
      </c>
      <c r="J364">
        <v>12</v>
      </c>
      <c r="K364">
        <v>5</v>
      </c>
      <c r="L364" t="s">
        <v>26</v>
      </c>
      <c r="M364" t="s">
        <v>27</v>
      </c>
      <c r="N364" t="s">
        <v>28</v>
      </c>
      <c r="O364">
        <v>5</v>
      </c>
      <c r="P364" t="s">
        <v>14</v>
      </c>
      <c r="Q364">
        <v>12.8</v>
      </c>
      <c r="R364" t="str" cm="1">
        <f t="array" ref="R3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64" t="e">
        <f>IF(Table13[[#This Row],[Category All]]="Category 1", "Yes",NA())</f>
        <v>#N/A</v>
      </c>
      <c r="T364" t="str">
        <f>IF(Table13[[#This Row],[Category All]]="Category 2", "Yes",NA())</f>
        <v>Yes</v>
      </c>
      <c r="U364" t="e">
        <f>IF(Table13[[#This Row],[Category All]]="Category 3", "Yes",NA())</f>
        <v>#N/A</v>
      </c>
      <c r="V364">
        <f>SUM(1,(1/3)*(Table13[[#This Row],[Length]]-0.5),(1/3)*(Table13[[#This Row],[Diameter]]-0.4),(1/3)*(Table13[[#This Row],[Height]]-0.4)*Table13[[#This Row],[Whole_weight]]*0.5)</f>
        <v>0.9968125000000001</v>
      </c>
      <c r="W364" cm="1">
        <f t="array" ref="W3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0.7974500000000001</v>
      </c>
      <c r="X364" t="e">
        <f>IF(Table13[[#This Row],[Category All]]="Category 1",Table13[[#This Row],[Base Abalone Value]]*1.5,NA())</f>
        <v>#N/A</v>
      </c>
      <c r="Y364">
        <f>IF(Table13[[#This Row],[Category All]]="Category 2",Table13[[#This Row],[Base Abalone Value]]*0.8,NA())</f>
        <v>0.7974500000000001</v>
      </c>
      <c r="Z364" t="e">
        <f>IF(Table13[[#This Row],[Category All]]="Category 3",Table13[[#This Row],[Base Abalone Value]],NA())</f>
        <v>#N/A</v>
      </c>
      <c r="AA364" s="2">
        <f>IF(Table13[[#This Row],[Gender]]="M",Table13[[#This Row],[Whole_weight]],NA())</f>
        <v>0.67649999999999999</v>
      </c>
      <c r="AB364" s="2" t="e">
        <f>IF(Table13[[#This Row],[Gender]]="F",Table13[[#This Row],[Whole_weight]],NA())</f>
        <v>#N/A</v>
      </c>
      <c r="AC364" s="2" t="e">
        <f>IF(Table13[[#This Row],[Gender]]="I",Table13[[#This Row],[Whole_weight]],NA())</f>
        <v>#N/A</v>
      </c>
      <c r="AD364" s="2">
        <f>IF(Table13[[#This Row],[Gender]]="M",Table13[[#This Row],[Diameter]],NA())</f>
        <v>0.44</v>
      </c>
      <c r="AE364" s="2" t="e">
        <f>IF(Table13[[#This Row],[Gender]]="F",Table13[[#This Row],[Diameter]],NA())</f>
        <v>#N/A</v>
      </c>
      <c r="AF364" s="2" t="e">
        <f>IF(Table13[[#This Row],[Gender]]="I",Table13[[#This Row],[Diameter]],NA())</f>
        <v>#N/A</v>
      </c>
    </row>
    <row r="365" spans="1:32" x14ac:dyDescent="0.2">
      <c r="A365">
        <v>1919</v>
      </c>
      <c r="B365" t="s">
        <v>0</v>
      </c>
      <c r="C365">
        <v>0.6</v>
      </c>
      <c r="D365">
        <v>0.46500000000000002</v>
      </c>
      <c r="E365">
        <v>0.16</v>
      </c>
      <c r="F365">
        <v>1.133</v>
      </c>
      <c r="G365">
        <v>0.46600000000000003</v>
      </c>
      <c r="H365">
        <v>0.28849999999999998</v>
      </c>
      <c r="I365">
        <v>0.29799999999999999</v>
      </c>
      <c r="J365">
        <v>11</v>
      </c>
      <c r="K365">
        <v>14</v>
      </c>
      <c r="L365" t="s">
        <v>23</v>
      </c>
      <c r="M365" t="s">
        <v>24</v>
      </c>
      <c r="N365" t="s">
        <v>25</v>
      </c>
      <c r="O365">
        <v>10</v>
      </c>
      <c r="P365" t="s">
        <v>38</v>
      </c>
      <c r="Q365">
        <v>24.1</v>
      </c>
      <c r="R365" t="str" cm="1">
        <f t="array" ref="R3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65" t="e">
        <f>IF(Table13[[#This Row],[Category All]]="Category 1", "Yes",NA())</f>
        <v>#N/A</v>
      </c>
      <c r="T365" t="e">
        <f>IF(Table13[[#This Row],[Category All]]="Category 2", "Yes",NA())</f>
        <v>#N/A</v>
      </c>
      <c r="U365" t="str">
        <f>IF(Table13[[#This Row],[Category All]]="Category 3", "Yes",NA())</f>
        <v>Yes</v>
      </c>
      <c r="V365">
        <f>SUM(1,(1/3)*(Table13[[#This Row],[Length]]-0.5),(1/3)*(Table13[[#This Row],[Diameter]]-0.4),(1/3)*(Table13[[#This Row],[Height]]-0.4)*Table13[[#This Row],[Whole_weight]]*0.5)</f>
        <v>1.0096799999999999</v>
      </c>
      <c r="W365" cm="1">
        <f t="array" ref="W3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1.0096799999999999</v>
      </c>
      <c r="X365" t="e">
        <f>IF(Table13[[#This Row],[Category All]]="Category 1",Table13[[#This Row],[Base Abalone Value]]*1.5,NA())</f>
        <v>#N/A</v>
      </c>
      <c r="Y365" t="e">
        <f>IF(Table13[[#This Row],[Category All]]="Category 2",Table13[[#This Row],[Base Abalone Value]]*0.8,NA())</f>
        <v>#N/A</v>
      </c>
      <c r="Z365">
        <f>IF(Table13[[#This Row],[Category All]]="Category 3",Table13[[#This Row],[Base Abalone Value]],NA())</f>
        <v>1.0096799999999999</v>
      </c>
      <c r="AA365" s="2" t="e">
        <f>IF(Table13[[#This Row],[Gender]]="M",Table13[[#This Row],[Whole_weight]],NA())</f>
        <v>#N/A</v>
      </c>
      <c r="AB365" s="2">
        <f>IF(Table13[[#This Row],[Gender]]="F",Table13[[#This Row],[Whole_weight]],NA())</f>
        <v>1.133</v>
      </c>
      <c r="AC365" s="2" t="e">
        <f>IF(Table13[[#This Row],[Gender]]="I",Table13[[#This Row],[Whole_weight]],NA())</f>
        <v>#N/A</v>
      </c>
      <c r="AD365" s="2" t="e">
        <f>IF(Table13[[#This Row],[Gender]]="M",Table13[[#This Row],[Diameter]],NA())</f>
        <v>#N/A</v>
      </c>
      <c r="AE365" s="2">
        <f>IF(Table13[[#This Row],[Gender]]="F",Table13[[#This Row],[Diameter]],NA())</f>
        <v>0.46500000000000002</v>
      </c>
      <c r="AF365" s="2" t="e">
        <f>IF(Table13[[#This Row],[Gender]]="I",Table13[[#This Row],[Diameter]],NA())</f>
        <v>#N/A</v>
      </c>
    </row>
    <row r="366" spans="1:32" x14ac:dyDescent="0.2">
      <c r="A366">
        <v>1476</v>
      </c>
      <c r="B366" t="s">
        <v>0</v>
      </c>
      <c r="C366">
        <v>0.56000000000000005</v>
      </c>
      <c r="D366">
        <v>0.43</v>
      </c>
      <c r="E366">
        <v>0.15</v>
      </c>
      <c r="F366">
        <v>0.87450000000000006</v>
      </c>
      <c r="G366">
        <v>0.45300000000000001</v>
      </c>
      <c r="H366">
        <v>0.161</v>
      </c>
      <c r="I366">
        <v>0.22</v>
      </c>
      <c r="J366">
        <v>8</v>
      </c>
      <c r="K366">
        <v>10</v>
      </c>
      <c r="L366" t="s">
        <v>16</v>
      </c>
      <c r="M366" t="s">
        <v>17</v>
      </c>
      <c r="N366" t="s">
        <v>18</v>
      </c>
      <c r="O366">
        <v>9</v>
      </c>
      <c r="P366" t="s">
        <v>46</v>
      </c>
      <c r="Q366">
        <v>1.9</v>
      </c>
      <c r="R366" t="str" cm="1">
        <f t="array" ref="R3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66" t="e">
        <f>IF(Table13[[#This Row],[Category All]]="Category 1", "Yes",NA())</f>
        <v>#N/A</v>
      </c>
      <c r="T366" t="e">
        <f>IF(Table13[[#This Row],[Category All]]="Category 2", "Yes",NA())</f>
        <v>#N/A</v>
      </c>
      <c r="U366" t="str">
        <f>IF(Table13[[#This Row],[Category All]]="Category 3", "Yes",NA())</f>
        <v>Yes</v>
      </c>
      <c r="V366">
        <f>SUM(1,(1/3)*(Table13[[#This Row],[Length]]-0.5),(1/3)*(Table13[[#This Row],[Diameter]]-0.4),(1/3)*(Table13[[#This Row],[Height]]-0.4)*Table13[[#This Row],[Whole_weight]]*0.5)</f>
        <v>0.99356250000000002</v>
      </c>
      <c r="W366" cm="1">
        <f t="array" ref="W3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0.99356250000000002</v>
      </c>
      <c r="X366" t="e">
        <f>IF(Table13[[#This Row],[Category All]]="Category 1",Table13[[#This Row],[Base Abalone Value]]*1.5,NA())</f>
        <v>#N/A</v>
      </c>
      <c r="Y366" t="e">
        <f>IF(Table13[[#This Row],[Category All]]="Category 2",Table13[[#This Row],[Base Abalone Value]]*0.8,NA())</f>
        <v>#N/A</v>
      </c>
      <c r="Z366">
        <f>IF(Table13[[#This Row],[Category All]]="Category 3",Table13[[#This Row],[Base Abalone Value]],NA())</f>
        <v>0.99356250000000002</v>
      </c>
      <c r="AA366" s="2" t="e">
        <f>IF(Table13[[#This Row],[Gender]]="M",Table13[[#This Row],[Whole_weight]],NA())</f>
        <v>#N/A</v>
      </c>
      <c r="AB366" s="2">
        <f>IF(Table13[[#This Row],[Gender]]="F",Table13[[#This Row],[Whole_weight]],NA())</f>
        <v>0.87450000000000006</v>
      </c>
      <c r="AC366" s="2" t="e">
        <f>IF(Table13[[#This Row],[Gender]]="I",Table13[[#This Row],[Whole_weight]],NA())</f>
        <v>#N/A</v>
      </c>
      <c r="AD366" s="2" t="e">
        <f>IF(Table13[[#This Row],[Gender]]="M",Table13[[#This Row],[Diameter]],NA())</f>
        <v>#N/A</v>
      </c>
      <c r="AE366" s="2">
        <f>IF(Table13[[#This Row],[Gender]]="F",Table13[[#This Row],[Diameter]],NA())</f>
        <v>0.43</v>
      </c>
      <c r="AF366" s="2" t="e">
        <f>IF(Table13[[#This Row],[Gender]]="I",Table13[[#This Row],[Diameter]],NA())</f>
        <v>#N/A</v>
      </c>
    </row>
    <row r="367" spans="1:32" x14ac:dyDescent="0.2">
      <c r="A367">
        <v>3495</v>
      </c>
      <c r="B367" t="s">
        <v>0</v>
      </c>
      <c r="C367">
        <v>0.55500000000000005</v>
      </c>
      <c r="D367">
        <v>0.43</v>
      </c>
      <c r="E367">
        <v>0.13500000000000001</v>
      </c>
      <c r="F367">
        <v>0.81200000000000006</v>
      </c>
      <c r="G367">
        <v>0.40550000000000003</v>
      </c>
      <c r="H367">
        <v>0.16300000000000001</v>
      </c>
      <c r="I367">
        <v>0.2215</v>
      </c>
      <c r="J367">
        <v>9</v>
      </c>
      <c r="K367">
        <v>11</v>
      </c>
      <c r="L367" t="s">
        <v>5</v>
      </c>
      <c r="M367" t="s">
        <v>6</v>
      </c>
      <c r="N367" t="s">
        <v>3</v>
      </c>
      <c r="O367">
        <v>7</v>
      </c>
      <c r="P367" t="s">
        <v>42</v>
      </c>
      <c r="Q367">
        <v>2.5</v>
      </c>
      <c r="R367" t="str" cm="1">
        <f t="array" ref="R3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67" t="e">
        <f>IF(Table13[[#This Row],[Category All]]="Category 1", "Yes",NA())</f>
        <v>#N/A</v>
      </c>
      <c r="T367" t="e">
        <f>IF(Table13[[#This Row],[Category All]]="Category 2", "Yes",NA())</f>
        <v>#N/A</v>
      </c>
      <c r="U367" t="str">
        <f>IF(Table13[[#This Row],[Category All]]="Category 3", "Yes",NA())</f>
        <v>Yes</v>
      </c>
      <c r="V367">
        <f>SUM(1,(1/3)*(Table13[[#This Row],[Length]]-0.5),(1/3)*(Table13[[#This Row],[Diameter]]-0.4),(1/3)*(Table13[[#This Row],[Height]]-0.4)*Table13[[#This Row],[Whole_weight]]*0.5)</f>
        <v>0.99246999999999996</v>
      </c>
      <c r="W367" cm="1">
        <f t="array" ref="W3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0.99246999999999996</v>
      </c>
      <c r="X367" t="e">
        <f>IF(Table13[[#This Row],[Category All]]="Category 1",Table13[[#This Row],[Base Abalone Value]]*1.5,NA())</f>
        <v>#N/A</v>
      </c>
      <c r="Y367" t="e">
        <f>IF(Table13[[#This Row],[Category All]]="Category 2",Table13[[#This Row],[Base Abalone Value]]*0.8,NA())</f>
        <v>#N/A</v>
      </c>
      <c r="Z367">
        <f>IF(Table13[[#This Row],[Category All]]="Category 3",Table13[[#This Row],[Base Abalone Value]],NA())</f>
        <v>0.99246999999999996</v>
      </c>
      <c r="AA367" s="2" t="e">
        <f>IF(Table13[[#This Row],[Gender]]="M",Table13[[#This Row],[Whole_weight]],NA())</f>
        <v>#N/A</v>
      </c>
      <c r="AB367" s="2">
        <f>IF(Table13[[#This Row],[Gender]]="F",Table13[[#This Row],[Whole_weight]],NA())</f>
        <v>0.81200000000000006</v>
      </c>
      <c r="AC367" s="2" t="e">
        <f>IF(Table13[[#This Row],[Gender]]="I",Table13[[#This Row],[Whole_weight]],NA())</f>
        <v>#N/A</v>
      </c>
      <c r="AD367" s="2" t="e">
        <f>IF(Table13[[#This Row],[Gender]]="M",Table13[[#This Row],[Diameter]],NA())</f>
        <v>#N/A</v>
      </c>
      <c r="AE367" s="2">
        <f>IF(Table13[[#This Row],[Gender]]="F",Table13[[#This Row],[Diameter]],NA())</f>
        <v>0.43</v>
      </c>
      <c r="AF367" s="2" t="e">
        <f>IF(Table13[[#This Row],[Gender]]="I",Table13[[#This Row],[Diameter]],NA())</f>
        <v>#N/A</v>
      </c>
    </row>
    <row r="368" spans="1:32" x14ac:dyDescent="0.2">
      <c r="A368">
        <v>3742</v>
      </c>
      <c r="B368" t="s">
        <v>0</v>
      </c>
      <c r="C368">
        <v>0.67</v>
      </c>
      <c r="D368">
        <v>0.52500000000000002</v>
      </c>
      <c r="E368">
        <v>0.19500000000000001</v>
      </c>
      <c r="F368">
        <v>1.37</v>
      </c>
      <c r="G368">
        <v>0.60650000000000004</v>
      </c>
      <c r="H368">
        <v>0.29549999999999998</v>
      </c>
      <c r="I368">
        <v>0.40699999999999997</v>
      </c>
      <c r="J368">
        <v>12</v>
      </c>
      <c r="K368">
        <v>5</v>
      </c>
      <c r="L368" t="s">
        <v>26</v>
      </c>
      <c r="M368" t="s">
        <v>27</v>
      </c>
      <c r="N368" t="s">
        <v>28</v>
      </c>
      <c r="O368">
        <v>10</v>
      </c>
      <c r="P368" t="s">
        <v>38</v>
      </c>
      <c r="Q368">
        <v>24.1</v>
      </c>
      <c r="R368" t="str" cm="1">
        <f t="array" ref="R3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68" t="e">
        <f>IF(Table13[[#This Row],[Category All]]="Category 1", "Yes",NA())</f>
        <v>#N/A</v>
      </c>
      <c r="T368" t="e">
        <f>IF(Table13[[#This Row],[Category All]]="Category 2", "Yes",NA())</f>
        <v>#N/A</v>
      </c>
      <c r="U368" t="str">
        <f>IF(Table13[[#This Row],[Category All]]="Category 3", "Yes",NA())</f>
        <v>Yes</v>
      </c>
      <c r="V368">
        <f>SUM(1,(1/3)*(Table13[[#This Row],[Length]]-0.5),(1/3)*(Table13[[#This Row],[Diameter]]-0.4),(1/3)*(Table13[[#This Row],[Height]]-0.4)*Table13[[#This Row],[Whole_weight]]*0.5)</f>
        <v>1.051525</v>
      </c>
      <c r="W368" cm="1">
        <f t="array" ref="W3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1.051525</v>
      </c>
      <c r="X368" t="e">
        <f>IF(Table13[[#This Row],[Category All]]="Category 1",Table13[[#This Row],[Base Abalone Value]]*1.5,NA())</f>
        <v>#N/A</v>
      </c>
      <c r="Y368" t="e">
        <f>IF(Table13[[#This Row],[Category All]]="Category 2",Table13[[#This Row],[Base Abalone Value]]*0.8,NA())</f>
        <v>#N/A</v>
      </c>
      <c r="Z368">
        <f>IF(Table13[[#This Row],[Category All]]="Category 3",Table13[[#This Row],[Base Abalone Value]],NA())</f>
        <v>1.051525</v>
      </c>
      <c r="AA368" s="2" t="e">
        <f>IF(Table13[[#This Row],[Gender]]="M",Table13[[#This Row],[Whole_weight]],NA())</f>
        <v>#N/A</v>
      </c>
      <c r="AB368" s="2">
        <f>IF(Table13[[#This Row],[Gender]]="F",Table13[[#This Row],[Whole_weight]],NA())</f>
        <v>1.37</v>
      </c>
      <c r="AC368" s="2" t="e">
        <f>IF(Table13[[#This Row],[Gender]]="I",Table13[[#This Row],[Whole_weight]],NA())</f>
        <v>#N/A</v>
      </c>
      <c r="AD368" s="2" t="e">
        <f>IF(Table13[[#This Row],[Gender]]="M",Table13[[#This Row],[Diameter]],NA())</f>
        <v>#N/A</v>
      </c>
      <c r="AE368" s="2">
        <f>IF(Table13[[#This Row],[Gender]]="F",Table13[[#This Row],[Diameter]],NA())</f>
        <v>0.52500000000000002</v>
      </c>
      <c r="AF368" s="2" t="e">
        <f>IF(Table13[[#This Row],[Gender]]="I",Table13[[#This Row],[Diameter]],NA())</f>
        <v>#N/A</v>
      </c>
    </row>
    <row r="369" spans="1:32" x14ac:dyDescent="0.2">
      <c r="A369">
        <v>2326</v>
      </c>
      <c r="B369" t="s">
        <v>0</v>
      </c>
      <c r="C369">
        <v>0.41499999999999998</v>
      </c>
      <c r="D369">
        <v>0.30499999999999999</v>
      </c>
      <c r="E369">
        <v>0.105</v>
      </c>
      <c r="F369">
        <v>0.36049999999999999</v>
      </c>
      <c r="G369">
        <v>0.12</v>
      </c>
      <c r="H369">
        <v>8.2000000000000003E-2</v>
      </c>
      <c r="I369">
        <v>0.1</v>
      </c>
      <c r="J369">
        <v>10</v>
      </c>
      <c r="K369">
        <v>13</v>
      </c>
      <c r="L369" t="s">
        <v>12</v>
      </c>
      <c r="M369" t="s">
        <v>13</v>
      </c>
      <c r="N369" t="s">
        <v>3</v>
      </c>
      <c r="O369">
        <v>2</v>
      </c>
      <c r="P369" t="s">
        <v>7</v>
      </c>
      <c r="Q369">
        <v>18</v>
      </c>
      <c r="R369" t="str" cm="1">
        <f t="array" ref="R3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69" t="e">
        <f>IF(Table13[[#This Row],[Category All]]="Category 1", "Yes",NA())</f>
        <v>#N/A</v>
      </c>
      <c r="T369" t="str">
        <f>IF(Table13[[#This Row],[Category All]]="Category 2", "Yes",NA())</f>
        <v>Yes</v>
      </c>
      <c r="U369" t="e">
        <f>IF(Table13[[#This Row],[Category All]]="Category 3", "Yes",NA())</f>
        <v>#N/A</v>
      </c>
      <c r="V369">
        <f>SUM(1,(1/3)*(Table13[[#This Row],[Length]]-0.5),(1/3)*(Table13[[#This Row],[Diameter]]-0.4),(1/3)*(Table13[[#This Row],[Height]]-0.4)*Table13[[#This Row],[Whole_weight]]*0.5)</f>
        <v>0.92227541666666657</v>
      </c>
      <c r="W369" cm="1">
        <f t="array" ref="W3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0.7378203333333333</v>
      </c>
      <c r="X369" t="e">
        <f>IF(Table13[[#This Row],[Category All]]="Category 1",Table13[[#This Row],[Base Abalone Value]]*1.5,NA())</f>
        <v>#N/A</v>
      </c>
      <c r="Y369">
        <f>IF(Table13[[#This Row],[Category All]]="Category 2",Table13[[#This Row],[Base Abalone Value]]*0.8,NA())</f>
        <v>0.7378203333333333</v>
      </c>
      <c r="Z369" t="e">
        <f>IF(Table13[[#This Row],[Category All]]="Category 3",Table13[[#This Row],[Base Abalone Value]],NA())</f>
        <v>#N/A</v>
      </c>
      <c r="AA369" s="2" t="e">
        <f>IF(Table13[[#This Row],[Gender]]="M",Table13[[#This Row],[Whole_weight]],NA())</f>
        <v>#N/A</v>
      </c>
      <c r="AB369" s="2">
        <f>IF(Table13[[#This Row],[Gender]]="F",Table13[[#This Row],[Whole_weight]],NA())</f>
        <v>0.36049999999999999</v>
      </c>
      <c r="AC369" s="2" t="e">
        <f>IF(Table13[[#This Row],[Gender]]="I",Table13[[#This Row],[Whole_weight]],NA())</f>
        <v>#N/A</v>
      </c>
      <c r="AD369" s="2" t="e">
        <f>IF(Table13[[#This Row],[Gender]]="M",Table13[[#This Row],[Diameter]],NA())</f>
        <v>#N/A</v>
      </c>
      <c r="AE369" s="2">
        <f>IF(Table13[[#This Row],[Gender]]="F",Table13[[#This Row],[Diameter]],NA())</f>
        <v>0.30499999999999999</v>
      </c>
      <c r="AF369" s="2" t="e">
        <f>IF(Table13[[#This Row],[Gender]]="I",Table13[[#This Row],[Diameter]],NA())</f>
        <v>#N/A</v>
      </c>
    </row>
    <row r="370" spans="1:32" x14ac:dyDescent="0.2">
      <c r="A370">
        <v>264</v>
      </c>
      <c r="B370" t="s">
        <v>11</v>
      </c>
      <c r="C370">
        <v>0.245</v>
      </c>
      <c r="D370">
        <v>0.19500000000000001</v>
      </c>
      <c r="E370">
        <v>0.06</v>
      </c>
      <c r="F370">
        <v>9.5000000000000001E-2</v>
      </c>
      <c r="G370">
        <v>4.4499999999999998E-2</v>
      </c>
      <c r="H370">
        <v>2.4500000000000001E-2</v>
      </c>
      <c r="I370">
        <v>2.5999999999999999E-2</v>
      </c>
      <c r="J370">
        <v>4</v>
      </c>
      <c r="K370">
        <v>10</v>
      </c>
      <c r="L370" t="s">
        <v>16</v>
      </c>
      <c r="M370" t="s">
        <v>17</v>
      </c>
      <c r="N370" t="s">
        <v>18</v>
      </c>
      <c r="O370">
        <v>5</v>
      </c>
      <c r="P370" t="s">
        <v>14</v>
      </c>
      <c r="Q370">
        <v>12.8</v>
      </c>
      <c r="R370" t="str" cm="1">
        <f t="array" ref="R3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70" t="e">
        <f>IF(Table13[[#This Row],[Category All]]="Category 1", "Yes",NA())</f>
        <v>#N/A</v>
      </c>
      <c r="T370" t="str">
        <f>IF(Table13[[#This Row],[Category All]]="Category 2", "Yes",NA())</f>
        <v>Yes</v>
      </c>
      <c r="U370" t="e">
        <f>IF(Table13[[#This Row],[Category All]]="Category 3", "Yes",NA())</f>
        <v>#N/A</v>
      </c>
      <c r="V370">
        <f>SUM(1,(1/3)*(Table13[[#This Row],[Length]]-0.5),(1/3)*(Table13[[#This Row],[Diameter]]-0.4),(1/3)*(Table13[[#This Row],[Height]]-0.4)*Table13[[#This Row],[Whole_weight]]*0.5)</f>
        <v>0.84128333333333338</v>
      </c>
      <c r="W370" cm="1">
        <f t="array" ref="W3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0.67302666666666677</v>
      </c>
      <c r="X370" t="e">
        <f>IF(Table13[[#This Row],[Category All]]="Category 1",Table13[[#This Row],[Base Abalone Value]]*1.5,NA())</f>
        <v>#N/A</v>
      </c>
      <c r="Y370">
        <f>IF(Table13[[#This Row],[Category All]]="Category 2",Table13[[#This Row],[Base Abalone Value]]*0.8,NA())</f>
        <v>0.67302666666666677</v>
      </c>
      <c r="Z370" t="e">
        <f>IF(Table13[[#This Row],[Category All]]="Category 3",Table13[[#This Row],[Base Abalone Value]],NA())</f>
        <v>#N/A</v>
      </c>
      <c r="AA370" s="2" t="e">
        <f>IF(Table13[[#This Row],[Gender]]="M",Table13[[#This Row],[Whole_weight]],NA())</f>
        <v>#N/A</v>
      </c>
      <c r="AB370" s="2" t="e">
        <f>IF(Table13[[#This Row],[Gender]]="F",Table13[[#This Row],[Whole_weight]],NA())</f>
        <v>#N/A</v>
      </c>
      <c r="AC370" s="2">
        <f>IF(Table13[[#This Row],[Gender]]="I",Table13[[#This Row],[Whole_weight]],NA())</f>
        <v>9.5000000000000001E-2</v>
      </c>
      <c r="AD370" s="2" t="e">
        <f>IF(Table13[[#This Row],[Gender]]="M",Table13[[#This Row],[Diameter]],NA())</f>
        <v>#N/A</v>
      </c>
      <c r="AE370" s="2" t="e">
        <f>IF(Table13[[#This Row],[Gender]]="F",Table13[[#This Row],[Diameter]],NA())</f>
        <v>#N/A</v>
      </c>
      <c r="AF370" s="2">
        <f>IF(Table13[[#This Row],[Gender]]="I",Table13[[#This Row],[Diameter]],NA())</f>
        <v>0.19500000000000001</v>
      </c>
    </row>
    <row r="371" spans="1:32" x14ac:dyDescent="0.2">
      <c r="A371">
        <v>820</v>
      </c>
      <c r="B371" t="s">
        <v>11</v>
      </c>
      <c r="C371">
        <v>0.36</v>
      </c>
      <c r="D371">
        <v>0.3</v>
      </c>
      <c r="E371">
        <v>8.5000000000000006E-2</v>
      </c>
      <c r="F371">
        <v>0.27</v>
      </c>
      <c r="G371">
        <v>0.11849999999999999</v>
      </c>
      <c r="H371">
        <v>6.4000000000000001E-2</v>
      </c>
      <c r="I371">
        <v>7.4499999999999997E-2</v>
      </c>
      <c r="J371">
        <v>7</v>
      </c>
      <c r="K371">
        <v>10</v>
      </c>
      <c r="L371" t="s">
        <v>16</v>
      </c>
      <c r="M371" t="s">
        <v>17</v>
      </c>
      <c r="N371" t="s">
        <v>18</v>
      </c>
      <c r="O371">
        <v>3</v>
      </c>
      <c r="P371" t="s">
        <v>48</v>
      </c>
      <c r="Q371">
        <v>3.6</v>
      </c>
      <c r="R371" t="str" cm="1">
        <f t="array" ref="R3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71" t="e">
        <f>IF(Table13[[#This Row],[Category All]]="Category 1", "Yes",NA())</f>
        <v>#N/A</v>
      </c>
      <c r="T371" t="str">
        <f>IF(Table13[[#This Row],[Category All]]="Category 2", "Yes",NA())</f>
        <v>Yes</v>
      </c>
      <c r="U371" t="e">
        <f>IF(Table13[[#This Row],[Category All]]="Category 3", "Yes",NA())</f>
        <v>#N/A</v>
      </c>
      <c r="V371">
        <f>SUM(1,(1/3)*(Table13[[#This Row],[Length]]-0.5),(1/3)*(Table13[[#This Row],[Diameter]]-0.4),(1/3)*(Table13[[#This Row],[Height]]-0.4)*Table13[[#This Row],[Whole_weight]]*0.5)</f>
        <v>0.90582499999999999</v>
      </c>
      <c r="W371" cm="1">
        <f t="array" ref="W3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0.72466000000000008</v>
      </c>
      <c r="X371" t="e">
        <f>IF(Table13[[#This Row],[Category All]]="Category 1",Table13[[#This Row],[Base Abalone Value]]*1.5,NA())</f>
        <v>#N/A</v>
      </c>
      <c r="Y371">
        <f>IF(Table13[[#This Row],[Category All]]="Category 2",Table13[[#This Row],[Base Abalone Value]]*0.8,NA())</f>
        <v>0.72466000000000008</v>
      </c>
      <c r="Z371" t="e">
        <f>IF(Table13[[#This Row],[Category All]]="Category 3",Table13[[#This Row],[Base Abalone Value]],NA())</f>
        <v>#N/A</v>
      </c>
      <c r="AA371" s="2" t="e">
        <f>IF(Table13[[#This Row],[Gender]]="M",Table13[[#This Row],[Whole_weight]],NA())</f>
        <v>#N/A</v>
      </c>
      <c r="AB371" s="2" t="e">
        <f>IF(Table13[[#This Row],[Gender]]="F",Table13[[#This Row],[Whole_weight]],NA())</f>
        <v>#N/A</v>
      </c>
      <c r="AC371" s="2">
        <f>IF(Table13[[#This Row],[Gender]]="I",Table13[[#This Row],[Whole_weight]],NA())</f>
        <v>0.27</v>
      </c>
      <c r="AD371" s="2" t="e">
        <f>IF(Table13[[#This Row],[Gender]]="M",Table13[[#This Row],[Diameter]],NA())</f>
        <v>#N/A</v>
      </c>
      <c r="AE371" s="2" t="e">
        <f>IF(Table13[[#This Row],[Gender]]="F",Table13[[#This Row],[Diameter]],NA())</f>
        <v>#N/A</v>
      </c>
      <c r="AF371" s="2">
        <f>IF(Table13[[#This Row],[Gender]]="I",Table13[[#This Row],[Diameter]],NA())</f>
        <v>0.3</v>
      </c>
    </row>
    <row r="372" spans="1:32" x14ac:dyDescent="0.2">
      <c r="A372">
        <v>3093</v>
      </c>
      <c r="B372" t="s">
        <v>15</v>
      </c>
      <c r="C372">
        <v>0.51</v>
      </c>
      <c r="D372">
        <v>0.39500000000000002</v>
      </c>
      <c r="E372">
        <v>0.125</v>
      </c>
      <c r="F372">
        <v>0.58050000000000002</v>
      </c>
      <c r="G372">
        <v>0.24399999999999999</v>
      </c>
      <c r="H372">
        <v>0.13350000000000001</v>
      </c>
      <c r="I372">
        <v>0.188</v>
      </c>
      <c r="J372">
        <v>11</v>
      </c>
      <c r="K372">
        <v>4</v>
      </c>
      <c r="L372" t="s">
        <v>52</v>
      </c>
      <c r="M372" t="s">
        <v>53</v>
      </c>
      <c r="N372" t="s">
        <v>54</v>
      </c>
      <c r="O372">
        <v>7</v>
      </c>
      <c r="P372" t="s">
        <v>42</v>
      </c>
      <c r="Q372">
        <v>2.5</v>
      </c>
      <c r="R372" t="str" cm="1">
        <f t="array" ref="R3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72" t="e">
        <f>IF(Table13[[#This Row],[Category All]]="Category 1", "Yes",NA())</f>
        <v>#N/A</v>
      </c>
      <c r="T372" t="str">
        <f>IF(Table13[[#This Row],[Category All]]="Category 2", "Yes",NA())</f>
        <v>Yes</v>
      </c>
      <c r="U372" t="e">
        <f>IF(Table13[[#This Row],[Category All]]="Category 3", "Yes",NA())</f>
        <v>#N/A</v>
      </c>
      <c r="V372">
        <f>SUM(1,(1/3)*(Table13[[#This Row],[Length]]-0.5),(1/3)*(Table13[[#This Row],[Diameter]]-0.4),(1/3)*(Table13[[#This Row],[Height]]-0.4)*Table13[[#This Row],[Whole_weight]]*0.5)</f>
        <v>0.97506041666666665</v>
      </c>
      <c r="W372" cm="1">
        <f t="array" ref="W3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0.78004833333333334</v>
      </c>
      <c r="X372" t="e">
        <f>IF(Table13[[#This Row],[Category All]]="Category 1",Table13[[#This Row],[Base Abalone Value]]*1.5,NA())</f>
        <v>#N/A</v>
      </c>
      <c r="Y372">
        <f>IF(Table13[[#This Row],[Category All]]="Category 2",Table13[[#This Row],[Base Abalone Value]]*0.8,NA())</f>
        <v>0.78004833333333334</v>
      </c>
      <c r="Z372" t="e">
        <f>IF(Table13[[#This Row],[Category All]]="Category 3",Table13[[#This Row],[Base Abalone Value]],NA())</f>
        <v>#N/A</v>
      </c>
      <c r="AA372" s="2">
        <f>IF(Table13[[#This Row],[Gender]]="M",Table13[[#This Row],[Whole_weight]],NA())</f>
        <v>0.58050000000000002</v>
      </c>
      <c r="AB372" s="2" t="e">
        <f>IF(Table13[[#This Row],[Gender]]="F",Table13[[#This Row],[Whole_weight]],NA())</f>
        <v>#N/A</v>
      </c>
      <c r="AC372" s="2" t="e">
        <f>IF(Table13[[#This Row],[Gender]]="I",Table13[[#This Row],[Whole_weight]],NA())</f>
        <v>#N/A</v>
      </c>
      <c r="AD372" s="2">
        <f>IF(Table13[[#This Row],[Gender]]="M",Table13[[#This Row],[Diameter]],NA())</f>
        <v>0.39500000000000002</v>
      </c>
      <c r="AE372" s="2" t="e">
        <f>IF(Table13[[#This Row],[Gender]]="F",Table13[[#This Row],[Diameter]],NA())</f>
        <v>#N/A</v>
      </c>
      <c r="AF372" s="2" t="e">
        <f>IF(Table13[[#This Row],[Gender]]="I",Table13[[#This Row],[Diameter]],NA())</f>
        <v>#N/A</v>
      </c>
    </row>
    <row r="373" spans="1:32" x14ac:dyDescent="0.2">
      <c r="A373">
        <v>246</v>
      </c>
      <c r="B373" t="s">
        <v>11</v>
      </c>
      <c r="C373">
        <v>0.35</v>
      </c>
      <c r="D373">
        <v>0.26</v>
      </c>
      <c r="E373">
        <v>8.5000000000000006E-2</v>
      </c>
      <c r="F373">
        <v>0.17399999999999999</v>
      </c>
      <c r="G373">
        <v>7.0499999999999993E-2</v>
      </c>
      <c r="H373">
        <v>3.4500000000000003E-2</v>
      </c>
      <c r="I373">
        <v>0.06</v>
      </c>
      <c r="J373">
        <v>10</v>
      </c>
      <c r="K373">
        <v>10</v>
      </c>
      <c r="L373" t="s">
        <v>16</v>
      </c>
      <c r="M373" t="s">
        <v>17</v>
      </c>
      <c r="N373" t="s">
        <v>18</v>
      </c>
      <c r="O373">
        <v>6</v>
      </c>
      <c r="P373" t="s">
        <v>47</v>
      </c>
      <c r="Q373">
        <v>14.1</v>
      </c>
      <c r="R373" t="str" cm="1">
        <f t="array" ref="R3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73" t="e">
        <f>IF(Table13[[#This Row],[Category All]]="Category 1", "Yes",NA())</f>
        <v>#N/A</v>
      </c>
      <c r="T373" t="str">
        <f>IF(Table13[[#This Row],[Category All]]="Category 2", "Yes",NA())</f>
        <v>Yes</v>
      </c>
      <c r="U373" t="e">
        <f>IF(Table13[[#This Row],[Category All]]="Category 3", "Yes",NA())</f>
        <v>#N/A</v>
      </c>
      <c r="V373">
        <f>SUM(1,(1/3)*(Table13[[#This Row],[Length]]-0.5),(1/3)*(Table13[[#This Row],[Diameter]]-0.4),(1/3)*(Table13[[#This Row],[Height]]-0.4)*Table13[[#This Row],[Whole_weight]]*0.5)</f>
        <v>0.89419833333333332</v>
      </c>
      <c r="W373" cm="1">
        <f t="array" ref="W3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0.7153586666666667</v>
      </c>
      <c r="X373" t="e">
        <f>IF(Table13[[#This Row],[Category All]]="Category 1",Table13[[#This Row],[Base Abalone Value]]*1.5,NA())</f>
        <v>#N/A</v>
      </c>
      <c r="Y373">
        <f>IF(Table13[[#This Row],[Category All]]="Category 2",Table13[[#This Row],[Base Abalone Value]]*0.8,NA())</f>
        <v>0.7153586666666667</v>
      </c>
      <c r="Z373" t="e">
        <f>IF(Table13[[#This Row],[Category All]]="Category 3",Table13[[#This Row],[Base Abalone Value]],NA())</f>
        <v>#N/A</v>
      </c>
      <c r="AA373" s="2" t="e">
        <f>IF(Table13[[#This Row],[Gender]]="M",Table13[[#This Row],[Whole_weight]],NA())</f>
        <v>#N/A</v>
      </c>
      <c r="AB373" s="2" t="e">
        <f>IF(Table13[[#This Row],[Gender]]="F",Table13[[#This Row],[Whole_weight]],NA())</f>
        <v>#N/A</v>
      </c>
      <c r="AC373" s="2">
        <f>IF(Table13[[#This Row],[Gender]]="I",Table13[[#This Row],[Whole_weight]],NA())</f>
        <v>0.17399999999999999</v>
      </c>
      <c r="AD373" s="2" t="e">
        <f>IF(Table13[[#This Row],[Gender]]="M",Table13[[#This Row],[Diameter]],NA())</f>
        <v>#N/A</v>
      </c>
      <c r="AE373" s="2" t="e">
        <f>IF(Table13[[#This Row],[Gender]]="F",Table13[[#This Row],[Diameter]],NA())</f>
        <v>#N/A</v>
      </c>
      <c r="AF373" s="2">
        <f>IF(Table13[[#This Row],[Gender]]="I",Table13[[#This Row],[Diameter]],NA())</f>
        <v>0.26</v>
      </c>
    </row>
    <row r="374" spans="1:32" x14ac:dyDescent="0.2">
      <c r="A374">
        <v>1660</v>
      </c>
      <c r="B374" t="s">
        <v>0</v>
      </c>
      <c r="C374">
        <v>0.6</v>
      </c>
      <c r="D374">
        <v>0.48</v>
      </c>
      <c r="E374">
        <v>0.18</v>
      </c>
      <c r="F374">
        <v>1.0645</v>
      </c>
      <c r="G374">
        <v>0.44950000000000001</v>
      </c>
      <c r="H374">
        <v>0.2455</v>
      </c>
      <c r="I374">
        <v>0.32500000000000001</v>
      </c>
      <c r="J374">
        <v>10</v>
      </c>
      <c r="K374">
        <v>6</v>
      </c>
      <c r="L374" t="s">
        <v>39</v>
      </c>
      <c r="M374" t="s">
        <v>40</v>
      </c>
      <c r="N374" t="s">
        <v>41</v>
      </c>
      <c r="O374">
        <v>4</v>
      </c>
      <c r="P374" t="s">
        <v>10</v>
      </c>
      <c r="Q374">
        <v>6.1</v>
      </c>
      <c r="R374" t="str" cm="1">
        <f t="array" ref="R3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74" t="e">
        <f>IF(Table13[[#This Row],[Category All]]="Category 1", "Yes",NA())</f>
        <v>#N/A</v>
      </c>
      <c r="T374" t="e">
        <f>IF(Table13[[#This Row],[Category All]]="Category 2", "Yes",NA())</f>
        <v>#N/A</v>
      </c>
      <c r="U374" t="str">
        <f>IF(Table13[[#This Row],[Category All]]="Category 3", "Yes",NA())</f>
        <v>Yes</v>
      </c>
      <c r="V374">
        <f>SUM(1,(1/3)*(Table13[[#This Row],[Length]]-0.5),(1/3)*(Table13[[#This Row],[Diameter]]-0.4),(1/3)*(Table13[[#This Row],[Height]]-0.4)*Table13[[#This Row],[Whole_weight]]*0.5)</f>
        <v>1.0209683333333333</v>
      </c>
      <c r="W374" cm="1">
        <f t="array" ref="W3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1.0209683333333333</v>
      </c>
      <c r="X374" t="e">
        <f>IF(Table13[[#This Row],[Category All]]="Category 1",Table13[[#This Row],[Base Abalone Value]]*1.5,NA())</f>
        <v>#N/A</v>
      </c>
      <c r="Y374" t="e">
        <f>IF(Table13[[#This Row],[Category All]]="Category 2",Table13[[#This Row],[Base Abalone Value]]*0.8,NA())</f>
        <v>#N/A</v>
      </c>
      <c r="Z374">
        <f>IF(Table13[[#This Row],[Category All]]="Category 3",Table13[[#This Row],[Base Abalone Value]],NA())</f>
        <v>1.0209683333333333</v>
      </c>
      <c r="AA374" s="2" t="e">
        <f>IF(Table13[[#This Row],[Gender]]="M",Table13[[#This Row],[Whole_weight]],NA())</f>
        <v>#N/A</v>
      </c>
      <c r="AB374" s="2">
        <f>IF(Table13[[#This Row],[Gender]]="F",Table13[[#This Row],[Whole_weight]],NA())</f>
        <v>1.0645</v>
      </c>
      <c r="AC374" s="2" t="e">
        <f>IF(Table13[[#This Row],[Gender]]="I",Table13[[#This Row],[Whole_weight]],NA())</f>
        <v>#N/A</v>
      </c>
      <c r="AD374" s="2" t="e">
        <f>IF(Table13[[#This Row],[Gender]]="M",Table13[[#This Row],[Diameter]],NA())</f>
        <v>#N/A</v>
      </c>
      <c r="AE374" s="2">
        <f>IF(Table13[[#This Row],[Gender]]="F",Table13[[#This Row],[Diameter]],NA())</f>
        <v>0.48</v>
      </c>
      <c r="AF374" s="2" t="e">
        <f>IF(Table13[[#This Row],[Gender]]="I",Table13[[#This Row],[Diameter]],NA())</f>
        <v>#N/A</v>
      </c>
    </row>
    <row r="375" spans="1:32" x14ac:dyDescent="0.2">
      <c r="A375">
        <v>469</v>
      </c>
      <c r="B375" t="s">
        <v>0</v>
      </c>
      <c r="C375">
        <v>0.68</v>
      </c>
      <c r="D375">
        <v>0.55000000000000004</v>
      </c>
      <c r="E375">
        <v>0.21</v>
      </c>
      <c r="F375">
        <v>1.7444999999999999</v>
      </c>
      <c r="G375">
        <v>0.59750000000000003</v>
      </c>
      <c r="H375">
        <v>0.30499999999999999</v>
      </c>
      <c r="I375">
        <v>0.625</v>
      </c>
      <c r="J375">
        <v>17</v>
      </c>
      <c r="K375">
        <v>8</v>
      </c>
      <c r="L375" t="s">
        <v>29</v>
      </c>
      <c r="M375" t="s">
        <v>30</v>
      </c>
      <c r="N375" t="s">
        <v>31</v>
      </c>
      <c r="O375">
        <v>7</v>
      </c>
      <c r="P375" t="s">
        <v>42</v>
      </c>
      <c r="Q375">
        <v>2.5</v>
      </c>
      <c r="R375" t="str" cm="1">
        <f t="array" ref="R3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75" t="e">
        <f>IF(Table13[[#This Row],[Category All]]="Category 1", "Yes",NA())</f>
        <v>#N/A</v>
      </c>
      <c r="T375" t="e">
        <f>IF(Table13[[#This Row],[Category All]]="Category 2", "Yes",NA())</f>
        <v>#N/A</v>
      </c>
      <c r="U375" t="str">
        <f>IF(Table13[[#This Row],[Category All]]="Category 3", "Yes",NA())</f>
        <v>Yes</v>
      </c>
      <c r="V375">
        <f>SUM(1,(1/3)*(Table13[[#This Row],[Length]]-0.5),(1/3)*(Table13[[#This Row],[Diameter]]-0.4),(1/3)*(Table13[[#This Row],[Height]]-0.4)*Table13[[#This Row],[Whole_weight]]*0.5)</f>
        <v>1.0547575</v>
      </c>
      <c r="W375" cm="1">
        <f t="array" ref="W3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1.0547575</v>
      </c>
      <c r="X375" t="e">
        <f>IF(Table13[[#This Row],[Category All]]="Category 1",Table13[[#This Row],[Base Abalone Value]]*1.5,NA())</f>
        <v>#N/A</v>
      </c>
      <c r="Y375" t="e">
        <f>IF(Table13[[#This Row],[Category All]]="Category 2",Table13[[#This Row],[Base Abalone Value]]*0.8,NA())</f>
        <v>#N/A</v>
      </c>
      <c r="Z375">
        <f>IF(Table13[[#This Row],[Category All]]="Category 3",Table13[[#This Row],[Base Abalone Value]],NA())</f>
        <v>1.0547575</v>
      </c>
      <c r="AA375" s="2" t="e">
        <f>IF(Table13[[#This Row],[Gender]]="M",Table13[[#This Row],[Whole_weight]],NA())</f>
        <v>#N/A</v>
      </c>
      <c r="AB375" s="2">
        <f>IF(Table13[[#This Row],[Gender]]="F",Table13[[#This Row],[Whole_weight]],NA())</f>
        <v>1.7444999999999999</v>
      </c>
      <c r="AC375" s="2" t="e">
        <f>IF(Table13[[#This Row],[Gender]]="I",Table13[[#This Row],[Whole_weight]],NA())</f>
        <v>#N/A</v>
      </c>
      <c r="AD375" s="2" t="e">
        <f>IF(Table13[[#This Row],[Gender]]="M",Table13[[#This Row],[Diameter]],NA())</f>
        <v>#N/A</v>
      </c>
      <c r="AE375" s="2">
        <f>IF(Table13[[#This Row],[Gender]]="F",Table13[[#This Row],[Diameter]],NA())</f>
        <v>0.55000000000000004</v>
      </c>
      <c r="AF375" s="2" t="e">
        <f>IF(Table13[[#This Row],[Gender]]="I",Table13[[#This Row],[Diameter]],NA())</f>
        <v>#N/A</v>
      </c>
    </row>
    <row r="376" spans="1:32" x14ac:dyDescent="0.2">
      <c r="A376">
        <v>2191</v>
      </c>
      <c r="B376" t="s">
        <v>15</v>
      </c>
      <c r="C376">
        <v>0.57999999999999996</v>
      </c>
      <c r="D376">
        <v>0.47</v>
      </c>
      <c r="E376">
        <v>0.16500000000000001</v>
      </c>
      <c r="F376">
        <v>0.92700000000000005</v>
      </c>
      <c r="G376">
        <v>0.32150000000000001</v>
      </c>
      <c r="H376">
        <v>0.19850000000000001</v>
      </c>
      <c r="I376">
        <v>0.315</v>
      </c>
      <c r="J376">
        <v>11</v>
      </c>
      <c r="K376">
        <v>3</v>
      </c>
      <c r="L376" t="s">
        <v>43</v>
      </c>
      <c r="M376" t="s">
        <v>44</v>
      </c>
      <c r="N376" t="s">
        <v>45</v>
      </c>
      <c r="O376">
        <v>10</v>
      </c>
      <c r="P376" t="s">
        <v>38</v>
      </c>
      <c r="Q376">
        <v>24.1</v>
      </c>
      <c r="R376" t="str" cm="1">
        <f t="array" ref="R3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76" t="e">
        <f>IF(Table13[[#This Row],[Category All]]="Category 1", "Yes",NA())</f>
        <v>#N/A</v>
      </c>
      <c r="T376" t="str">
        <f>IF(Table13[[#This Row],[Category All]]="Category 2", "Yes",NA())</f>
        <v>Yes</v>
      </c>
      <c r="U376" t="e">
        <f>IF(Table13[[#This Row],[Category All]]="Category 3", "Yes",NA())</f>
        <v>#N/A</v>
      </c>
      <c r="V376">
        <f>SUM(1,(1/3)*(Table13[[#This Row],[Length]]-0.5),(1/3)*(Table13[[#This Row],[Diameter]]-0.4),(1/3)*(Table13[[#This Row],[Height]]-0.4)*Table13[[#This Row],[Whole_weight]]*0.5)</f>
        <v>1.0136924999999999</v>
      </c>
      <c r="W376" cm="1">
        <f t="array" ref="W3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0.81095399999999995</v>
      </c>
      <c r="X376" t="e">
        <f>IF(Table13[[#This Row],[Category All]]="Category 1",Table13[[#This Row],[Base Abalone Value]]*1.5,NA())</f>
        <v>#N/A</v>
      </c>
      <c r="Y376">
        <f>IF(Table13[[#This Row],[Category All]]="Category 2",Table13[[#This Row],[Base Abalone Value]]*0.8,NA())</f>
        <v>0.81095399999999995</v>
      </c>
      <c r="Z376" t="e">
        <f>IF(Table13[[#This Row],[Category All]]="Category 3",Table13[[#This Row],[Base Abalone Value]],NA())</f>
        <v>#N/A</v>
      </c>
      <c r="AA376" s="2">
        <f>IF(Table13[[#This Row],[Gender]]="M",Table13[[#This Row],[Whole_weight]],NA())</f>
        <v>0.92700000000000005</v>
      </c>
      <c r="AB376" s="2" t="e">
        <f>IF(Table13[[#This Row],[Gender]]="F",Table13[[#This Row],[Whole_weight]],NA())</f>
        <v>#N/A</v>
      </c>
      <c r="AC376" s="2" t="e">
        <f>IF(Table13[[#This Row],[Gender]]="I",Table13[[#This Row],[Whole_weight]],NA())</f>
        <v>#N/A</v>
      </c>
      <c r="AD376" s="2">
        <f>IF(Table13[[#This Row],[Gender]]="M",Table13[[#This Row],[Diameter]],NA())</f>
        <v>0.47</v>
      </c>
      <c r="AE376" s="2" t="e">
        <f>IF(Table13[[#This Row],[Gender]]="F",Table13[[#This Row],[Diameter]],NA())</f>
        <v>#N/A</v>
      </c>
      <c r="AF376" s="2" t="e">
        <f>IF(Table13[[#This Row],[Gender]]="I",Table13[[#This Row],[Diameter]],NA())</f>
        <v>#N/A</v>
      </c>
    </row>
    <row r="377" spans="1:32" x14ac:dyDescent="0.2">
      <c r="A377">
        <v>3307</v>
      </c>
      <c r="B377" t="s">
        <v>11</v>
      </c>
      <c r="C377">
        <v>0.41</v>
      </c>
      <c r="D377">
        <v>0.3</v>
      </c>
      <c r="E377">
        <v>0.115</v>
      </c>
      <c r="F377">
        <v>0.25950000000000001</v>
      </c>
      <c r="G377">
        <v>9.7000000000000003E-2</v>
      </c>
      <c r="H377">
        <v>5.1499999999999997E-2</v>
      </c>
      <c r="I377">
        <v>0.08</v>
      </c>
      <c r="J377">
        <v>10</v>
      </c>
      <c r="K377">
        <v>14</v>
      </c>
      <c r="L377" t="s">
        <v>23</v>
      </c>
      <c r="M377" t="s">
        <v>24</v>
      </c>
      <c r="N377" t="s">
        <v>25</v>
      </c>
      <c r="O377">
        <v>6</v>
      </c>
      <c r="P377" t="s">
        <v>47</v>
      </c>
      <c r="Q377">
        <v>14.1</v>
      </c>
      <c r="R377" t="str" cm="1">
        <f t="array" ref="R3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77" t="e">
        <f>IF(Table13[[#This Row],[Category All]]="Category 1", "Yes",NA())</f>
        <v>#N/A</v>
      </c>
      <c r="T377" t="str">
        <f>IF(Table13[[#This Row],[Category All]]="Category 2", "Yes",NA())</f>
        <v>Yes</v>
      </c>
      <c r="U377" t="e">
        <f>IF(Table13[[#This Row],[Category All]]="Category 3", "Yes",NA())</f>
        <v>#N/A</v>
      </c>
      <c r="V377">
        <f>SUM(1,(1/3)*(Table13[[#This Row],[Length]]-0.5),(1/3)*(Table13[[#This Row],[Diameter]]-0.4),(1/3)*(Table13[[#This Row],[Height]]-0.4)*Table13[[#This Row],[Whole_weight]]*0.5)</f>
        <v>0.92434041666666666</v>
      </c>
      <c r="W377" cm="1">
        <f t="array" ref="W3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0.7394723333333334</v>
      </c>
      <c r="X377" t="e">
        <f>IF(Table13[[#This Row],[Category All]]="Category 1",Table13[[#This Row],[Base Abalone Value]]*1.5,NA())</f>
        <v>#N/A</v>
      </c>
      <c r="Y377">
        <f>IF(Table13[[#This Row],[Category All]]="Category 2",Table13[[#This Row],[Base Abalone Value]]*0.8,NA())</f>
        <v>0.7394723333333334</v>
      </c>
      <c r="Z377" t="e">
        <f>IF(Table13[[#This Row],[Category All]]="Category 3",Table13[[#This Row],[Base Abalone Value]],NA())</f>
        <v>#N/A</v>
      </c>
      <c r="AA377" s="2" t="e">
        <f>IF(Table13[[#This Row],[Gender]]="M",Table13[[#This Row],[Whole_weight]],NA())</f>
        <v>#N/A</v>
      </c>
      <c r="AB377" s="2" t="e">
        <f>IF(Table13[[#This Row],[Gender]]="F",Table13[[#This Row],[Whole_weight]],NA())</f>
        <v>#N/A</v>
      </c>
      <c r="AC377" s="2">
        <f>IF(Table13[[#This Row],[Gender]]="I",Table13[[#This Row],[Whole_weight]],NA())</f>
        <v>0.25950000000000001</v>
      </c>
      <c r="AD377" s="2" t="e">
        <f>IF(Table13[[#This Row],[Gender]]="M",Table13[[#This Row],[Diameter]],NA())</f>
        <v>#N/A</v>
      </c>
      <c r="AE377" s="2" t="e">
        <f>IF(Table13[[#This Row],[Gender]]="F",Table13[[#This Row],[Diameter]],NA())</f>
        <v>#N/A</v>
      </c>
      <c r="AF377" s="2">
        <f>IF(Table13[[#This Row],[Gender]]="I",Table13[[#This Row],[Diameter]],NA())</f>
        <v>0.3</v>
      </c>
    </row>
    <row r="378" spans="1:32" x14ac:dyDescent="0.2">
      <c r="A378">
        <v>3414</v>
      </c>
      <c r="B378" t="s">
        <v>15</v>
      </c>
      <c r="C378">
        <v>0.49</v>
      </c>
      <c r="D378">
        <v>0.39500000000000002</v>
      </c>
      <c r="E378">
        <v>0.12</v>
      </c>
      <c r="F378">
        <v>0.67400000000000004</v>
      </c>
      <c r="G378">
        <v>0.33250000000000002</v>
      </c>
      <c r="H378">
        <v>0.1235</v>
      </c>
      <c r="I378">
        <v>0.185</v>
      </c>
      <c r="J378">
        <v>9</v>
      </c>
      <c r="K378">
        <v>10</v>
      </c>
      <c r="L378" t="s">
        <v>16</v>
      </c>
      <c r="M378" t="s">
        <v>17</v>
      </c>
      <c r="N378" t="s">
        <v>18</v>
      </c>
      <c r="O378">
        <v>3</v>
      </c>
      <c r="P378" t="s">
        <v>48</v>
      </c>
      <c r="Q378">
        <v>3.6</v>
      </c>
      <c r="R378" t="str" cm="1">
        <f t="array" ref="R3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78" t="e">
        <f>IF(Table13[[#This Row],[Category All]]="Category 1", "Yes",NA())</f>
        <v>#N/A</v>
      </c>
      <c r="T378" t="str">
        <f>IF(Table13[[#This Row],[Category All]]="Category 2", "Yes",NA())</f>
        <v>Yes</v>
      </c>
      <c r="U378" t="e">
        <f>IF(Table13[[#This Row],[Category All]]="Category 3", "Yes",NA())</f>
        <v>#N/A</v>
      </c>
      <c r="V378">
        <f>SUM(1,(1/3)*(Table13[[#This Row],[Length]]-0.5),(1/3)*(Table13[[#This Row],[Diameter]]-0.4),(1/3)*(Table13[[#This Row],[Height]]-0.4)*Table13[[#This Row],[Whole_weight]]*0.5)</f>
        <v>0.96354666666666666</v>
      </c>
      <c r="W378" cm="1">
        <f t="array" ref="W3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0.77083733333333337</v>
      </c>
      <c r="X378" t="e">
        <f>IF(Table13[[#This Row],[Category All]]="Category 1",Table13[[#This Row],[Base Abalone Value]]*1.5,NA())</f>
        <v>#N/A</v>
      </c>
      <c r="Y378">
        <f>IF(Table13[[#This Row],[Category All]]="Category 2",Table13[[#This Row],[Base Abalone Value]]*0.8,NA())</f>
        <v>0.77083733333333337</v>
      </c>
      <c r="Z378" t="e">
        <f>IF(Table13[[#This Row],[Category All]]="Category 3",Table13[[#This Row],[Base Abalone Value]],NA())</f>
        <v>#N/A</v>
      </c>
      <c r="AA378" s="2">
        <f>IF(Table13[[#This Row],[Gender]]="M",Table13[[#This Row],[Whole_weight]],NA())</f>
        <v>0.67400000000000004</v>
      </c>
      <c r="AB378" s="2" t="e">
        <f>IF(Table13[[#This Row],[Gender]]="F",Table13[[#This Row],[Whole_weight]],NA())</f>
        <v>#N/A</v>
      </c>
      <c r="AC378" s="2" t="e">
        <f>IF(Table13[[#This Row],[Gender]]="I",Table13[[#This Row],[Whole_weight]],NA())</f>
        <v>#N/A</v>
      </c>
      <c r="AD378" s="2">
        <f>IF(Table13[[#This Row],[Gender]]="M",Table13[[#This Row],[Diameter]],NA())</f>
        <v>0.39500000000000002</v>
      </c>
      <c r="AE378" s="2" t="e">
        <f>IF(Table13[[#This Row],[Gender]]="F",Table13[[#This Row],[Diameter]],NA())</f>
        <v>#N/A</v>
      </c>
      <c r="AF378" s="2" t="e">
        <f>IF(Table13[[#This Row],[Gender]]="I",Table13[[#This Row],[Diameter]],NA())</f>
        <v>#N/A</v>
      </c>
    </row>
    <row r="379" spans="1:32" x14ac:dyDescent="0.2">
      <c r="A379">
        <v>3926</v>
      </c>
      <c r="B379" t="s">
        <v>0</v>
      </c>
      <c r="C379">
        <v>0.47</v>
      </c>
      <c r="D379">
        <v>0.35</v>
      </c>
      <c r="E379">
        <v>0.115</v>
      </c>
      <c r="F379">
        <v>0.48699999999999999</v>
      </c>
      <c r="G379">
        <v>0.19550000000000001</v>
      </c>
      <c r="H379">
        <v>0.127</v>
      </c>
      <c r="I379">
        <v>0.155</v>
      </c>
      <c r="J379">
        <v>8</v>
      </c>
      <c r="K379">
        <v>1</v>
      </c>
      <c r="L379" t="s">
        <v>8</v>
      </c>
      <c r="M379" t="s">
        <v>9</v>
      </c>
      <c r="N379" t="s">
        <v>3</v>
      </c>
      <c r="O379">
        <v>9</v>
      </c>
      <c r="P379" t="s">
        <v>46</v>
      </c>
      <c r="Q379">
        <v>1.9</v>
      </c>
      <c r="R379" t="str" cm="1">
        <f t="array" ref="R3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79" t="e">
        <f>IF(Table13[[#This Row],[Category All]]="Category 1", "Yes",NA())</f>
        <v>#N/A</v>
      </c>
      <c r="T379" t="str">
        <f>IF(Table13[[#This Row],[Category All]]="Category 2", "Yes",NA())</f>
        <v>Yes</v>
      </c>
      <c r="U379" t="e">
        <f>IF(Table13[[#This Row],[Category All]]="Category 3", "Yes",NA())</f>
        <v>#N/A</v>
      </c>
      <c r="V379">
        <f>SUM(1,(1/3)*(Table13[[#This Row],[Length]]-0.5),(1/3)*(Table13[[#This Row],[Diameter]]-0.4),(1/3)*(Table13[[#This Row],[Height]]-0.4)*Table13[[#This Row],[Whole_weight]]*0.5)</f>
        <v>0.95020083333333327</v>
      </c>
      <c r="W379" cm="1">
        <f t="array" ref="W3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0.76016066666666671</v>
      </c>
      <c r="X379" t="e">
        <f>IF(Table13[[#This Row],[Category All]]="Category 1",Table13[[#This Row],[Base Abalone Value]]*1.5,NA())</f>
        <v>#N/A</v>
      </c>
      <c r="Y379">
        <f>IF(Table13[[#This Row],[Category All]]="Category 2",Table13[[#This Row],[Base Abalone Value]]*0.8,NA())</f>
        <v>0.76016066666666671</v>
      </c>
      <c r="Z379" t="e">
        <f>IF(Table13[[#This Row],[Category All]]="Category 3",Table13[[#This Row],[Base Abalone Value]],NA())</f>
        <v>#N/A</v>
      </c>
      <c r="AA379" s="2" t="e">
        <f>IF(Table13[[#This Row],[Gender]]="M",Table13[[#This Row],[Whole_weight]],NA())</f>
        <v>#N/A</v>
      </c>
      <c r="AB379" s="2">
        <f>IF(Table13[[#This Row],[Gender]]="F",Table13[[#This Row],[Whole_weight]],NA())</f>
        <v>0.48699999999999999</v>
      </c>
      <c r="AC379" s="2" t="e">
        <f>IF(Table13[[#This Row],[Gender]]="I",Table13[[#This Row],[Whole_weight]],NA())</f>
        <v>#N/A</v>
      </c>
      <c r="AD379" s="2" t="e">
        <f>IF(Table13[[#This Row],[Gender]]="M",Table13[[#This Row],[Diameter]],NA())</f>
        <v>#N/A</v>
      </c>
      <c r="AE379" s="2">
        <f>IF(Table13[[#This Row],[Gender]]="F",Table13[[#This Row],[Diameter]],NA())</f>
        <v>0.35</v>
      </c>
      <c r="AF379" s="2" t="e">
        <f>IF(Table13[[#This Row],[Gender]]="I",Table13[[#This Row],[Diameter]],NA())</f>
        <v>#N/A</v>
      </c>
    </row>
    <row r="380" spans="1:32" x14ac:dyDescent="0.2">
      <c r="A380">
        <v>3477</v>
      </c>
      <c r="B380" t="s">
        <v>11</v>
      </c>
      <c r="C380">
        <v>0.4</v>
      </c>
      <c r="D380">
        <v>0.28999999999999998</v>
      </c>
      <c r="E380">
        <v>0.1</v>
      </c>
      <c r="F380">
        <v>0.25800000000000001</v>
      </c>
      <c r="G380">
        <v>0.104</v>
      </c>
      <c r="H380">
        <v>5.8999999999999997E-2</v>
      </c>
      <c r="I380">
        <v>8.1500000000000003E-2</v>
      </c>
      <c r="J380">
        <v>7</v>
      </c>
      <c r="K380">
        <v>7</v>
      </c>
      <c r="L380" t="s">
        <v>35</v>
      </c>
      <c r="M380" t="s">
        <v>36</v>
      </c>
      <c r="N380" t="s">
        <v>37</v>
      </c>
      <c r="O380">
        <v>4</v>
      </c>
      <c r="P380" t="s">
        <v>10</v>
      </c>
      <c r="Q380">
        <v>6.1</v>
      </c>
      <c r="R380" t="str" cm="1">
        <f t="array" ref="R3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0" t="e">
        <f>IF(Table13[[#This Row],[Category All]]="Category 1", "Yes",NA())</f>
        <v>#N/A</v>
      </c>
      <c r="T380" t="str">
        <f>IF(Table13[[#This Row],[Category All]]="Category 2", "Yes",NA())</f>
        <v>Yes</v>
      </c>
      <c r="U380" t="e">
        <f>IF(Table13[[#This Row],[Category All]]="Category 3", "Yes",NA())</f>
        <v>#N/A</v>
      </c>
      <c r="V380">
        <f>SUM(1,(1/3)*(Table13[[#This Row],[Length]]-0.5),(1/3)*(Table13[[#This Row],[Diameter]]-0.4),(1/3)*(Table13[[#This Row],[Height]]-0.4)*Table13[[#This Row],[Whole_weight]]*0.5)</f>
        <v>0.91709999999999992</v>
      </c>
      <c r="W380" cm="1">
        <f t="array" ref="W3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0.73368</v>
      </c>
      <c r="X380" t="e">
        <f>IF(Table13[[#This Row],[Category All]]="Category 1",Table13[[#This Row],[Base Abalone Value]]*1.5,NA())</f>
        <v>#N/A</v>
      </c>
      <c r="Y380">
        <f>IF(Table13[[#This Row],[Category All]]="Category 2",Table13[[#This Row],[Base Abalone Value]]*0.8,NA())</f>
        <v>0.73368</v>
      </c>
      <c r="Z380" t="e">
        <f>IF(Table13[[#This Row],[Category All]]="Category 3",Table13[[#This Row],[Base Abalone Value]],NA())</f>
        <v>#N/A</v>
      </c>
      <c r="AA380" s="2" t="e">
        <f>IF(Table13[[#This Row],[Gender]]="M",Table13[[#This Row],[Whole_weight]],NA())</f>
        <v>#N/A</v>
      </c>
      <c r="AB380" s="2" t="e">
        <f>IF(Table13[[#This Row],[Gender]]="F",Table13[[#This Row],[Whole_weight]],NA())</f>
        <v>#N/A</v>
      </c>
      <c r="AC380" s="2">
        <f>IF(Table13[[#This Row],[Gender]]="I",Table13[[#This Row],[Whole_weight]],NA())</f>
        <v>0.25800000000000001</v>
      </c>
      <c r="AD380" s="2" t="e">
        <f>IF(Table13[[#This Row],[Gender]]="M",Table13[[#This Row],[Diameter]],NA())</f>
        <v>#N/A</v>
      </c>
      <c r="AE380" s="2" t="e">
        <f>IF(Table13[[#This Row],[Gender]]="F",Table13[[#This Row],[Diameter]],NA())</f>
        <v>#N/A</v>
      </c>
      <c r="AF380" s="2">
        <f>IF(Table13[[#This Row],[Gender]]="I",Table13[[#This Row],[Diameter]],NA())</f>
        <v>0.28999999999999998</v>
      </c>
    </row>
    <row r="381" spans="1:32" x14ac:dyDescent="0.2">
      <c r="A381">
        <v>2332</v>
      </c>
      <c r="B381" t="s">
        <v>15</v>
      </c>
      <c r="C381">
        <v>0.59</v>
      </c>
      <c r="D381">
        <v>0.46</v>
      </c>
      <c r="E381">
        <v>0.155</v>
      </c>
      <c r="F381">
        <v>0.90600000000000003</v>
      </c>
      <c r="G381">
        <v>0.32700000000000001</v>
      </c>
      <c r="H381">
        <v>0.14849999999999999</v>
      </c>
      <c r="I381">
        <v>0.33500000000000002</v>
      </c>
      <c r="J381">
        <v>15</v>
      </c>
      <c r="K381">
        <v>10</v>
      </c>
      <c r="L381" t="s">
        <v>16</v>
      </c>
      <c r="M381" t="s">
        <v>17</v>
      </c>
      <c r="N381" t="s">
        <v>18</v>
      </c>
      <c r="O381">
        <v>2</v>
      </c>
      <c r="P381" t="s">
        <v>7</v>
      </c>
      <c r="Q381">
        <v>18</v>
      </c>
      <c r="R381" t="str" cm="1">
        <f t="array" ref="R3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1" t="e">
        <f>IF(Table13[[#This Row],[Category All]]="Category 1", "Yes",NA())</f>
        <v>#N/A</v>
      </c>
      <c r="T381" t="str">
        <f>IF(Table13[[#This Row],[Category All]]="Category 2", "Yes",NA())</f>
        <v>Yes</v>
      </c>
      <c r="U381" t="e">
        <f>IF(Table13[[#This Row],[Category All]]="Category 3", "Yes",NA())</f>
        <v>#N/A</v>
      </c>
      <c r="V381">
        <f>SUM(1,(1/3)*(Table13[[#This Row],[Length]]-0.5),(1/3)*(Table13[[#This Row],[Diameter]]-0.4),(1/3)*(Table13[[#This Row],[Height]]-0.4)*Table13[[#This Row],[Whole_weight]]*0.5)</f>
        <v>1.0130050000000002</v>
      </c>
      <c r="W381" cm="1">
        <f t="array" ref="W3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0.81040400000000012</v>
      </c>
      <c r="X381" t="e">
        <f>IF(Table13[[#This Row],[Category All]]="Category 1",Table13[[#This Row],[Base Abalone Value]]*1.5,NA())</f>
        <v>#N/A</v>
      </c>
      <c r="Y381">
        <f>IF(Table13[[#This Row],[Category All]]="Category 2",Table13[[#This Row],[Base Abalone Value]]*0.8,NA())</f>
        <v>0.81040400000000012</v>
      </c>
      <c r="Z381" t="e">
        <f>IF(Table13[[#This Row],[Category All]]="Category 3",Table13[[#This Row],[Base Abalone Value]],NA())</f>
        <v>#N/A</v>
      </c>
      <c r="AA381" s="2">
        <f>IF(Table13[[#This Row],[Gender]]="M",Table13[[#This Row],[Whole_weight]],NA())</f>
        <v>0.90600000000000003</v>
      </c>
      <c r="AB381" s="2" t="e">
        <f>IF(Table13[[#This Row],[Gender]]="F",Table13[[#This Row],[Whole_weight]],NA())</f>
        <v>#N/A</v>
      </c>
      <c r="AC381" s="2" t="e">
        <f>IF(Table13[[#This Row],[Gender]]="I",Table13[[#This Row],[Whole_weight]],NA())</f>
        <v>#N/A</v>
      </c>
      <c r="AD381" s="2">
        <f>IF(Table13[[#This Row],[Gender]]="M",Table13[[#This Row],[Diameter]],NA())</f>
        <v>0.46</v>
      </c>
      <c r="AE381" s="2" t="e">
        <f>IF(Table13[[#This Row],[Gender]]="F",Table13[[#This Row],[Diameter]],NA())</f>
        <v>#N/A</v>
      </c>
      <c r="AF381" s="2" t="e">
        <f>IF(Table13[[#This Row],[Gender]]="I",Table13[[#This Row],[Diameter]],NA())</f>
        <v>#N/A</v>
      </c>
    </row>
    <row r="382" spans="1:32" x14ac:dyDescent="0.2">
      <c r="A382">
        <v>2835</v>
      </c>
      <c r="B382" t="s">
        <v>0</v>
      </c>
      <c r="C382">
        <v>0.56999999999999995</v>
      </c>
      <c r="D382">
        <v>0.42499999999999999</v>
      </c>
      <c r="E382">
        <v>0.13</v>
      </c>
      <c r="F382">
        <v>0.78200000000000003</v>
      </c>
      <c r="G382">
        <v>0.3695</v>
      </c>
      <c r="H382">
        <v>0.17449999999999999</v>
      </c>
      <c r="I382">
        <v>0.19650000000000001</v>
      </c>
      <c r="J382">
        <v>8</v>
      </c>
      <c r="K382">
        <v>9</v>
      </c>
      <c r="L382" t="s">
        <v>20</v>
      </c>
      <c r="M382" t="s">
        <v>21</v>
      </c>
      <c r="N382" t="s">
        <v>22</v>
      </c>
      <c r="O382">
        <v>2</v>
      </c>
      <c r="P382" t="s">
        <v>7</v>
      </c>
      <c r="Q382">
        <v>18</v>
      </c>
      <c r="R382" t="str" cm="1">
        <f t="array" ref="R3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2" t="e">
        <f>IF(Table13[[#This Row],[Category All]]="Category 1", "Yes",NA())</f>
        <v>#N/A</v>
      </c>
      <c r="T382" t="str">
        <f>IF(Table13[[#This Row],[Category All]]="Category 2", "Yes",NA())</f>
        <v>Yes</v>
      </c>
      <c r="U382" t="e">
        <f>IF(Table13[[#This Row],[Category All]]="Category 3", "Yes",NA())</f>
        <v>#N/A</v>
      </c>
      <c r="V382">
        <f>SUM(1,(1/3)*(Table13[[#This Row],[Length]]-0.5),(1/3)*(Table13[[#This Row],[Diameter]]-0.4),(1/3)*(Table13[[#This Row],[Height]]-0.4)*Table13[[#This Row],[Whole_weight]]*0.5)</f>
        <v>0.99647666666666668</v>
      </c>
      <c r="W382" cm="1">
        <f t="array" ref="W3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0.79718133333333341</v>
      </c>
      <c r="X382" t="e">
        <f>IF(Table13[[#This Row],[Category All]]="Category 1",Table13[[#This Row],[Base Abalone Value]]*1.5,NA())</f>
        <v>#N/A</v>
      </c>
      <c r="Y382">
        <f>IF(Table13[[#This Row],[Category All]]="Category 2",Table13[[#This Row],[Base Abalone Value]]*0.8,NA())</f>
        <v>0.79718133333333341</v>
      </c>
      <c r="Z382" t="e">
        <f>IF(Table13[[#This Row],[Category All]]="Category 3",Table13[[#This Row],[Base Abalone Value]],NA())</f>
        <v>#N/A</v>
      </c>
      <c r="AA382" s="2" t="e">
        <f>IF(Table13[[#This Row],[Gender]]="M",Table13[[#This Row],[Whole_weight]],NA())</f>
        <v>#N/A</v>
      </c>
      <c r="AB382" s="2">
        <f>IF(Table13[[#This Row],[Gender]]="F",Table13[[#This Row],[Whole_weight]],NA())</f>
        <v>0.78200000000000003</v>
      </c>
      <c r="AC382" s="2" t="e">
        <f>IF(Table13[[#This Row],[Gender]]="I",Table13[[#This Row],[Whole_weight]],NA())</f>
        <v>#N/A</v>
      </c>
      <c r="AD382" s="2" t="e">
        <f>IF(Table13[[#This Row],[Gender]]="M",Table13[[#This Row],[Diameter]],NA())</f>
        <v>#N/A</v>
      </c>
      <c r="AE382" s="2">
        <f>IF(Table13[[#This Row],[Gender]]="F",Table13[[#This Row],[Diameter]],NA())</f>
        <v>0.42499999999999999</v>
      </c>
      <c r="AF382" s="2" t="e">
        <f>IF(Table13[[#This Row],[Gender]]="I",Table13[[#This Row],[Diameter]],NA())</f>
        <v>#N/A</v>
      </c>
    </row>
    <row r="383" spans="1:32" x14ac:dyDescent="0.2">
      <c r="A383">
        <v>1484</v>
      </c>
      <c r="B383" t="s">
        <v>15</v>
      </c>
      <c r="C383">
        <v>0.59</v>
      </c>
      <c r="D383">
        <v>0.44</v>
      </c>
      <c r="E383">
        <v>0.15</v>
      </c>
      <c r="F383">
        <v>0.87250000000000005</v>
      </c>
      <c r="G383">
        <v>0.38700000000000001</v>
      </c>
      <c r="H383">
        <v>0.215</v>
      </c>
      <c r="I383">
        <v>0.245</v>
      </c>
      <c r="J383">
        <v>8</v>
      </c>
      <c r="K383">
        <v>2</v>
      </c>
      <c r="L383" t="s">
        <v>32</v>
      </c>
      <c r="M383" t="s">
        <v>33</v>
      </c>
      <c r="N383" t="s">
        <v>34</v>
      </c>
      <c r="O383">
        <v>1</v>
      </c>
      <c r="P383" t="s">
        <v>4</v>
      </c>
      <c r="Q383">
        <v>22.1</v>
      </c>
      <c r="R383" t="str" cm="1">
        <f t="array" ref="R3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3" t="e">
        <f>IF(Table13[[#This Row],[Category All]]="Category 1", "Yes",NA())</f>
        <v>#N/A</v>
      </c>
      <c r="T383" t="str">
        <f>IF(Table13[[#This Row],[Category All]]="Category 2", "Yes",NA())</f>
        <v>Yes</v>
      </c>
      <c r="U383" t="e">
        <f>IF(Table13[[#This Row],[Category All]]="Category 3", "Yes",NA())</f>
        <v>#N/A</v>
      </c>
      <c r="V383">
        <f>SUM(1,(1/3)*(Table13[[#This Row],[Length]]-0.5),(1/3)*(Table13[[#This Row],[Diameter]]-0.4),(1/3)*(Table13[[#This Row],[Height]]-0.4)*Table13[[#This Row],[Whole_weight]]*0.5)</f>
        <v>1.0069791666666668</v>
      </c>
      <c r="W383" cm="1">
        <f t="array" ref="W3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0.80558333333333343</v>
      </c>
      <c r="X383" t="e">
        <f>IF(Table13[[#This Row],[Category All]]="Category 1",Table13[[#This Row],[Base Abalone Value]]*1.5,NA())</f>
        <v>#N/A</v>
      </c>
      <c r="Y383">
        <f>IF(Table13[[#This Row],[Category All]]="Category 2",Table13[[#This Row],[Base Abalone Value]]*0.8,NA())</f>
        <v>0.80558333333333343</v>
      </c>
      <c r="Z383" t="e">
        <f>IF(Table13[[#This Row],[Category All]]="Category 3",Table13[[#This Row],[Base Abalone Value]],NA())</f>
        <v>#N/A</v>
      </c>
      <c r="AA383" s="2">
        <f>IF(Table13[[#This Row],[Gender]]="M",Table13[[#This Row],[Whole_weight]],NA())</f>
        <v>0.87250000000000005</v>
      </c>
      <c r="AB383" s="2" t="e">
        <f>IF(Table13[[#This Row],[Gender]]="F",Table13[[#This Row],[Whole_weight]],NA())</f>
        <v>#N/A</v>
      </c>
      <c r="AC383" s="2" t="e">
        <f>IF(Table13[[#This Row],[Gender]]="I",Table13[[#This Row],[Whole_weight]],NA())</f>
        <v>#N/A</v>
      </c>
      <c r="AD383" s="2">
        <f>IF(Table13[[#This Row],[Gender]]="M",Table13[[#This Row],[Diameter]],NA())</f>
        <v>0.44</v>
      </c>
      <c r="AE383" s="2" t="e">
        <f>IF(Table13[[#This Row],[Gender]]="F",Table13[[#This Row],[Diameter]],NA())</f>
        <v>#N/A</v>
      </c>
      <c r="AF383" s="2" t="e">
        <f>IF(Table13[[#This Row],[Gender]]="I",Table13[[#This Row],[Diameter]],NA())</f>
        <v>#N/A</v>
      </c>
    </row>
    <row r="384" spans="1:32" x14ac:dyDescent="0.2">
      <c r="A384">
        <v>3272</v>
      </c>
      <c r="B384" t="s">
        <v>15</v>
      </c>
      <c r="C384">
        <v>0.52</v>
      </c>
      <c r="D384">
        <v>0.42499999999999999</v>
      </c>
      <c r="E384">
        <v>0.155</v>
      </c>
      <c r="F384">
        <v>0.77349999999999997</v>
      </c>
      <c r="G384">
        <v>0.29699999999999999</v>
      </c>
      <c r="H384">
        <v>0.123</v>
      </c>
      <c r="I384">
        <v>0.255</v>
      </c>
      <c r="J384">
        <v>17</v>
      </c>
      <c r="K384">
        <v>5</v>
      </c>
      <c r="L384" t="s">
        <v>26</v>
      </c>
      <c r="M384" t="s">
        <v>27</v>
      </c>
      <c r="N384" t="s">
        <v>28</v>
      </c>
      <c r="O384">
        <v>10</v>
      </c>
      <c r="P384" t="s">
        <v>38</v>
      </c>
      <c r="Q384">
        <v>24.1</v>
      </c>
      <c r="R384" t="str" cm="1">
        <f t="array" ref="R3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4" t="e">
        <f>IF(Table13[[#This Row],[Category All]]="Category 1", "Yes",NA())</f>
        <v>#N/A</v>
      </c>
      <c r="T384" t="str">
        <f>IF(Table13[[#This Row],[Category All]]="Category 2", "Yes",NA())</f>
        <v>Yes</v>
      </c>
      <c r="U384" t="e">
        <f>IF(Table13[[#This Row],[Category All]]="Category 3", "Yes",NA())</f>
        <v>#N/A</v>
      </c>
      <c r="V384">
        <f>SUM(1,(1/3)*(Table13[[#This Row],[Length]]-0.5),(1/3)*(Table13[[#This Row],[Diameter]]-0.4),(1/3)*(Table13[[#This Row],[Height]]-0.4)*Table13[[#This Row],[Whole_weight]]*0.5)</f>
        <v>0.98341541666666654</v>
      </c>
      <c r="W384" cm="1">
        <f t="array" ref="W3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0.78673233333333326</v>
      </c>
      <c r="X384" t="e">
        <f>IF(Table13[[#This Row],[Category All]]="Category 1",Table13[[#This Row],[Base Abalone Value]]*1.5,NA())</f>
        <v>#N/A</v>
      </c>
      <c r="Y384">
        <f>IF(Table13[[#This Row],[Category All]]="Category 2",Table13[[#This Row],[Base Abalone Value]]*0.8,NA())</f>
        <v>0.78673233333333326</v>
      </c>
      <c r="Z384" t="e">
        <f>IF(Table13[[#This Row],[Category All]]="Category 3",Table13[[#This Row],[Base Abalone Value]],NA())</f>
        <v>#N/A</v>
      </c>
      <c r="AA384" s="2">
        <f>IF(Table13[[#This Row],[Gender]]="M",Table13[[#This Row],[Whole_weight]],NA())</f>
        <v>0.77349999999999997</v>
      </c>
      <c r="AB384" s="2" t="e">
        <f>IF(Table13[[#This Row],[Gender]]="F",Table13[[#This Row],[Whole_weight]],NA())</f>
        <v>#N/A</v>
      </c>
      <c r="AC384" s="2" t="e">
        <f>IF(Table13[[#This Row],[Gender]]="I",Table13[[#This Row],[Whole_weight]],NA())</f>
        <v>#N/A</v>
      </c>
      <c r="AD384" s="2">
        <f>IF(Table13[[#This Row],[Gender]]="M",Table13[[#This Row],[Diameter]],NA())</f>
        <v>0.42499999999999999</v>
      </c>
      <c r="AE384" s="2" t="e">
        <f>IF(Table13[[#This Row],[Gender]]="F",Table13[[#This Row],[Diameter]],NA())</f>
        <v>#N/A</v>
      </c>
      <c r="AF384" s="2" t="e">
        <f>IF(Table13[[#This Row],[Gender]]="I",Table13[[#This Row],[Diameter]],NA())</f>
        <v>#N/A</v>
      </c>
    </row>
    <row r="385" spans="1:32" x14ac:dyDescent="0.2">
      <c r="A385">
        <v>723</v>
      </c>
      <c r="B385" t="s">
        <v>15</v>
      </c>
      <c r="C385">
        <v>0.55500000000000005</v>
      </c>
      <c r="D385">
        <v>0.44</v>
      </c>
      <c r="E385">
        <v>0.15</v>
      </c>
      <c r="F385">
        <v>1.0920000000000001</v>
      </c>
      <c r="G385">
        <v>0.41599999999999998</v>
      </c>
      <c r="H385">
        <v>0.21199999999999999</v>
      </c>
      <c r="I385">
        <v>0.4405</v>
      </c>
      <c r="J385">
        <v>15</v>
      </c>
      <c r="K385">
        <v>10</v>
      </c>
      <c r="L385" t="s">
        <v>16</v>
      </c>
      <c r="M385" t="s">
        <v>17</v>
      </c>
      <c r="N385" t="s">
        <v>18</v>
      </c>
      <c r="O385">
        <v>2</v>
      </c>
      <c r="P385" t="s">
        <v>7</v>
      </c>
      <c r="Q385">
        <v>18</v>
      </c>
      <c r="R385" t="str" cm="1">
        <f t="array" ref="R3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85" t="e">
        <f>IF(Table13[[#This Row],[Category All]]="Category 1", "Yes",NA())</f>
        <v>#N/A</v>
      </c>
      <c r="T385" t="e">
        <f>IF(Table13[[#This Row],[Category All]]="Category 2", "Yes",NA())</f>
        <v>#N/A</v>
      </c>
      <c r="U385" t="str">
        <f>IF(Table13[[#This Row],[Category All]]="Category 3", "Yes",NA())</f>
        <v>Yes</v>
      </c>
      <c r="V385">
        <f>SUM(1,(1/3)*(Table13[[#This Row],[Length]]-0.5),(1/3)*(Table13[[#This Row],[Diameter]]-0.4),(1/3)*(Table13[[#This Row],[Height]]-0.4)*Table13[[#This Row],[Whole_weight]]*0.5)</f>
        <v>0.98616666666666675</v>
      </c>
      <c r="W385" cm="1">
        <f t="array" ref="W3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0.98616666666666675</v>
      </c>
      <c r="X385" t="e">
        <f>IF(Table13[[#This Row],[Category All]]="Category 1",Table13[[#This Row],[Base Abalone Value]]*1.5,NA())</f>
        <v>#N/A</v>
      </c>
      <c r="Y385" t="e">
        <f>IF(Table13[[#This Row],[Category All]]="Category 2",Table13[[#This Row],[Base Abalone Value]]*0.8,NA())</f>
        <v>#N/A</v>
      </c>
      <c r="Z385">
        <f>IF(Table13[[#This Row],[Category All]]="Category 3",Table13[[#This Row],[Base Abalone Value]],NA())</f>
        <v>0.98616666666666675</v>
      </c>
      <c r="AA385" s="2">
        <f>IF(Table13[[#This Row],[Gender]]="M",Table13[[#This Row],[Whole_weight]],NA())</f>
        <v>1.0920000000000001</v>
      </c>
      <c r="AB385" s="2" t="e">
        <f>IF(Table13[[#This Row],[Gender]]="F",Table13[[#This Row],[Whole_weight]],NA())</f>
        <v>#N/A</v>
      </c>
      <c r="AC385" s="2" t="e">
        <f>IF(Table13[[#This Row],[Gender]]="I",Table13[[#This Row],[Whole_weight]],NA())</f>
        <v>#N/A</v>
      </c>
      <c r="AD385" s="2">
        <f>IF(Table13[[#This Row],[Gender]]="M",Table13[[#This Row],[Diameter]],NA())</f>
        <v>0.44</v>
      </c>
      <c r="AE385" s="2" t="e">
        <f>IF(Table13[[#This Row],[Gender]]="F",Table13[[#This Row],[Diameter]],NA())</f>
        <v>#N/A</v>
      </c>
      <c r="AF385" s="2" t="e">
        <f>IF(Table13[[#This Row],[Gender]]="I",Table13[[#This Row],[Diameter]],NA())</f>
        <v>#N/A</v>
      </c>
    </row>
    <row r="386" spans="1:32" x14ac:dyDescent="0.2">
      <c r="A386">
        <v>2267</v>
      </c>
      <c r="B386" t="s">
        <v>0</v>
      </c>
      <c r="C386">
        <v>0.63500000000000001</v>
      </c>
      <c r="D386">
        <v>0.51</v>
      </c>
      <c r="E386">
        <v>0.17499999999999999</v>
      </c>
      <c r="F386">
        <v>1.2124999999999999</v>
      </c>
      <c r="G386">
        <v>0.57350000000000001</v>
      </c>
      <c r="H386">
        <v>0.26100000000000001</v>
      </c>
      <c r="I386">
        <v>0.36</v>
      </c>
      <c r="J386">
        <v>14</v>
      </c>
      <c r="K386">
        <v>11</v>
      </c>
      <c r="L386" t="s">
        <v>5</v>
      </c>
      <c r="M386" t="s">
        <v>6</v>
      </c>
      <c r="N386" t="s">
        <v>3</v>
      </c>
      <c r="O386">
        <v>5</v>
      </c>
      <c r="P386" t="s">
        <v>14</v>
      </c>
      <c r="Q386">
        <v>12.8</v>
      </c>
      <c r="R386" t="str" cm="1">
        <f t="array" ref="R3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86" t="e">
        <f>IF(Table13[[#This Row],[Category All]]="Category 1", "Yes",NA())</f>
        <v>#N/A</v>
      </c>
      <c r="T386" t="e">
        <f>IF(Table13[[#This Row],[Category All]]="Category 2", "Yes",NA())</f>
        <v>#N/A</v>
      </c>
      <c r="U386" t="str">
        <f>IF(Table13[[#This Row],[Category All]]="Category 3", "Yes",NA())</f>
        <v>Yes</v>
      </c>
      <c r="V386">
        <f>SUM(1,(1/3)*(Table13[[#This Row],[Length]]-0.5),(1/3)*(Table13[[#This Row],[Diameter]]-0.4),(1/3)*(Table13[[#This Row],[Height]]-0.4)*Table13[[#This Row],[Whole_weight]]*0.5)</f>
        <v>1.0361979166666666</v>
      </c>
      <c r="W386" cm="1">
        <f t="array" ref="W3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1.0361979166666666</v>
      </c>
      <c r="X386" t="e">
        <f>IF(Table13[[#This Row],[Category All]]="Category 1",Table13[[#This Row],[Base Abalone Value]]*1.5,NA())</f>
        <v>#N/A</v>
      </c>
      <c r="Y386" t="e">
        <f>IF(Table13[[#This Row],[Category All]]="Category 2",Table13[[#This Row],[Base Abalone Value]]*0.8,NA())</f>
        <v>#N/A</v>
      </c>
      <c r="Z386">
        <f>IF(Table13[[#This Row],[Category All]]="Category 3",Table13[[#This Row],[Base Abalone Value]],NA())</f>
        <v>1.0361979166666666</v>
      </c>
      <c r="AA386" s="2" t="e">
        <f>IF(Table13[[#This Row],[Gender]]="M",Table13[[#This Row],[Whole_weight]],NA())</f>
        <v>#N/A</v>
      </c>
      <c r="AB386" s="2">
        <f>IF(Table13[[#This Row],[Gender]]="F",Table13[[#This Row],[Whole_weight]],NA())</f>
        <v>1.2124999999999999</v>
      </c>
      <c r="AC386" s="2" t="e">
        <f>IF(Table13[[#This Row],[Gender]]="I",Table13[[#This Row],[Whole_weight]],NA())</f>
        <v>#N/A</v>
      </c>
      <c r="AD386" s="2" t="e">
        <f>IF(Table13[[#This Row],[Gender]]="M",Table13[[#This Row],[Diameter]],NA())</f>
        <v>#N/A</v>
      </c>
      <c r="AE386" s="2">
        <f>IF(Table13[[#This Row],[Gender]]="F",Table13[[#This Row],[Diameter]],NA())</f>
        <v>0.51</v>
      </c>
      <c r="AF386" s="2" t="e">
        <f>IF(Table13[[#This Row],[Gender]]="I",Table13[[#This Row],[Diameter]],NA())</f>
        <v>#N/A</v>
      </c>
    </row>
    <row r="387" spans="1:32" x14ac:dyDescent="0.2">
      <c r="A387">
        <v>793</v>
      </c>
      <c r="B387" t="s">
        <v>15</v>
      </c>
      <c r="C387">
        <v>0.47</v>
      </c>
      <c r="D387">
        <v>0.37</v>
      </c>
      <c r="E387">
        <v>0.18</v>
      </c>
      <c r="F387">
        <v>0.51</v>
      </c>
      <c r="G387">
        <v>0.1915</v>
      </c>
      <c r="H387">
        <v>0.1285</v>
      </c>
      <c r="I387">
        <v>0.16250000000000001</v>
      </c>
      <c r="J387">
        <v>9</v>
      </c>
      <c r="K387">
        <v>15</v>
      </c>
      <c r="L387" t="s">
        <v>49</v>
      </c>
      <c r="M387" t="s">
        <v>50</v>
      </c>
      <c r="N387" t="s">
        <v>3</v>
      </c>
      <c r="O387">
        <v>6</v>
      </c>
      <c r="P387" t="s">
        <v>47</v>
      </c>
      <c r="Q387">
        <v>14.1</v>
      </c>
      <c r="R387" t="str" cm="1">
        <f t="array" ref="R3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7" t="e">
        <f>IF(Table13[[#This Row],[Category All]]="Category 1", "Yes",NA())</f>
        <v>#N/A</v>
      </c>
      <c r="T387" t="str">
        <f>IF(Table13[[#This Row],[Category All]]="Category 2", "Yes",NA())</f>
        <v>Yes</v>
      </c>
      <c r="U387" t="e">
        <f>IF(Table13[[#This Row],[Category All]]="Category 3", "Yes",NA())</f>
        <v>#N/A</v>
      </c>
      <c r="V387">
        <f>SUM(1,(1/3)*(Table13[[#This Row],[Length]]-0.5),(1/3)*(Table13[[#This Row],[Diameter]]-0.4),(1/3)*(Table13[[#This Row],[Height]]-0.4)*Table13[[#This Row],[Whole_weight]]*0.5)</f>
        <v>0.96129999999999993</v>
      </c>
      <c r="W387" cm="1">
        <f t="array" ref="W3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0.76903999999999995</v>
      </c>
      <c r="X387" t="e">
        <f>IF(Table13[[#This Row],[Category All]]="Category 1",Table13[[#This Row],[Base Abalone Value]]*1.5,NA())</f>
        <v>#N/A</v>
      </c>
      <c r="Y387">
        <f>IF(Table13[[#This Row],[Category All]]="Category 2",Table13[[#This Row],[Base Abalone Value]]*0.8,NA())</f>
        <v>0.76903999999999995</v>
      </c>
      <c r="Z387" t="e">
        <f>IF(Table13[[#This Row],[Category All]]="Category 3",Table13[[#This Row],[Base Abalone Value]],NA())</f>
        <v>#N/A</v>
      </c>
      <c r="AA387" s="2">
        <f>IF(Table13[[#This Row],[Gender]]="M",Table13[[#This Row],[Whole_weight]],NA())</f>
        <v>0.51</v>
      </c>
      <c r="AB387" s="2" t="e">
        <f>IF(Table13[[#This Row],[Gender]]="F",Table13[[#This Row],[Whole_weight]],NA())</f>
        <v>#N/A</v>
      </c>
      <c r="AC387" s="2" t="e">
        <f>IF(Table13[[#This Row],[Gender]]="I",Table13[[#This Row],[Whole_weight]],NA())</f>
        <v>#N/A</v>
      </c>
      <c r="AD387" s="2">
        <f>IF(Table13[[#This Row],[Gender]]="M",Table13[[#This Row],[Diameter]],NA())</f>
        <v>0.37</v>
      </c>
      <c r="AE387" s="2" t="e">
        <f>IF(Table13[[#This Row],[Gender]]="F",Table13[[#This Row],[Diameter]],NA())</f>
        <v>#N/A</v>
      </c>
      <c r="AF387" s="2" t="e">
        <f>IF(Table13[[#This Row],[Gender]]="I",Table13[[#This Row],[Diameter]],NA())</f>
        <v>#N/A</v>
      </c>
    </row>
    <row r="388" spans="1:32" x14ac:dyDescent="0.2">
      <c r="A388">
        <v>3535</v>
      </c>
      <c r="B388" t="s">
        <v>11</v>
      </c>
      <c r="C388">
        <v>0.4</v>
      </c>
      <c r="D388">
        <v>0.315</v>
      </c>
      <c r="E388">
        <v>0.09</v>
      </c>
      <c r="F388">
        <v>0.33</v>
      </c>
      <c r="G388">
        <v>0.151</v>
      </c>
      <c r="H388">
        <v>6.8000000000000005E-2</v>
      </c>
      <c r="I388">
        <v>0.08</v>
      </c>
      <c r="J388">
        <v>6</v>
      </c>
      <c r="K388">
        <v>3</v>
      </c>
      <c r="L388" t="s">
        <v>43</v>
      </c>
      <c r="M388" t="s">
        <v>44</v>
      </c>
      <c r="N388" t="s">
        <v>45</v>
      </c>
      <c r="O388">
        <v>6</v>
      </c>
      <c r="P388" t="s">
        <v>47</v>
      </c>
      <c r="Q388">
        <v>14.1</v>
      </c>
      <c r="R388" t="str" cm="1">
        <f t="array" ref="R3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8" t="e">
        <f>IF(Table13[[#This Row],[Category All]]="Category 1", "Yes",NA())</f>
        <v>#N/A</v>
      </c>
      <c r="T388" t="str">
        <f>IF(Table13[[#This Row],[Category All]]="Category 2", "Yes",NA())</f>
        <v>Yes</v>
      </c>
      <c r="U388" t="e">
        <f>IF(Table13[[#This Row],[Category All]]="Category 3", "Yes",NA())</f>
        <v>#N/A</v>
      </c>
      <c r="V388">
        <f>SUM(1,(1/3)*(Table13[[#This Row],[Length]]-0.5),(1/3)*(Table13[[#This Row],[Diameter]]-0.4),(1/3)*(Table13[[#This Row],[Height]]-0.4)*Table13[[#This Row],[Whole_weight]]*0.5)</f>
        <v>0.92128333333333334</v>
      </c>
      <c r="W388" cm="1">
        <f t="array" ref="W3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0.73702666666666672</v>
      </c>
      <c r="X388" t="e">
        <f>IF(Table13[[#This Row],[Category All]]="Category 1",Table13[[#This Row],[Base Abalone Value]]*1.5,NA())</f>
        <v>#N/A</v>
      </c>
      <c r="Y388">
        <f>IF(Table13[[#This Row],[Category All]]="Category 2",Table13[[#This Row],[Base Abalone Value]]*0.8,NA())</f>
        <v>0.73702666666666672</v>
      </c>
      <c r="Z388" t="e">
        <f>IF(Table13[[#This Row],[Category All]]="Category 3",Table13[[#This Row],[Base Abalone Value]],NA())</f>
        <v>#N/A</v>
      </c>
      <c r="AA388" s="2" t="e">
        <f>IF(Table13[[#This Row],[Gender]]="M",Table13[[#This Row],[Whole_weight]],NA())</f>
        <v>#N/A</v>
      </c>
      <c r="AB388" s="2" t="e">
        <f>IF(Table13[[#This Row],[Gender]]="F",Table13[[#This Row],[Whole_weight]],NA())</f>
        <v>#N/A</v>
      </c>
      <c r="AC388" s="2">
        <f>IF(Table13[[#This Row],[Gender]]="I",Table13[[#This Row],[Whole_weight]],NA())</f>
        <v>0.33</v>
      </c>
      <c r="AD388" s="2" t="e">
        <f>IF(Table13[[#This Row],[Gender]]="M",Table13[[#This Row],[Diameter]],NA())</f>
        <v>#N/A</v>
      </c>
      <c r="AE388" s="2" t="e">
        <f>IF(Table13[[#This Row],[Gender]]="F",Table13[[#This Row],[Diameter]],NA())</f>
        <v>#N/A</v>
      </c>
      <c r="AF388" s="2">
        <f>IF(Table13[[#This Row],[Gender]]="I",Table13[[#This Row],[Diameter]],NA())</f>
        <v>0.315</v>
      </c>
    </row>
    <row r="389" spans="1:32" x14ac:dyDescent="0.2">
      <c r="A389">
        <v>4169</v>
      </c>
      <c r="B389" t="s">
        <v>0</v>
      </c>
      <c r="C389">
        <v>0.51500000000000001</v>
      </c>
      <c r="D389">
        <v>0.4</v>
      </c>
      <c r="E389">
        <v>0.125</v>
      </c>
      <c r="F389">
        <v>0.61499999999999999</v>
      </c>
      <c r="G389">
        <v>0.28649999999999998</v>
      </c>
      <c r="H389">
        <v>0.123</v>
      </c>
      <c r="I389">
        <v>0.17649999999999999</v>
      </c>
      <c r="J389">
        <v>8</v>
      </c>
      <c r="K389">
        <v>5</v>
      </c>
      <c r="L389" t="s">
        <v>26</v>
      </c>
      <c r="M389" t="s">
        <v>27</v>
      </c>
      <c r="N389" t="s">
        <v>28</v>
      </c>
      <c r="O389">
        <v>10</v>
      </c>
      <c r="P389" t="s">
        <v>38</v>
      </c>
      <c r="Q389">
        <v>24.1</v>
      </c>
      <c r="R389" t="str" cm="1">
        <f t="array" ref="R3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9" t="e">
        <f>IF(Table13[[#This Row],[Category All]]="Category 1", "Yes",NA())</f>
        <v>#N/A</v>
      </c>
      <c r="T389" t="str">
        <f>IF(Table13[[#This Row],[Category All]]="Category 2", "Yes",NA())</f>
        <v>Yes</v>
      </c>
      <c r="U389" t="e">
        <f>IF(Table13[[#This Row],[Category All]]="Category 3", "Yes",NA())</f>
        <v>#N/A</v>
      </c>
      <c r="V389">
        <f>SUM(1,(1/3)*(Table13[[#This Row],[Length]]-0.5),(1/3)*(Table13[[#This Row],[Diameter]]-0.4),(1/3)*(Table13[[#This Row],[Height]]-0.4)*Table13[[#This Row],[Whole_weight]]*0.5)</f>
        <v>0.97681249999999986</v>
      </c>
      <c r="W389" cm="1">
        <f t="array" ref="W3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0.78144999999999998</v>
      </c>
      <c r="X389" t="e">
        <f>IF(Table13[[#This Row],[Category All]]="Category 1",Table13[[#This Row],[Base Abalone Value]]*1.5,NA())</f>
        <v>#N/A</v>
      </c>
      <c r="Y389">
        <f>IF(Table13[[#This Row],[Category All]]="Category 2",Table13[[#This Row],[Base Abalone Value]]*0.8,NA())</f>
        <v>0.78144999999999998</v>
      </c>
      <c r="Z389" t="e">
        <f>IF(Table13[[#This Row],[Category All]]="Category 3",Table13[[#This Row],[Base Abalone Value]],NA())</f>
        <v>#N/A</v>
      </c>
      <c r="AA389" s="2" t="e">
        <f>IF(Table13[[#This Row],[Gender]]="M",Table13[[#This Row],[Whole_weight]],NA())</f>
        <v>#N/A</v>
      </c>
      <c r="AB389" s="2">
        <f>IF(Table13[[#This Row],[Gender]]="F",Table13[[#This Row],[Whole_weight]],NA())</f>
        <v>0.61499999999999999</v>
      </c>
      <c r="AC389" s="2" t="e">
        <f>IF(Table13[[#This Row],[Gender]]="I",Table13[[#This Row],[Whole_weight]],NA())</f>
        <v>#N/A</v>
      </c>
      <c r="AD389" s="2" t="e">
        <f>IF(Table13[[#This Row],[Gender]]="M",Table13[[#This Row],[Diameter]],NA())</f>
        <v>#N/A</v>
      </c>
      <c r="AE389" s="2">
        <f>IF(Table13[[#This Row],[Gender]]="F",Table13[[#This Row],[Diameter]],NA())</f>
        <v>0.4</v>
      </c>
      <c r="AF389" s="2" t="e">
        <f>IF(Table13[[#This Row],[Gender]]="I",Table13[[#This Row],[Diameter]],NA())</f>
        <v>#N/A</v>
      </c>
    </row>
    <row r="390" spans="1:32" x14ac:dyDescent="0.2">
      <c r="A390">
        <v>2697</v>
      </c>
      <c r="B390" t="s">
        <v>0</v>
      </c>
      <c r="C390">
        <v>0.65</v>
      </c>
      <c r="D390">
        <v>0.49</v>
      </c>
      <c r="E390">
        <v>0.155</v>
      </c>
      <c r="F390">
        <v>1.1220000000000001</v>
      </c>
      <c r="G390">
        <v>0.54500000000000004</v>
      </c>
      <c r="H390">
        <v>0.22800000000000001</v>
      </c>
      <c r="I390">
        <v>0.30549999999999999</v>
      </c>
      <c r="J390">
        <v>9</v>
      </c>
      <c r="K390">
        <v>11</v>
      </c>
      <c r="L390" t="s">
        <v>5</v>
      </c>
      <c r="M390" t="s">
        <v>6</v>
      </c>
      <c r="N390" t="s">
        <v>3</v>
      </c>
      <c r="O390">
        <v>6</v>
      </c>
      <c r="P390" t="s">
        <v>47</v>
      </c>
      <c r="Q390">
        <v>14.1</v>
      </c>
      <c r="R390" t="str" cm="1">
        <f t="array" ref="R3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90" t="e">
        <f>IF(Table13[[#This Row],[Category All]]="Category 1", "Yes",NA())</f>
        <v>#N/A</v>
      </c>
      <c r="T390" t="e">
        <f>IF(Table13[[#This Row],[Category All]]="Category 2", "Yes",NA())</f>
        <v>#N/A</v>
      </c>
      <c r="U390" t="str">
        <f>IF(Table13[[#This Row],[Category All]]="Category 3", "Yes",NA())</f>
        <v>Yes</v>
      </c>
      <c r="V390">
        <f>SUM(1,(1/3)*(Table13[[#This Row],[Length]]-0.5),(1/3)*(Table13[[#This Row],[Diameter]]-0.4),(1/3)*(Table13[[#This Row],[Height]]-0.4)*Table13[[#This Row],[Whole_weight]]*0.5)</f>
        <v>1.0341850000000001</v>
      </c>
      <c r="W390" cm="1">
        <f t="array" ref="W3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1.0341850000000001</v>
      </c>
      <c r="X390" t="e">
        <f>IF(Table13[[#This Row],[Category All]]="Category 1",Table13[[#This Row],[Base Abalone Value]]*1.5,NA())</f>
        <v>#N/A</v>
      </c>
      <c r="Y390" t="e">
        <f>IF(Table13[[#This Row],[Category All]]="Category 2",Table13[[#This Row],[Base Abalone Value]]*0.8,NA())</f>
        <v>#N/A</v>
      </c>
      <c r="Z390">
        <f>IF(Table13[[#This Row],[Category All]]="Category 3",Table13[[#This Row],[Base Abalone Value]],NA())</f>
        <v>1.0341850000000001</v>
      </c>
      <c r="AA390" s="2" t="e">
        <f>IF(Table13[[#This Row],[Gender]]="M",Table13[[#This Row],[Whole_weight]],NA())</f>
        <v>#N/A</v>
      </c>
      <c r="AB390" s="2">
        <f>IF(Table13[[#This Row],[Gender]]="F",Table13[[#This Row],[Whole_weight]],NA())</f>
        <v>1.1220000000000001</v>
      </c>
      <c r="AC390" s="2" t="e">
        <f>IF(Table13[[#This Row],[Gender]]="I",Table13[[#This Row],[Whole_weight]],NA())</f>
        <v>#N/A</v>
      </c>
      <c r="AD390" s="2" t="e">
        <f>IF(Table13[[#This Row],[Gender]]="M",Table13[[#This Row],[Diameter]],NA())</f>
        <v>#N/A</v>
      </c>
      <c r="AE390" s="2">
        <f>IF(Table13[[#This Row],[Gender]]="F",Table13[[#This Row],[Diameter]],NA())</f>
        <v>0.49</v>
      </c>
      <c r="AF390" s="2" t="e">
        <f>IF(Table13[[#This Row],[Gender]]="I",Table13[[#This Row],[Diameter]],NA())</f>
        <v>#N/A</v>
      </c>
    </row>
    <row r="391" spans="1:32" x14ac:dyDescent="0.2">
      <c r="A391">
        <v>2867</v>
      </c>
      <c r="B391" t="s">
        <v>11</v>
      </c>
      <c r="C391">
        <v>0.32</v>
      </c>
      <c r="D391">
        <v>0.20499999999999999</v>
      </c>
      <c r="E391">
        <v>0.08</v>
      </c>
      <c r="F391">
        <v>0.18099999999999999</v>
      </c>
      <c r="G391">
        <v>8.7999999999999995E-2</v>
      </c>
      <c r="H391">
        <v>3.4000000000000002E-2</v>
      </c>
      <c r="I391">
        <v>4.9500000000000002E-2</v>
      </c>
      <c r="J391">
        <v>5</v>
      </c>
      <c r="K391">
        <v>1</v>
      </c>
      <c r="L391" t="s">
        <v>8</v>
      </c>
      <c r="M391" t="s">
        <v>9</v>
      </c>
      <c r="N391" t="s">
        <v>3</v>
      </c>
      <c r="O391">
        <v>4</v>
      </c>
      <c r="P391" t="s">
        <v>10</v>
      </c>
      <c r="Q391">
        <v>6.1</v>
      </c>
      <c r="R391" t="str" cm="1">
        <f t="array" ref="R3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91" t="e">
        <f>IF(Table13[[#This Row],[Category All]]="Category 1", "Yes",NA())</f>
        <v>#N/A</v>
      </c>
      <c r="T391" t="str">
        <f>IF(Table13[[#This Row],[Category All]]="Category 2", "Yes",NA())</f>
        <v>Yes</v>
      </c>
      <c r="U391" t="e">
        <f>IF(Table13[[#This Row],[Category All]]="Category 3", "Yes",NA())</f>
        <v>#N/A</v>
      </c>
      <c r="V391">
        <f>SUM(1,(1/3)*(Table13[[#This Row],[Length]]-0.5),(1/3)*(Table13[[#This Row],[Diameter]]-0.4),(1/3)*(Table13[[#This Row],[Height]]-0.4)*Table13[[#This Row],[Whole_weight]]*0.5)</f>
        <v>0.86534666666666671</v>
      </c>
      <c r="W391" cm="1">
        <f t="array" ref="W3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0.69227733333333341</v>
      </c>
      <c r="X391" t="e">
        <f>IF(Table13[[#This Row],[Category All]]="Category 1",Table13[[#This Row],[Base Abalone Value]]*1.5,NA())</f>
        <v>#N/A</v>
      </c>
      <c r="Y391">
        <f>IF(Table13[[#This Row],[Category All]]="Category 2",Table13[[#This Row],[Base Abalone Value]]*0.8,NA())</f>
        <v>0.69227733333333341</v>
      </c>
      <c r="Z391" t="e">
        <f>IF(Table13[[#This Row],[Category All]]="Category 3",Table13[[#This Row],[Base Abalone Value]],NA())</f>
        <v>#N/A</v>
      </c>
      <c r="AA391" s="2" t="e">
        <f>IF(Table13[[#This Row],[Gender]]="M",Table13[[#This Row],[Whole_weight]],NA())</f>
        <v>#N/A</v>
      </c>
      <c r="AB391" s="2" t="e">
        <f>IF(Table13[[#This Row],[Gender]]="F",Table13[[#This Row],[Whole_weight]],NA())</f>
        <v>#N/A</v>
      </c>
      <c r="AC391" s="2">
        <f>IF(Table13[[#This Row],[Gender]]="I",Table13[[#This Row],[Whole_weight]],NA())</f>
        <v>0.18099999999999999</v>
      </c>
      <c r="AD391" s="2" t="e">
        <f>IF(Table13[[#This Row],[Gender]]="M",Table13[[#This Row],[Diameter]],NA())</f>
        <v>#N/A</v>
      </c>
      <c r="AE391" s="2" t="e">
        <f>IF(Table13[[#This Row],[Gender]]="F",Table13[[#This Row],[Diameter]],NA())</f>
        <v>#N/A</v>
      </c>
      <c r="AF391" s="2">
        <f>IF(Table13[[#This Row],[Gender]]="I",Table13[[#This Row],[Diameter]],NA())</f>
        <v>0.20499999999999999</v>
      </c>
    </row>
    <row r="392" spans="1:32" x14ac:dyDescent="0.2">
      <c r="A392">
        <v>525</v>
      </c>
      <c r="B392" t="s">
        <v>15</v>
      </c>
      <c r="C392">
        <v>0.23499999999999999</v>
      </c>
      <c r="D392">
        <v>0.16</v>
      </c>
      <c r="E392">
        <v>0.06</v>
      </c>
      <c r="F392">
        <v>5.45E-2</v>
      </c>
      <c r="G392">
        <v>2.6499999999999999E-2</v>
      </c>
      <c r="H392">
        <v>9.4999999999999998E-3</v>
      </c>
      <c r="I392">
        <v>1.4999999999999999E-2</v>
      </c>
      <c r="J392">
        <v>4</v>
      </c>
      <c r="K392">
        <v>9</v>
      </c>
      <c r="L392" t="s">
        <v>20</v>
      </c>
      <c r="M392" t="s">
        <v>21</v>
      </c>
      <c r="N392" t="s">
        <v>22</v>
      </c>
      <c r="O392">
        <v>4</v>
      </c>
      <c r="P392" t="s">
        <v>10</v>
      </c>
      <c r="Q392">
        <v>6.1</v>
      </c>
      <c r="R392" t="str" cm="1">
        <f t="array" ref="R3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92" t="e">
        <f>IF(Table13[[#This Row],[Category All]]="Category 1", "Yes",NA())</f>
        <v>#N/A</v>
      </c>
      <c r="T392" t="str">
        <f>IF(Table13[[#This Row],[Category All]]="Category 2", "Yes",NA())</f>
        <v>Yes</v>
      </c>
      <c r="U392" t="e">
        <f>IF(Table13[[#This Row],[Category All]]="Category 3", "Yes",NA())</f>
        <v>#N/A</v>
      </c>
      <c r="V392">
        <f>SUM(1,(1/3)*(Table13[[#This Row],[Length]]-0.5),(1/3)*(Table13[[#This Row],[Diameter]]-0.4),(1/3)*(Table13[[#This Row],[Height]]-0.4)*Table13[[#This Row],[Whole_weight]]*0.5)</f>
        <v>0.82857833333333331</v>
      </c>
      <c r="W392" cm="1">
        <f t="array" ref="W3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0.66286266666666671</v>
      </c>
      <c r="X392" t="e">
        <f>IF(Table13[[#This Row],[Category All]]="Category 1",Table13[[#This Row],[Base Abalone Value]]*1.5,NA())</f>
        <v>#N/A</v>
      </c>
      <c r="Y392">
        <f>IF(Table13[[#This Row],[Category All]]="Category 2",Table13[[#This Row],[Base Abalone Value]]*0.8,NA())</f>
        <v>0.66286266666666671</v>
      </c>
      <c r="Z392" t="e">
        <f>IF(Table13[[#This Row],[Category All]]="Category 3",Table13[[#This Row],[Base Abalone Value]],NA())</f>
        <v>#N/A</v>
      </c>
      <c r="AA392" s="2">
        <f>IF(Table13[[#This Row],[Gender]]="M",Table13[[#This Row],[Whole_weight]],NA())</f>
        <v>5.45E-2</v>
      </c>
      <c r="AB392" s="2" t="e">
        <f>IF(Table13[[#This Row],[Gender]]="F",Table13[[#This Row],[Whole_weight]],NA())</f>
        <v>#N/A</v>
      </c>
      <c r="AC392" s="2" t="e">
        <f>IF(Table13[[#This Row],[Gender]]="I",Table13[[#This Row],[Whole_weight]],NA())</f>
        <v>#N/A</v>
      </c>
      <c r="AD392" s="2">
        <f>IF(Table13[[#This Row],[Gender]]="M",Table13[[#This Row],[Diameter]],NA())</f>
        <v>0.16</v>
      </c>
      <c r="AE392" s="2" t="e">
        <f>IF(Table13[[#This Row],[Gender]]="F",Table13[[#This Row],[Diameter]],NA())</f>
        <v>#N/A</v>
      </c>
      <c r="AF392" s="2" t="e">
        <f>IF(Table13[[#This Row],[Gender]]="I",Table13[[#This Row],[Diameter]],NA())</f>
        <v>#N/A</v>
      </c>
    </row>
    <row r="393" spans="1:32" x14ac:dyDescent="0.2">
      <c r="A393">
        <v>353</v>
      </c>
      <c r="B393" t="s">
        <v>15</v>
      </c>
      <c r="C393">
        <v>0.56999999999999995</v>
      </c>
      <c r="D393">
        <v>0.46</v>
      </c>
      <c r="E393">
        <v>0.14000000000000001</v>
      </c>
      <c r="F393">
        <v>0.95350000000000001</v>
      </c>
      <c r="G393">
        <v>0.44650000000000001</v>
      </c>
      <c r="H393">
        <v>0.20649999999999999</v>
      </c>
      <c r="I393">
        <v>0.245</v>
      </c>
      <c r="J393">
        <v>12</v>
      </c>
      <c r="K393">
        <v>5</v>
      </c>
      <c r="L393" t="s">
        <v>26</v>
      </c>
      <c r="M393" t="s">
        <v>27</v>
      </c>
      <c r="N393" t="s">
        <v>28</v>
      </c>
      <c r="O393">
        <v>6</v>
      </c>
      <c r="P393" t="s">
        <v>47</v>
      </c>
      <c r="Q393">
        <v>14.1</v>
      </c>
      <c r="R393" t="str" cm="1">
        <f t="array" ref="R3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93" t="e">
        <f>IF(Table13[[#This Row],[Category All]]="Category 1", "Yes",NA())</f>
        <v>#N/A</v>
      </c>
      <c r="T393" t="e">
        <f>IF(Table13[[#This Row],[Category All]]="Category 2", "Yes",NA())</f>
        <v>#N/A</v>
      </c>
      <c r="U393" t="str">
        <f>IF(Table13[[#This Row],[Category All]]="Category 3", "Yes",NA())</f>
        <v>Yes</v>
      </c>
      <c r="V393">
        <f>SUM(1,(1/3)*(Table13[[#This Row],[Length]]-0.5),(1/3)*(Table13[[#This Row],[Diameter]]-0.4),(1/3)*(Table13[[#This Row],[Height]]-0.4)*Table13[[#This Row],[Whole_weight]]*0.5)</f>
        <v>1.0020150000000001</v>
      </c>
      <c r="W393" cm="1">
        <f t="array" ref="W3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1.0020150000000001</v>
      </c>
      <c r="X393" t="e">
        <f>IF(Table13[[#This Row],[Category All]]="Category 1",Table13[[#This Row],[Base Abalone Value]]*1.5,NA())</f>
        <v>#N/A</v>
      </c>
      <c r="Y393" t="e">
        <f>IF(Table13[[#This Row],[Category All]]="Category 2",Table13[[#This Row],[Base Abalone Value]]*0.8,NA())</f>
        <v>#N/A</v>
      </c>
      <c r="Z393">
        <f>IF(Table13[[#This Row],[Category All]]="Category 3",Table13[[#This Row],[Base Abalone Value]],NA())</f>
        <v>1.0020150000000001</v>
      </c>
      <c r="AA393" s="2">
        <f>IF(Table13[[#This Row],[Gender]]="M",Table13[[#This Row],[Whole_weight]],NA())</f>
        <v>0.95350000000000001</v>
      </c>
      <c r="AB393" s="2" t="e">
        <f>IF(Table13[[#This Row],[Gender]]="F",Table13[[#This Row],[Whole_weight]],NA())</f>
        <v>#N/A</v>
      </c>
      <c r="AC393" s="2" t="e">
        <f>IF(Table13[[#This Row],[Gender]]="I",Table13[[#This Row],[Whole_weight]],NA())</f>
        <v>#N/A</v>
      </c>
      <c r="AD393" s="2">
        <f>IF(Table13[[#This Row],[Gender]]="M",Table13[[#This Row],[Diameter]],NA())</f>
        <v>0.46</v>
      </c>
      <c r="AE393" s="2" t="e">
        <f>IF(Table13[[#This Row],[Gender]]="F",Table13[[#This Row],[Diameter]],NA())</f>
        <v>#N/A</v>
      </c>
      <c r="AF393" s="2" t="e">
        <f>IF(Table13[[#This Row],[Gender]]="I",Table13[[#This Row],[Diameter]],NA())</f>
        <v>#N/A</v>
      </c>
    </row>
    <row r="394" spans="1:32" x14ac:dyDescent="0.2">
      <c r="A394">
        <v>318</v>
      </c>
      <c r="B394" t="s">
        <v>15</v>
      </c>
      <c r="C394">
        <v>0.45</v>
      </c>
      <c r="D394">
        <v>0.35</v>
      </c>
      <c r="E394">
        <v>0.1</v>
      </c>
      <c r="F394">
        <v>0.36749999999999999</v>
      </c>
      <c r="G394">
        <v>0.14649999999999999</v>
      </c>
      <c r="H394">
        <v>0.10150000000000001</v>
      </c>
      <c r="I394">
        <v>0.12</v>
      </c>
      <c r="J394">
        <v>10</v>
      </c>
      <c r="K394">
        <v>4</v>
      </c>
      <c r="L394" t="s">
        <v>52</v>
      </c>
      <c r="M394" t="s">
        <v>53</v>
      </c>
      <c r="N394" t="s">
        <v>54</v>
      </c>
      <c r="O394">
        <v>10</v>
      </c>
      <c r="P394" t="s">
        <v>38</v>
      </c>
      <c r="Q394">
        <v>24.1</v>
      </c>
      <c r="R394" t="str" cm="1">
        <f t="array" ref="R3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94" t="e">
        <f>IF(Table13[[#This Row],[Category All]]="Category 1", "Yes",NA())</f>
        <v>#N/A</v>
      </c>
      <c r="T394" t="str">
        <f>IF(Table13[[#This Row],[Category All]]="Category 2", "Yes",NA())</f>
        <v>Yes</v>
      </c>
      <c r="U394" t="e">
        <f>IF(Table13[[#This Row],[Category All]]="Category 3", "Yes",NA())</f>
        <v>#N/A</v>
      </c>
      <c r="V394">
        <f>SUM(1,(1/3)*(Table13[[#This Row],[Length]]-0.5),(1/3)*(Table13[[#This Row],[Diameter]]-0.4),(1/3)*(Table13[[#This Row],[Height]]-0.4)*Table13[[#This Row],[Whole_weight]]*0.5)</f>
        <v>0.94829166666666664</v>
      </c>
      <c r="W394" cm="1">
        <f t="array" ref="W3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0.75863333333333338</v>
      </c>
      <c r="X394" t="e">
        <f>IF(Table13[[#This Row],[Category All]]="Category 1",Table13[[#This Row],[Base Abalone Value]]*1.5,NA())</f>
        <v>#N/A</v>
      </c>
      <c r="Y394">
        <f>IF(Table13[[#This Row],[Category All]]="Category 2",Table13[[#This Row],[Base Abalone Value]]*0.8,NA())</f>
        <v>0.75863333333333338</v>
      </c>
      <c r="Z394" t="e">
        <f>IF(Table13[[#This Row],[Category All]]="Category 3",Table13[[#This Row],[Base Abalone Value]],NA())</f>
        <v>#N/A</v>
      </c>
      <c r="AA394" s="2">
        <f>IF(Table13[[#This Row],[Gender]]="M",Table13[[#This Row],[Whole_weight]],NA())</f>
        <v>0.36749999999999999</v>
      </c>
      <c r="AB394" s="2" t="e">
        <f>IF(Table13[[#This Row],[Gender]]="F",Table13[[#This Row],[Whole_weight]],NA())</f>
        <v>#N/A</v>
      </c>
      <c r="AC394" s="2" t="e">
        <f>IF(Table13[[#This Row],[Gender]]="I",Table13[[#This Row],[Whole_weight]],NA())</f>
        <v>#N/A</v>
      </c>
      <c r="AD394" s="2">
        <f>IF(Table13[[#This Row],[Gender]]="M",Table13[[#This Row],[Diameter]],NA())</f>
        <v>0.35</v>
      </c>
      <c r="AE394" s="2" t="e">
        <f>IF(Table13[[#This Row],[Gender]]="F",Table13[[#This Row],[Diameter]],NA())</f>
        <v>#N/A</v>
      </c>
      <c r="AF394" s="2" t="e">
        <f>IF(Table13[[#This Row],[Gender]]="I",Table13[[#This Row],[Diameter]],NA())</f>
        <v>#N/A</v>
      </c>
    </row>
    <row r="395" spans="1:32" x14ac:dyDescent="0.2">
      <c r="A395">
        <v>2273</v>
      </c>
      <c r="B395" t="s">
        <v>15</v>
      </c>
      <c r="C395">
        <v>0.63500000000000001</v>
      </c>
      <c r="D395">
        <v>0.51</v>
      </c>
      <c r="E395">
        <v>0.21</v>
      </c>
      <c r="F395">
        <v>1.5980000000000001</v>
      </c>
      <c r="G395">
        <v>0.65349999999999997</v>
      </c>
      <c r="H395">
        <v>0.28349999999999997</v>
      </c>
      <c r="I395">
        <v>0.57999999999999996</v>
      </c>
      <c r="J395">
        <v>15</v>
      </c>
      <c r="K395">
        <v>11</v>
      </c>
      <c r="L395" t="s">
        <v>5</v>
      </c>
      <c r="M395" t="s">
        <v>6</v>
      </c>
      <c r="N395" t="s">
        <v>3</v>
      </c>
      <c r="O395">
        <v>4</v>
      </c>
      <c r="P395" t="s">
        <v>10</v>
      </c>
      <c r="Q395">
        <v>6.1</v>
      </c>
      <c r="R395" t="str" cm="1">
        <f t="array" ref="R3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95" t="e">
        <f>IF(Table13[[#This Row],[Category All]]="Category 1", "Yes",NA())</f>
        <v>#N/A</v>
      </c>
      <c r="T395" t="e">
        <f>IF(Table13[[#This Row],[Category All]]="Category 2", "Yes",NA())</f>
        <v>#N/A</v>
      </c>
      <c r="U395" t="str">
        <f>IF(Table13[[#This Row],[Category All]]="Category 3", "Yes",NA())</f>
        <v>Yes</v>
      </c>
      <c r="V395">
        <f>SUM(1,(1/3)*(Table13[[#This Row],[Length]]-0.5),(1/3)*(Table13[[#This Row],[Diameter]]-0.4),(1/3)*(Table13[[#This Row],[Height]]-0.4)*Table13[[#This Row],[Whole_weight]]*0.5)</f>
        <v>1.0310633333333332</v>
      </c>
      <c r="W395" cm="1">
        <f t="array" ref="W3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1.0310633333333332</v>
      </c>
      <c r="X395" t="e">
        <f>IF(Table13[[#This Row],[Category All]]="Category 1",Table13[[#This Row],[Base Abalone Value]]*1.5,NA())</f>
        <v>#N/A</v>
      </c>
      <c r="Y395" t="e">
        <f>IF(Table13[[#This Row],[Category All]]="Category 2",Table13[[#This Row],[Base Abalone Value]]*0.8,NA())</f>
        <v>#N/A</v>
      </c>
      <c r="Z395">
        <f>IF(Table13[[#This Row],[Category All]]="Category 3",Table13[[#This Row],[Base Abalone Value]],NA())</f>
        <v>1.0310633333333332</v>
      </c>
      <c r="AA395" s="2">
        <f>IF(Table13[[#This Row],[Gender]]="M",Table13[[#This Row],[Whole_weight]],NA())</f>
        <v>1.5980000000000001</v>
      </c>
      <c r="AB395" s="2" t="e">
        <f>IF(Table13[[#This Row],[Gender]]="F",Table13[[#This Row],[Whole_weight]],NA())</f>
        <v>#N/A</v>
      </c>
      <c r="AC395" s="2" t="e">
        <f>IF(Table13[[#This Row],[Gender]]="I",Table13[[#This Row],[Whole_weight]],NA())</f>
        <v>#N/A</v>
      </c>
      <c r="AD395" s="2">
        <f>IF(Table13[[#This Row],[Gender]]="M",Table13[[#This Row],[Diameter]],NA())</f>
        <v>0.51</v>
      </c>
      <c r="AE395" s="2" t="e">
        <f>IF(Table13[[#This Row],[Gender]]="F",Table13[[#This Row],[Diameter]],NA())</f>
        <v>#N/A</v>
      </c>
      <c r="AF395" s="2" t="e">
        <f>IF(Table13[[#This Row],[Gender]]="I",Table13[[#This Row],[Diameter]],NA())</f>
        <v>#N/A</v>
      </c>
    </row>
    <row r="396" spans="1:32" x14ac:dyDescent="0.2">
      <c r="A396">
        <v>3366</v>
      </c>
      <c r="B396" t="s">
        <v>11</v>
      </c>
      <c r="C396">
        <v>0.44</v>
      </c>
      <c r="D396">
        <v>0.31</v>
      </c>
      <c r="E396">
        <v>0.115</v>
      </c>
      <c r="F396">
        <v>0.36249999999999999</v>
      </c>
      <c r="G396">
        <v>0.13400000000000001</v>
      </c>
      <c r="H396">
        <v>8.2000000000000003E-2</v>
      </c>
      <c r="I396">
        <v>0.12</v>
      </c>
      <c r="J396">
        <v>11</v>
      </c>
      <c r="K396">
        <v>2</v>
      </c>
      <c r="L396" t="s">
        <v>32</v>
      </c>
      <c r="M396" t="s">
        <v>33</v>
      </c>
      <c r="N396" t="s">
        <v>34</v>
      </c>
      <c r="O396">
        <v>8</v>
      </c>
      <c r="P396" t="s">
        <v>19</v>
      </c>
      <c r="Q396">
        <v>12.3</v>
      </c>
      <c r="R396" t="str" cm="1">
        <f t="array" ref="R3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96" t="e">
        <f>IF(Table13[[#This Row],[Category All]]="Category 1", "Yes",NA())</f>
        <v>#N/A</v>
      </c>
      <c r="T396" t="str">
        <f>IF(Table13[[#This Row],[Category All]]="Category 2", "Yes",NA())</f>
        <v>Yes</v>
      </c>
      <c r="U396" t="e">
        <f>IF(Table13[[#This Row],[Category All]]="Category 3", "Yes",NA())</f>
        <v>#N/A</v>
      </c>
      <c r="V396">
        <f>SUM(1,(1/3)*(Table13[[#This Row],[Length]]-0.5),(1/3)*(Table13[[#This Row],[Diameter]]-0.4),(1/3)*(Table13[[#This Row],[Height]]-0.4)*Table13[[#This Row],[Whole_weight]]*0.5)</f>
        <v>0.93278125000000001</v>
      </c>
      <c r="W396" cm="1">
        <f t="array" ref="W3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0.74622500000000003</v>
      </c>
      <c r="X396" t="e">
        <f>IF(Table13[[#This Row],[Category All]]="Category 1",Table13[[#This Row],[Base Abalone Value]]*1.5,NA())</f>
        <v>#N/A</v>
      </c>
      <c r="Y396">
        <f>IF(Table13[[#This Row],[Category All]]="Category 2",Table13[[#This Row],[Base Abalone Value]]*0.8,NA())</f>
        <v>0.74622500000000003</v>
      </c>
      <c r="Z396" t="e">
        <f>IF(Table13[[#This Row],[Category All]]="Category 3",Table13[[#This Row],[Base Abalone Value]],NA())</f>
        <v>#N/A</v>
      </c>
      <c r="AA396" s="2" t="e">
        <f>IF(Table13[[#This Row],[Gender]]="M",Table13[[#This Row],[Whole_weight]],NA())</f>
        <v>#N/A</v>
      </c>
      <c r="AB396" s="2" t="e">
        <f>IF(Table13[[#This Row],[Gender]]="F",Table13[[#This Row],[Whole_weight]],NA())</f>
        <v>#N/A</v>
      </c>
      <c r="AC396" s="2">
        <f>IF(Table13[[#This Row],[Gender]]="I",Table13[[#This Row],[Whole_weight]],NA())</f>
        <v>0.36249999999999999</v>
      </c>
      <c r="AD396" s="2" t="e">
        <f>IF(Table13[[#This Row],[Gender]]="M",Table13[[#This Row],[Diameter]],NA())</f>
        <v>#N/A</v>
      </c>
      <c r="AE396" s="2" t="e">
        <f>IF(Table13[[#This Row],[Gender]]="F",Table13[[#This Row],[Diameter]],NA())</f>
        <v>#N/A</v>
      </c>
      <c r="AF396" s="2">
        <f>IF(Table13[[#This Row],[Gender]]="I",Table13[[#This Row],[Diameter]],NA())</f>
        <v>0.31</v>
      </c>
    </row>
    <row r="397" spans="1:32" x14ac:dyDescent="0.2">
      <c r="A397">
        <v>3497</v>
      </c>
      <c r="B397" t="s">
        <v>15</v>
      </c>
      <c r="C397">
        <v>0.57499999999999996</v>
      </c>
      <c r="D397">
        <v>0.44</v>
      </c>
      <c r="E397">
        <v>0.14499999999999999</v>
      </c>
      <c r="F397">
        <v>0.87</v>
      </c>
      <c r="G397">
        <v>0.39450000000000002</v>
      </c>
      <c r="H397">
        <v>0.2195</v>
      </c>
      <c r="I397">
        <v>0.22500000000000001</v>
      </c>
      <c r="J397">
        <v>8</v>
      </c>
      <c r="K397">
        <v>9</v>
      </c>
      <c r="L397" t="s">
        <v>20</v>
      </c>
      <c r="M397" t="s">
        <v>21</v>
      </c>
      <c r="N397" t="s">
        <v>22</v>
      </c>
      <c r="O397">
        <v>7</v>
      </c>
      <c r="P397" t="s">
        <v>42</v>
      </c>
      <c r="Q397">
        <v>2.5</v>
      </c>
      <c r="R397" t="str" cm="1">
        <f t="array" ref="R3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97" t="e">
        <f>IF(Table13[[#This Row],[Category All]]="Category 1", "Yes",NA())</f>
        <v>#N/A</v>
      </c>
      <c r="T397" t="str">
        <f>IF(Table13[[#This Row],[Category All]]="Category 2", "Yes",NA())</f>
        <v>Yes</v>
      </c>
      <c r="U397" t="e">
        <f>IF(Table13[[#This Row],[Category All]]="Category 3", "Yes",NA())</f>
        <v>#N/A</v>
      </c>
      <c r="V397">
        <f>SUM(1,(1/3)*(Table13[[#This Row],[Length]]-0.5),(1/3)*(Table13[[#This Row],[Diameter]]-0.4),(1/3)*(Table13[[#This Row],[Height]]-0.4)*Table13[[#This Row],[Whole_weight]]*0.5)</f>
        <v>1.0013583333333334</v>
      </c>
      <c r="W397" cm="1">
        <f t="array" ref="W3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0.80108666666666672</v>
      </c>
      <c r="X397" t="e">
        <f>IF(Table13[[#This Row],[Category All]]="Category 1",Table13[[#This Row],[Base Abalone Value]]*1.5,NA())</f>
        <v>#N/A</v>
      </c>
      <c r="Y397">
        <f>IF(Table13[[#This Row],[Category All]]="Category 2",Table13[[#This Row],[Base Abalone Value]]*0.8,NA())</f>
        <v>0.80108666666666672</v>
      </c>
      <c r="Z397" t="e">
        <f>IF(Table13[[#This Row],[Category All]]="Category 3",Table13[[#This Row],[Base Abalone Value]],NA())</f>
        <v>#N/A</v>
      </c>
      <c r="AA397" s="2">
        <f>IF(Table13[[#This Row],[Gender]]="M",Table13[[#This Row],[Whole_weight]],NA())</f>
        <v>0.87</v>
      </c>
      <c r="AB397" s="2" t="e">
        <f>IF(Table13[[#This Row],[Gender]]="F",Table13[[#This Row],[Whole_weight]],NA())</f>
        <v>#N/A</v>
      </c>
      <c r="AC397" s="2" t="e">
        <f>IF(Table13[[#This Row],[Gender]]="I",Table13[[#This Row],[Whole_weight]],NA())</f>
        <v>#N/A</v>
      </c>
      <c r="AD397" s="2">
        <f>IF(Table13[[#This Row],[Gender]]="M",Table13[[#This Row],[Diameter]],NA())</f>
        <v>0.44</v>
      </c>
      <c r="AE397" s="2" t="e">
        <f>IF(Table13[[#This Row],[Gender]]="F",Table13[[#This Row],[Diameter]],NA())</f>
        <v>#N/A</v>
      </c>
      <c r="AF397" s="2" t="e">
        <f>IF(Table13[[#This Row],[Gender]]="I",Table13[[#This Row],[Diameter]],NA())</f>
        <v>#N/A</v>
      </c>
    </row>
    <row r="398" spans="1:32" x14ac:dyDescent="0.2">
      <c r="A398">
        <v>1733</v>
      </c>
      <c r="B398" t="s">
        <v>15</v>
      </c>
      <c r="C398">
        <v>0.66500000000000004</v>
      </c>
      <c r="D398">
        <v>0.52</v>
      </c>
      <c r="E398">
        <v>0.17499999999999999</v>
      </c>
      <c r="F398">
        <v>1.3725000000000001</v>
      </c>
      <c r="G398">
        <v>0.60599999999999998</v>
      </c>
      <c r="H398">
        <v>0.32</v>
      </c>
      <c r="I398">
        <v>0.39500000000000002</v>
      </c>
      <c r="J398">
        <v>12</v>
      </c>
      <c r="K398">
        <v>5</v>
      </c>
      <c r="L398" t="s">
        <v>26</v>
      </c>
      <c r="M398" t="s">
        <v>27</v>
      </c>
      <c r="N398" t="s">
        <v>28</v>
      </c>
      <c r="O398">
        <v>9</v>
      </c>
      <c r="P398" t="s">
        <v>46</v>
      </c>
      <c r="Q398">
        <v>1.9</v>
      </c>
      <c r="R398" t="str" cm="1">
        <f t="array" ref="R3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98" t="e">
        <f>IF(Table13[[#This Row],[Category All]]="Category 1", "Yes",NA())</f>
        <v>#N/A</v>
      </c>
      <c r="T398" t="e">
        <f>IF(Table13[[#This Row],[Category All]]="Category 2", "Yes",NA())</f>
        <v>#N/A</v>
      </c>
      <c r="U398" t="str">
        <f>IF(Table13[[#This Row],[Category All]]="Category 3", "Yes",NA())</f>
        <v>Yes</v>
      </c>
      <c r="V398">
        <f>SUM(1,(1/3)*(Table13[[#This Row],[Length]]-0.5),(1/3)*(Table13[[#This Row],[Diameter]]-0.4),(1/3)*(Table13[[#This Row],[Height]]-0.4)*Table13[[#This Row],[Whole_weight]]*0.5)</f>
        <v>1.04353125</v>
      </c>
      <c r="W398" cm="1">
        <f t="array" ref="W3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1.04353125</v>
      </c>
      <c r="X398" t="e">
        <f>IF(Table13[[#This Row],[Category All]]="Category 1",Table13[[#This Row],[Base Abalone Value]]*1.5,NA())</f>
        <v>#N/A</v>
      </c>
      <c r="Y398" t="e">
        <f>IF(Table13[[#This Row],[Category All]]="Category 2",Table13[[#This Row],[Base Abalone Value]]*0.8,NA())</f>
        <v>#N/A</v>
      </c>
      <c r="Z398">
        <f>IF(Table13[[#This Row],[Category All]]="Category 3",Table13[[#This Row],[Base Abalone Value]],NA())</f>
        <v>1.04353125</v>
      </c>
      <c r="AA398" s="2">
        <f>IF(Table13[[#This Row],[Gender]]="M",Table13[[#This Row],[Whole_weight]],NA())</f>
        <v>1.3725000000000001</v>
      </c>
      <c r="AB398" s="2" t="e">
        <f>IF(Table13[[#This Row],[Gender]]="F",Table13[[#This Row],[Whole_weight]],NA())</f>
        <v>#N/A</v>
      </c>
      <c r="AC398" s="2" t="e">
        <f>IF(Table13[[#This Row],[Gender]]="I",Table13[[#This Row],[Whole_weight]],NA())</f>
        <v>#N/A</v>
      </c>
      <c r="AD398" s="2">
        <f>IF(Table13[[#This Row],[Gender]]="M",Table13[[#This Row],[Diameter]],NA())</f>
        <v>0.52</v>
      </c>
      <c r="AE398" s="2" t="e">
        <f>IF(Table13[[#This Row],[Gender]]="F",Table13[[#This Row],[Diameter]],NA())</f>
        <v>#N/A</v>
      </c>
      <c r="AF398" s="2" t="e">
        <f>IF(Table13[[#This Row],[Gender]]="I",Table13[[#This Row],[Diameter]],NA())</f>
        <v>#N/A</v>
      </c>
    </row>
    <row r="399" spans="1:32" x14ac:dyDescent="0.2">
      <c r="A399">
        <v>431</v>
      </c>
      <c r="B399" t="s">
        <v>0</v>
      </c>
      <c r="C399">
        <v>0.56999999999999995</v>
      </c>
      <c r="D399">
        <v>0.45</v>
      </c>
      <c r="E399">
        <v>0.17499999999999999</v>
      </c>
      <c r="F399">
        <v>0.95550000000000002</v>
      </c>
      <c r="G399">
        <v>0.38</v>
      </c>
      <c r="H399">
        <v>0.16650000000000001</v>
      </c>
      <c r="I399">
        <v>0.29499999999999998</v>
      </c>
      <c r="J399">
        <v>18</v>
      </c>
      <c r="K399">
        <v>5</v>
      </c>
      <c r="L399" t="s">
        <v>26</v>
      </c>
      <c r="M399" t="s">
        <v>27</v>
      </c>
      <c r="N399" t="s">
        <v>28</v>
      </c>
      <c r="O399">
        <v>5</v>
      </c>
      <c r="P399" t="s">
        <v>14</v>
      </c>
      <c r="Q399">
        <v>12.8</v>
      </c>
      <c r="R399" t="str" cm="1">
        <f t="array" ref="R3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99" t="e">
        <f>IF(Table13[[#This Row],[Category All]]="Category 1", "Yes",NA())</f>
        <v>#N/A</v>
      </c>
      <c r="T399" t="str">
        <f>IF(Table13[[#This Row],[Category All]]="Category 2", "Yes",NA())</f>
        <v>Yes</v>
      </c>
      <c r="U399" t="e">
        <f>IF(Table13[[#This Row],[Category All]]="Category 3", "Yes",NA())</f>
        <v>#N/A</v>
      </c>
      <c r="V399">
        <f>SUM(1,(1/3)*(Table13[[#This Row],[Length]]-0.5),(1/3)*(Table13[[#This Row],[Diameter]]-0.4),(1/3)*(Table13[[#This Row],[Height]]-0.4)*Table13[[#This Row],[Whole_weight]]*0.5)</f>
        <v>1.0041687500000001</v>
      </c>
      <c r="W399" cm="1">
        <f t="array" ref="W3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0.80333500000000013</v>
      </c>
      <c r="X399" t="e">
        <f>IF(Table13[[#This Row],[Category All]]="Category 1",Table13[[#This Row],[Base Abalone Value]]*1.5,NA())</f>
        <v>#N/A</v>
      </c>
      <c r="Y399">
        <f>IF(Table13[[#This Row],[Category All]]="Category 2",Table13[[#This Row],[Base Abalone Value]]*0.8,NA())</f>
        <v>0.80333500000000013</v>
      </c>
      <c r="Z399" t="e">
        <f>IF(Table13[[#This Row],[Category All]]="Category 3",Table13[[#This Row],[Base Abalone Value]],NA())</f>
        <v>#N/A</v>
      </c>
      <c r="AA399" s="2" t="e">
        <f>IF(Table13[[#This Row],[Gender]]="M",Table13[[#This Row],[Whole_weight]],NA())</f>
        <v>#N/A</v>
      </c>
      <c r="AB399" s="2">
        <f>IF(Table13[[#This Row],[Gender]]="F",Table13[[#This Row],[Whole_weight]],NA())</f>
        <v>0.95550000000000002</v>
      </c>
      <c r="AC399" s="2" t="e">
        <f>IF(Table13[[#This Row],[Gender]]="I",Table13[[#This Row],[Whole_weight]],NA())</f>
        <v>#N/A</v>
      </c>
      <c r="AD399" s="2" t="e">
        <f>IF(Table13[[#This Row],[Gender]]="M",Table13[[#This Row],[Diameter]],NA())</f>
        <v>#N/A</v>
      </c>
      <c r="AE399" s="2">
        <f>IF(Table13[[#This Row],[Gender]]="F",Table13[[#This Row],[Diameter]],NA())</f>
        <v>0.45</v>
      </c>
      <c r="AF399" s="2" t="e">
        <f>IF(Table13[[#This Row],[Gender]]="I",Table13[[#This Row],[Diameter]],NA())</f>
        <v>#N/A</v>
      </c>
    </row>
    <row r="400" spans="1:32" x14ac:dyDescent="0.2">
      <c r="A400">
        <v>541</v>
      </c>
      <c r="B400" t="s">
        <v>0</v>
      </c>
      <c r="C400">
        <v>0.5</v>
      </c>
      <c r="D400">
        <v>0.375</v>
      </c>
      <c r="E400">
        <v>0.14000000000000001</v>
      </c>
      <c r="F400">
        <v>0.60399999999999998</v>
      </c>
      <c r="G400">
        <v>0.24199999999999999</v>
      </c>
      <c r="H400">
        <v>0.14149999999999999</v>
      </c>
      <c r="I400">
        <v>0.17899999999999999</v>
      </c>
      <c r="J400">
        <v>15</v>
      </c>
      <c r="K400">
        <v>14</v>
      </c>
      <c r="L400" t="s">
        <v>23</v>
      </c>
      <c r="M400" t="s">
        <v>24</v>
      </c>
      <c r="N400" t="s">
        <v>25</v>
      </c>
      <c r="O400">
        <v>5</v>
      </c>
      <c r="P400" t="s">
        <v>14</v>
      </c>
      <c r="Q400">
        <v>12.8</v>
      </c>
      <c r="R400" t="str" cm="1">
        <f t="array" ref="R4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00" t="e">
        <f>IF(Table13[[#This Row],[Category All]]="Category 1", "Yes",NA())</f>
        <v>#N/A</v>
      </c>
      <c r="T400" t="str">
        <f>IF(Table13[[#This Row],[Category All]]="Category 2", "Yes",NA())</f>
        <v>Yes</v>
      </c>
      <c r="U400" t="e">
        <f>IF(Table13[[#This Row],[Category All]]="Category 3", "Yes",NA())</f>
        <v>#N/A</v>
      </c>
      <c r="V400">
        <f>SUM(1,(1/3)*(Table13[[#This Row],[Length]]-0.5),(1/3)*(Table13[[#This Row],[Diameter]]-0.4),(1/3)*(Table13[[#This Row],[Height]]-0.4)*Table13[[#This Row],[Whole_weight]]*0.5)</f>
        <v>0.96549333333333331</v>
      </c>
      <c r="W400" cm="1">
        <f t="array" ref="W4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0.77239466666666667</v>
      </c>
      <c r="X400" t="e">
        <f>IF(Table13[[#This Row],[Category All]]="Category 1",Table13[[#This Row],[Base Abalone Value]]*1.5,NA())</f>
        <v>#N/A</v>
      </c>
      <c r="Y400">
        <f>IF(Table13[[#This Row],[Category All]]="Category 2",Table13[[#This Row],[Base Abalone Value]]*0.8,NA())</f>
        <v>0.77239466666666667</v>
      </c>
      <c r="Z400" t="e">
        <f>IF(Table13[[#This Row],[Category All]]="Category 3",Table13[[#This Row],[Base Abalone Value]],NA())</f>
        <v>#N/A</v>
      </c>
      <c r="AA400" s="2" t="e">
        <f>IF(Table13[[#This Row],[Gender]]="M",Table13[[#This Row],[Whole_weight]],NA())</f>
        <v>#N/A</v>
      </c>
      <c r="AB400" s="2">
        <f>IF(Table13[[#This Row],[Gender]]="F",Table13[[#This Row],[Whole_weight]],NA())</f>
        <v>0.60399999999999998</v>
      </c>
      <c r="AC400" s="2" t="e">
        <f>IF(Table13[[#This Row],[Gender]]="I",Table13[[#This Row],[Whole_weight]],NA())</f>
        <v>#N/A</v>
      </c>
      <c r="AD400" s="2" t="e">
        <f>IF(Table13[[#This Row],[Gender]]="M",Table13[[#This Row],[Diameter]],NA())</f>
        <v>#N/A</v>
      </c>
      <c r="AE400" s="2">
        <f>IF(Table13[[#This Row],[Gender]]="F",Table13[[#This Row],[Diameter]],NA())</f>
        <v>0.375</v>
      </c>
      <c r="AF400" s="2" t="e">
        <f>IF(Table13[[#This Row],[Gender]]="I",Table13[[#This Row],[Diameter]],NA())</f>
        <v>#N/A</v>
      </c>
    </row>
    <row r="401" spans="1:32" x14ac:dyDescent="0.2">
      <c r="A401">
        <v>3467</v>
      </c>
      <c r="B401" t="s">
        <v>15</v>
      </c>
      <c r="C401">
        <v>0.64</v>
      </c>
      <c r="D401">
        <v>0.5</v>
      </c>
      <c r="E401">
        <v>0.17</v>
      </c>
      <c r="F401">
        <v>1.4544999999999999</v>
      </c>
      <c r="G401">
        <v>0.64200000000000002</v>
      </c>
      <c r="H401">
        <v>0.35749999999999998</v>
      </c>
      <c r="I401">
        <v>0.35399999999999998</v>
      </c>
      <c r="J401">
        <v>9</v>
      </c>
      <c r="K401">
        <v>6</v>
      </c>
      <c r="L401" t="s">
        <v>39</v>
      </c>
      <c r="M401" t="s">
        <v>40</v>
      </c>
      <c r="N401" t="s">
        <v>41</v>
      </c>
      <c r="O401">
        <v>9</v>
      </c>
      <c r="P401" t="s">
        <v>46</v>
      </c>
      <c r="Q401">
        <v>1.9</v>
      </c>
      <c r="R401" t="str" cm="1">
        <f t="array" ref="R4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01" t="e">
        <f>IF(Table13[[#This Row],[Category All]]="Category 1", "Yes",NA())</f>
        <v>#N/A</v>
      </c>
      <c r="T401" t="e">
        <f>IF(Table13[[#This Row],[Category All]]="Category 2", "Yes",NA())</f>
        <v>#N/A</v>
      </c>
      <c r="U401" t="str">
        <f>IF(Table13[[#This Row],[Category All]]="Category 3", "Yes",NA())</f>
        <v>Yes</v>
      </c>
      <c r="V401">
        <f>SUM(1,(1/3)*(Table13[[#This Row],[Length]]-0.5),(1/3)*(Table13[[#This Row],[Diameter]]-0.4),(1/3)*(Table13[[#This Row],[Height]]-0.4)*Table13[[#This Row],[Whole_weight]]*0.5)</f>
        <v>1.0242441666666668</v>
      </c>
      <c r="W401" cm="1">
        <f t="array" ref="W4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1.0242441666666668</v>
      </c>
      <c r="X401" t="e">
        <f>IF(Table13[[#This Row],[Category All]]="Category 1",Table13[[#This Row],[Base Abalone Value]]*1.5,NA())</f>
        <v>#N/A</v>
      </c>
      <c r="Y401" t="e">
        <f>IF(Table13[[#This Row],[Category All]]="Category 2",Table13[[#This Row],[Base Abalone Value]]*0.8,NA())</f>
        <v>#N/A</v>
      </c>
      <c r="Z401">
        <f>IF(Table13[[#This Row],[Category All]]="Category 3",Table13[[#This Row],[Base Abalone Value]],NA())</f>
        <v>1.0242441666666668</v>
      </c>
      <c r="AA401" s="2">
        <f>IF(Table13[[#This Row],[Gender]]="M",Table13[[#This Row],[Whole_weight]],NA())</f>
        <v>1.4544999999999999</v>
      </c>
      <c r="AB401" s="2" t="e">
        <f>IF(Table13[[#This Row],[Gender]]="F",Table13[[#This Row],[Whole_weight]],NA())</f>
        <v>#N/A</v>
      </c>
      <c r="AC401" s="2" t="e">
        <f>IF(Table13[[#This Row],[Gender]]="I",Table13[[#This Row],[Whole_weight]],NA())</f>
        <v>#N/A</v>
      </c>
      <c r="AD401" s="2">
        <f>IF(Table13[[#This Row],[Gender]]="M",Table13[[#This Row],[Diameter]],NA())</f>
        <v>0.5</v>
      </c>
      <c r="AE401" s="2" t="e">
        <f>IF(Table13[[#This Row],[Gender]]="F",Table13[[#This Row],[Diameter]],NA())</f>
        <v>#N/A</v>
      </c>
      <c r="AF401" s="2" t="e">
        <f>IF(Table13[[#This Row],[Gender]]="I",Table13[[#This Row],[Diameter]],NA())</f>
        <v>#N/A</v>
      </c>
    </row>
    <row r="402" spans="1:32" x14ac:dyDescent="0.2">
      <c r="A402">
        <v>3353</v>
      </c>
      <c r="B402" t="s">
        <v>0</v>
      </c>
      <c r="C402">
        <v>0.52</v>
      </c>
      <c r="D402">
        <v>0.40500000000000003</v>
      </c>
      <c r="E402">
        <v>0.14499999999999999</v>
      </c>
      <c r="F402">
        <v>0.82899999999999996</v>
      </c>
      <c r="G402">
        <v>0.35349999999999998</v>
      </c>
      <c r="H402">
        <v>0.16850000000000001</v>
      </c>
      <c r="I402">
        <v>0.20499999999999999</v>
      </c>
      <c r="J402">
        <v>15</v>
      </c>
      <c r="K402">
        <v>11</v>
      </c>
      <c r="L402" t="s">
        <v>5</v>
      </c>
      <c r="M402" t="s">
        <v>6</v>
      </c>
      <c r="N402" t="s">
        <v>3</v>
      </c>
      <c r="O402">
        <v>8</v>
      </c>
      <c r="P402" t="s">
        <v>19</v>
      </c>
      <c r="Q402">
        <v>12.3</v>
      </c>
      <c r="R402" t="str" cm="1">
        <f t="array" ref="R4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02" t="e">
        <f>IF(Table13[[#This Row],[Category All]]="Category 1", "Yes",NA())</f>
        <v>#N/A</v>
      </c>
      <c r="T402" t="str">
        <f>IF(Table13[[#This Row],[Category All]]="Category 2", "Yes",NA())</f>
        <v>Yes</v>
      </c>
      <c r="U402" t="e">
        <f>IF(Table13[[#This Row],[Category All]]="Category 3", "Yes",NA())</f>
        <v>#N/A</v>
      </c>
      <c r="V402">
        <f>SUM(1,(1/3)*(Table13[[#This Row],[Length]]-0.5),(1/3)*(Table13[[#This Row],[Diameter]]-0.4),(1/3)*(Table13[[#This Row],[Height]]-0.4)*Table13[[#This Row],[Whole_weight]]*0.5)</f>
        <v>0.9731008333333333</v>
      </c>
      <c r="W402" cm="1">
        <f t="array" ref="W4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0.77848066666666671</v>
      </c>
      <c r="X402" t="e">
        <f>IF(Table13[[#This Row],[Category All]]="Category 1",Table13[[#This Row],[Base Abalone Value]]*1.5,NA())</f>
        <v>#N/A</v>
      </c>
      <c r="Y402">
        <f>IF(Table13[[#This Row],[Category All]]="Category 2",Table13[[#This Row],[Base Abalone Value]]*0.8,NA())</f>
        <v>0.77848066666666671</v>
      </c>
      <c r="Z402" t="e">
        <f>IF(Table13[[#This Row],[Category All]]="Category 3",Table13[[#This Row],[Base Abalone Value]],NA())</f>
        <v>#N/A</v>
      </c>
      <c r="AA402" s="2" t="e">
        <f>IF(Table13[[#This Row],[Gender]]="M",Table13[[#This Row],[Whole_weight]],NA())</f>
        <v>#N/A</v>
      </c>
      <c r="AB402" s="2">
        <f>IF(Table13[[#This Row],[Gender]]="F",Table13[[#This Row],[Whole_weight]],NA())</f>
        <v>0.82899999999999996</v>
      </c>
      <c r="AC402" s="2" t="e">
        <f>IF(Table13[[#This Row],[Gender]]="I",Table13[[#This Row],[Whole_weight]],NA())</f>
        <v>#N/A</v>
      </c>
      <c r="AD402" s="2" t="e">
        <f>IF(Table13[[#This Row],[Gender]]="M",Table13[[#This Row],[Diameter]],NA())</f>
        <v>#N/A</v>
      </c>
      <c r="AE402" s="2">
        <f>IF(Table13[[#This Row],[Gender]]="F",Table13[[#This Row],[Diameter]],NA())</f>
        <v>0.40500000000000003</v>
      </c>
      <c r="AF402" s="2" t="e">
        <f>IF(Table13[[#This Row],[Gender]]="I",Table13[[#This Row],[Diameter]],NA())</f>
        <v>#N/A</v>
      </c>
    </row>
    <row r="403" spans="1:32" x14ac:dyDescent="0.2">
      <c r="A403">
        <v>1192</v>
      </c>
      <c r="B403" t="s">
        <v>15</v>
      </c>
      <c r="C403">
        <v>0.69499999999999995</v>
      </c>
      <c r="D403">
        <v>0.56000000000000005</v>
      </c>
      <c r="E403">
        <v>0.185</v>
      </c>
      <c r="F403">
        <v>1.74</v>
      </c>
      <c r="G403">
        <v>0.88500000000000001</v>
      </c>
      <c r="H403">
        <v>0.3715</v>
      </c>
      <c r="I403">
        <v>0.4375</v>
      </c>
      <c r="J403">
        <v>10</v>
      </c>
      <c r="K403">
        <v>9</v>
      </c>
      <c r="L403" t="s">
        <v>20</v>
      </c>
      <c r="M403" t="s">
        <v>21</v>
      </c>
      <c r="N403" t="s">
        <v>22</v>
      </c>
      <c r="O403">
        <v>2</v>
      </c>
      <c r="P403" t="s">
        <v>7</v>
      </c>
      <c r="Q403">
        <v>18</v>
      </c>
      <c r="R403" t="str" cm="1">
        <f t="array" ref="R4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03" t="e">
        <f>IF(Table13[[#This Row],[Category All]]="Category 1", "Yes",NA())</f>
        <v>#N/A</v>
      </c>
      <c r="T403" t="e">
        <f>IF(Table13[[#This Row],[Category All]]="Category 2", "Yes",NA())</f>
        <v>#N/A</v>
      </c>
      <c r="U403" t="str">
        <f>IF(Table13[[#This Row],[Category All]]="Category 3", "Yes",NA())</f>
        <v>Yes</v>
      </c>
      <c r="V403">
        <f>SUM(1,(1/3)*(Table13[[#This Row],[Length]]-0.5),(1/3)*(Table13[[#This Row],[Diameter]]-0.4),(1/3)*(Table13[[#This Row],[Height]]-0.4)*Table13[[#This Row],[Whole_weight]]*0.5)</f>
        <v>1.0559833333333333</v>
      </c>
      <c r="W403" cm="1">
        <f t="array" ref="W4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1.0559833333333333</v>
      </c>
      <c r="X403" t="e">
        <f>IF(Table13[[#This Row],[Category All]]="Category 1",Table13[[#This Row],[Base Abalone Value]]*1.5,NA())</f>
        <v>#N/A</v>
      </c>
      <c r="Y403" t="e">
        <f>IF(Table13[[#This Row],[Category All]]="Category 2",Table13[[#This Row],[Base Abalone Value]]*0.8,NA())</f>
        <v>#N/A</v>
      </c>
      <c r="Z403">
        <f>IF(Table13[[#This Row],[Category All]]="Category 3",Table13[[#This Row],[Base Abalone Value]],NA())</f>
        <v>1.0559833333333333</v>
      </c>
      <c r="AA403" s="2">
        <f>IF(Table13[[#This Row],[Gender]]="M",Table13[[#This Row],[Whole_weight]],NA())</f>
        <v>1.74</v>
      </c>
      <c r="AB403" s="2" t="e">
        <f>IF(Table13[[#This Row],[Gender]]="F",Table13[[#This Row],[Whole_weight]],NA())</f>
        <v>#N/A</v>
      </c>
      <c r="AC403" s="2" t="e">
        <f>IF(Table13[[#This Row],[Gender]]="I",Table13[[#This Row],[Whole_weight]],NA())</f>
        <v>#N/A</v>
      </c>
      <c r="AD403" s="2">
        <f>IF(Table13[[#This Row],[Gender]]="M",Table13[[#This Row],[Diameter]],NA())</f>
        <v>0.56000000000000005</v>
      </c>
      <c r="AE403" s="2" t="e">
        <f>IF(Table13[[#This Row],[Gender]]="F",Table13[[#This Row],[Diameter]],NA())</f>
        <v>#N/A</v>
      </c>
      <c r="AF403" s="2" t="e">
        <f>IF(Table13[[#This Row],[Gender]]="I",Table13[[#This Row],[Diameter]],NA())</f>
        <v>#N/A</v>
      </c>
    </row>
    <row r="404" spans="1:32" x14ac:dyDescent="0.2">
      <c r="A404">
        <v>4133</v>
      </c>
      <c r="B404" t="s">
        <v>11</v>
      </c>
      <c r="C404">
        <v>0.58499999999999996</v>
      </c>
      <c r="D404">
        <v>0.47</v>
      </c>
      <c r="E404">
        <v>0.17</v>
      </c>
      <c r="F404">
        <v>0.98499999999999999</v>
      </c>
      <c r="G404">
        <v>0.3695</v>
      </c>
      <c r="H404">
        <v>0.23949999999999999</v>
      </c>
      <c r="I404">
        <v>0.315</v>
      </c>
      <c r="J404">
        <v>10</v>
      </c>
      <c r="K404">
        <v>13</v>
      </c>
      <c r="L404" t="s">
        <v>12</v>
      </c>
      <c r="M404" t="s">
        <v>13</v>
      </c>
      <c r="N404" t="s">
        <v>3</v>
      </c>
      <c r="O404">
        <v>9</v>
      </c>
      <c r="P404" t="s">
        <v>46</v>
      </c>
      <c r="Q404">
        <v>1.9</v>
      </c>
      <c r="R404" t="str" cm="1">
        <f t="array" ref="R4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04" t="e">
        <f>IF(Table13[[#This Row],[Category All]]="Category 1", "Yes",NA())</f>
        <v>#N/A</v>
      </c>
      <c r="T404" t="str">
        <f>IF(Table13[[#This Row],[Category All]]="Category 2", "Yes",NA())</f>
        <v>Yes</v>
      </c>
      <c r="U404" t="e">
        <f>IF(Table13[[#This Row],[Category All]]="Category 3", "Yes",NA())</f>
        <v>#N/A</v>
      </c>
      <c r="V404">
        <f>SUM(1,(1/3)*(Table13[[#This Row],[Length]]-0.5),(1/3)*(Table13[[#This Row],[Diameter]]-0.4),(1/3)*(Table13[[#This Row],[Height]]-0.4)*Table13[[#This Row],[Whole_weight]]*0.5)</f>
        <v>1.0139083333333334</v>
      </c>
      <c r="W404" cm="1">
        <f t="array" ref="W4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0.81112666666666677</v>
      </c>
      <c r="X404" t="e">
        <f>IF(Table13[[#This Row],[Category All]]="Category 1",Table13[[#This Row],[Base Abalone Value]]*1.5,NA())</f>
        <v>#N/A</v>
      </c>
      <c r="Y404">
        <f>IF(Table13[[#This Row],[Category All]]="Category 2",Table13[[#This Row],[Base Abalone Value]]*0.8,NA())</f>
        <v>0.81112666666666677</v>
      </c>
      <c r="Z404" t="e">
        <f>IF(Table13[[#This Row],[Category All]]="Category 3",Table13[[#This Row],[Base Abalone Value]],NA())</f>
        <v>#N/A</v>
      </c>
      <c r="AA404" s="2" t="e">
        <f>IF(Table13[[#This Row],[Gender]]="M",Table13[[#This Row],[Whole_weight]],NA())</f>
        <v>#N/A</v>
      </c>
      <c r="AB404" s="2" t="e">
        <f>IF(Table13[[#This Row],[Gender]]="F",Table13[[#This Row],[Whole_weight]],NA())</f>
        <v>#N/A</v>
      </c>
      <c r="AC404" s="2">
        <f>IF(Table13[[#This Row],[Gender]]="I",Table13[[#This Row],[Whole_weight]],NA())</f>
        <v>0.98499999999999999</v>
      </c>
      <c r="AD404" s="2" t="e">
        <f>IF(Table13[[#This Row],[Gender]]="M",Table13[[#This Row],[Diameter]],NA())</f>
        <v>#N/A</v>
      </c>
      <c r="AE404" s="2" t="e">
        <f>IF(Table13[[#This Row],[Gender]]="F",Table13[[#This Row],[Diameter]],NA())</f>
        <v>#N/A</v>
      </c>
      <c r="AF404" s="2">
        <f>IF(Table13[[#This Row],[Gender]]="I",Table13[[#This Row],[Diameter]],NA())</f>
        <v>0.47</v>
      </c>
    </row>
    <row r="405" spans="1:32" x14ac:dyDescent="0.2">
      <c r="A405">
        <v>61</v>
      </c>
      <c r="B405" t="s">
        <v>15</v>
      </c>
      <c r="C405">
        <v>0.45</v>
      </c>
      <c r="D405">
        <v>0.34499999999999997</v>
      </c>
      <c r="E405">
        <v>0.105</v>
      </c>
      <c r="F405">
        <v>0.41149999999999998</v>
      </c>
      <c r="G405">
        <v>0.18</v>
      </c>
      <c r="H405">
        <v>0.1125</v>
      </c>
      <c r="I405">
        <v>0.13500000000000001</v>
      </c>
      <c r="J405">
        <v>7</v>
      </c>
      <c r="K405">
        <v>14</v>
      </c>
      <c r="L405" t="s">
        <v>23</v>
      </c>
      <c r="M405" t="s">
        <v>24</v>
      </c>
      <c r="N405" t="s">
        <v>25</v>
      </c>
      <c r="O405">
        <v>1</v>
      </c>
      <c r="P405" t="s">
        <v>4</v>
      </c>
      <c r="Q405">
        <v>22.1</v>
      </c>
      <c r="R405" t="str" cm="1">
        <f t="array" ref="R4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05" t="e">
        <f>IF(Table13[[#This Row],[Category All]]="Category 1", "Yes",NA())</f>
        <v>#N/A</v>
      </c>
      <c r="T405" t="str">
        <f>IF(Table13[[#This Row],[Category All]]="Category 2", "Yes",NA())</f>
        <v>Yes</v>
      </c>
      <c r="U405" t="e">
        <f>IF(Table13[[#This Row],[Category All]]="Category 3", "Yes",NA())</f>
        <v>#N/A</v>
      </c>
      <c r="V405">
        <f>SUM(1,(1/3)*(Table13[[#This Row],[Length]]-0.5),(1/3)*(Table13[[#This Row],[Diameter]]-0.4),(1/3)*(Table13[[#This Row],[Height]]-0.4)*Table13[[#This Row],[Whole_weight]]*0.5)</f>
        <v>0.94476791666666671</v>
      </c>
      <c r="W405" cm="1">
        <f t="array" ref="W4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0.75581433333333337</v>
      </c>
      <c r="X405" t="e">
        <f>IF(Table13[[#This Row],[Category All]]="Category 1",Table13[[#This Row],[Base Abalone Value]]*1.5,NA())</f>
        <v>#N/A</v>
      </c>
      <c r="Y405">
        <f>IF(Table13[[#This Row],[Category All]]="Category 2",Table13[[#This Row],[Base Abalone Value]]*0.8,NA())</f>
        <v>0.75581433333333337</v>
      </c>
      <c r="Z405" t="e">
        <f>IF(Table13[[#This Row],[Category All]]="Category 3",Table13[[#This Row],[Base Abalone Value]],NA())</f>
        <v>#N/A</v>
      </c>
      <c r="AA405" s="2">
        <f>IF(Table13[[#This Row],[Gender]]="M",Table13[[#This Row],[Whole_weight]],NA())</f>
        <v>0.41149999999999998</v>
      </c>
      <c r="AB405" s="2" t="e">
        <f>IF(Table13[[#This Row],[Gender]]="F",Table13[[#This Row],[Whole_weight]],NA())</f>
        <v>#N/A</v>
      </c>
      <c r="AC405" s="2" t="e">
        <f>IF(Table13[[#This Row],[Gender]]="I",Table13[[#This Row],[Whole_weight]],NA())</f>
        <v>#N/A</v>
      </c>
      <c r="AD405" s="2">
        <f>IF(Table13[[#This Row],[Gender]]="M",Table13[[#This Row],[Diameter]],NA())</f>
        <v>0.34499999999999997</v>
      </c>
      <c r="AE405" s="2" t="e">
        <f>IF(Table13[[#This Row],[Gender]]="F",Table13[[#This Row],[Diameter]],NA())</f>
        <v>#N/A</v>
      </c>
      <c r="AF405" s="2" t="e">
        <f>IF(Table13[[#This Row],[Gender]]="I",Table13[[#This Row],[Diameter]],NA())</f>
        <v>#N/A</v>
      </c>
    </row>
    <row r="406" spans="1:32" x14ac:dyDescent="0.2">
      <c r="A406">
        <v>1236</v>
      </c>
      <c r="B406" t="s">
        <v>11</v>
      </c>
      <c r="C406">
        <v>0.375</v>
      </c>
      <c r="D406">
        <v>0.28999999999999998</v>
      </c>
      <c r="E406">
        <v>8.5000000000000006E-2</v>
      </c>
      <c r="F406">
        <v>0.23849999999999999</v>
      </c>
      <c r="G406">
        <v>0.11799999999999999</v>
      </c>
      <c r="H406">
        <v>4.4999999999999998E-2</v>
      </c>
      <c r="I406">
        <v>6.9500000000000006E-2</v>
      </c>
      <c r="J406">
        <v>7</v>
      </c>
      <c r="K406">
        <v>11</v>
      </c>
      <c r="L406" t="s">
        <v>5</v>
      </c>
      <c r="M406" t="s">
        <v>6</v>
      </c>
      <c r="N406" t="s">
        <v>3</v>
      </c>
      <c r="O406">
        <v>9</v>
      </c>
      <c r="P406" t="s">
        <v>46</v>
      </c>
      <c r="Q406">
        <v>1.9</v>
      </c>
      <c r="R406" t="str" cm="1">
        <f t="array" ref="R4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06" t="e">
        <f>IF(Table13[[#This Row],[Category All]]="Category 1", "Yes",NA())</f>
        <v>#N/A</v>
      </c>
      <c r="T406" t="str">
        <f>IF(Table13[[#This Row],[Category All]]="Category 2", "Yes",NA())</f>
        <v>Yes</v>
      </c>
      <c r="U406" t="e">
        <f>IF(Table13[[#This Row],[Category All]]="Category 3", "Yes",NA())</f>
        <v>#N/A</v>
      </c>
      <c r="V406">
        <f>SUM(1,(1/3)*(Table13[[#This Row],[Length]]-0.5),(1/3)*(Table13[[#This Row],[Diameter]]-0.4),(1/3)*(Table13[[#This Row],[Height]]-0.4)*Table13[[#This Row],[Whole_weight]]*0.5)</f>
        <v>0.90914541666666659</v>
      </c>
      <c r="W406" cm="1">
        <f t="array" ref="W4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0.72731633333333334</v>
      </c>
      <c r="X406" t="e">
        <f>IF(Table13[[#This Row],[Category All]]="Category 1",Table13[[#This Row],[Base Abalone Value]]*1.5,NA())</f>
        <v>#N/A</v>
      </c>
      <c r="Y406">
        <f>IF(Table13[[#This Row],[Category All]]="Category 2",Table13[[#This Row],[Base Abalone Value]]*0.8,NA())</f>
        <v>0.72731633333333334</v>
      </c>
      <c r="Z406" t="e">
        <f>IF(Table13[[#This Row],[Category All]]="Category 3",Table13[[#This Row],[Base Abalone Value]],NA())</f>
        <v>#N/A</v>
      </c>
      <c r="AA406" s="2" t="e">
        <f>IF(Table13[[#This Row],[Gender]]="M",Table13[[#This Row],[Whole_weight]],NA())</f>
        <v>#N/A</v>
      </c>
      <c r="AB406" s="2" t="e">
        <f>IF(Table13[[#This Row],[Gender]]="F",Table13[[#This Row],[Whole_weight]],NA())</f>
        <v>#N/A</v>
      </c>
      <c r="AC406" s="2">
        <f>IF(Table13[[#This Row],[Gender]]="I",Table13[[#This Row],[Whole_weight]],NA())</f>
        <v>0.23849999999999999</v>
      </c>
      <c r="AD406" s="2" t="e">
        <f>IF(Table13[[#This Row],[Gender]]="M",Table13[[#This Row],[Diameter]],NA())</f>
        <v>#N/A</v>
      </c>
      <c r="AE406" s="2" t="e">
        <f>IF(Table13[[#This Row],[Gender]]="F",Table13[[#This Row],[Diameter]],NA())</f>
        <v>#N/A</v>
      </c>
      <c r="AF406" s="2">
        <f>IF(Table13[[#This Row],[Gender]]="I",Table13[[#This Row],[Diameter]],NA())</f>
        <v>0.28999999999999998</v>
      </c>
    </row>
    <row r="407" spans="1:32" x14ac:dyDescent="0.2">
      <c r="A407">
        <v>2261</v>
      </c>
      <c r="B407" t="s">
        <v>15</v>
      </c>
      <c r="C407">
        <v>0.55000000000000004</v>
      </c>
      <c r="D407">
        <v>0.46</v>
      </c>
      <c r="E407">
        <v>0.17499999999999999</v>
      </c>
      <c r="F407">
        <v>0.86899999999999999</v>
      </c>
      <c r="G407">
        <v>0.3155</v>
      </c>
      <c r="H407">
        <v>0.1825</v>
      </c>
      <c r="I407">
        <v>0.32</v>
      </c>
      <c r="J407">
        <v>10</v>
      </c>
      <c r="K407">
        <v>7</v>
      </c>
      <c r="L407" t="s">
        <v>35</v>
      </c>
      <c r="M407" t="s">
        <v>36</v>
      </c>
      <c r="N407" t="s">
        <v>37</v>
      </c>
      <c r="O407">
        <v>5</v>
      </c>
      <c r="P407" t="s">
        <v>14</v>
      </c>
      <c r="Q407">
        <v>12.8</v>
      </c>
      <c r="R407" t="str" cm="1">
        <f t="array" ref="R4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07" t="e">
        <f>IF(Table13[[#This Row],[Category All]]="Category 1", "Yes",NA())</f>
        <v>#N/A</v>
      </c>
      <c r="T407" t="str">
        <f>IF(Table13[[#This Row],[Category All]]="Category 2", "Yes",NA())</f>
        <v>Yes</v>
      </c>
      <c r="U407" t="e">
        <f>IF(Table13[[#This Row],[Category All]]="Category 3", "Yes",NA())</f>
        <v>#N/A</v>
      </c>
      <c r="V407">
        <f>SUM(1,(1/3)*(Table13[[#This Row],[Length]]-0.5),(1/3)*(Table13[[#This Row],[Diameter]]-0.4),(1/3)*(Table13[[#This Row],[Height]]-0.4)*Table13[[#This Row],[Whole_weight]]*0.5)</f>
        <v>1.0040791666666666</v>
      </c>
      <c r="W407" cm="1">
        <f t="array" ref="W4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0.80326333333333333</v>
      </c>
      <c r="X407" t="e">
        <f>IF(Table13[[#This Row],[Category All]]="Category 1",Table13[[#This Row],[Base Abalone Value]]*1.5,NA())</f>
        <v>#N/A</v>
      </c>
      <c r="Y407">
        <f>IF(Table13[[#This Row],[Category All]]="Category 2",Table13[[#This Row],[Base Abalone Value]]*0.8,NA())</f>
        <v>0.80326333333333333</v>
      </c>
      <c r="Z407" t="e">
        <f>IF(Table13[[#This Row],[Category All]]="Category 3",Table13[[#This Row],[Base Abalone Value]],NA())</f>
        <v>#N/A</v>
      </c>
      <c r="AA407" s="2">
        <f>IF(Table13[[#This Row],[Gender]]="M",Table13[[#This Row],[Whole_weight]],NA())</f>
        <v>0.86899999999999999</v>
      </c>
      <c r="AB407" s="2" t="e">
        <f>IF(Table13[[#This Row],[Gender]]="F",Table13[[#This Row],[Whole_weight]],NA())</f>
        <v>#N/A</v>
      </c>
      <c r="AC407" s="2" t="e">
        <f>IF(Table13[[#This Row],[Gender]]="I",Table13[[#This Row],[Whole_weight]],NA())</f>
        <v>#N/A</v>
      </c>
      <c r="AD407" s="2">
        <f>IF(Table13[[#This Row],[Gender]]="M",Table13[[#This Row],[Diameter]],NA())</f>
        <v>0.46</v>
      </c>
      <c r="AE407" s="2" t="e">
        <f>IF(Table13[[#This Row],[Gender]]="F",Table13[[#This Row],[Diameter]],NA())</f>
        <v>#N/A</v>
      </c>
      <c r="AF407" s="2" t="e">
        <f>IF(Table13[[#This Row],[Gender]]="I",Table13[[#This Row],[Diameter]],NA())</f>
        <v>#N/A</v>
      </c>
    </row>
    <row r="408" spans="1:32" x14ac:dyDescent="0.2">
      <c r="A408">
        <v>732</v>
      </c>
      <c r="B408" t="s">
        <v>15</v>
      </c>
      <c r="C408">
        <v>0.54500000000000004</v>
      </c>
      <c r="D408">
        <v>0.42</v>
      </c>
      <c r="E408">
        <v>0.13</v>
      </c>
      <c r="F408">
        <v>0.879</v>
      </c>
      <c r="G408">
        <v>0.374</v>
      </c>
      <c r="H408">
        <v>0.16950000000000001</v>
      </c>
      <c r="I408">
        <v>0.23</v>
      </c>
      <c r="J408">
        <v>13</v>
      </c>
      <c r="K408">
        <v>1</v>
      </c>
      <c r="L408" t="s">
        <v>8</v>
      </c>
      <c r="M408" t="s">
        <v>9</v>
      </c>
      <c r="N408" t="s">
        <v>3</v>
      </c>
      <c r="O408">
        <v>2</v>
      </c>
      <c r="P408" t="s">
        <v>7</v>
      </c>
      <c r="Q408">
        <v>18</v>
      </c>
      <c r="R408" t="str" cm="1">
        <f t="array" ref="R4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08" t="e">
        <f>IF(Table13[[#This Row],[Category All]]="Category 1", "Yes",NA())</f>
        <v>#N/A</v>
      </c>
      <c r="T408" t="str">
        <f>IF(Table13[[#This Row],[Category All]]="Category 2", "Yes",NA())</f>
        <v>Yes</v>
      </c>
      <c r="U408" t="e">
        <f>IF(Table13[[#This Row],[Category All]]="Category 3", "Yes",NA())</f>
        <v>#N/A</v>
      </c>
      <c r="V408">
        <f>SUM(1,(1/3)*(Table13[[#This Row],[Length]]-0.5),(1/3)*(Table13[[#This Row],[Diameter]]-0.4),(1/3)*(Table13[[#This Row],[Height]]-0.4)*Table13[[#This Row],[Whole_weight]]*0.5)</f>
        <v>0.98211166666666672</v>
      </c>
      <c r="W408" cm="1">
        <f t="array" ref="W4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0.78568933333333346</v>
      </c>
      <c r="X408" t="e">
        <f>IF(Table13[[#This Row],[Category All]]="Category 1",Table13[[#This Row],[Base Abalone Value]]*1.5,NA())</f>
        <v>#N/A</v>
      </c>
      <c r="Y408">
        <f>IF(Table13[[#This Row],[Category All]]="Category 2",Table13[[#This Row],[Base Abalone Value]]*0.8,NA())</f>
        <v>0.78568933333333346</v>
      </c>
      <c r="Z408" t="e">
        <f>IF(Table13[[#This Row],[Category All]]="Category 3",Table13[[#This Row],[Base Abalone Value]],NA())</f>
        <v>#N/A</v>
      </c>
      <c r="AA408" s="2">
        <f>IF(Table13[[#This Row],[Gender]]="M",Table13[[#This Row],[Whole_weight]],NA())</f>
        <v>0.879</v>
      </c>
      <c r="AB408" s="2" t="e">
        <f>IF(Table13[[#This Row],[Gender]]="F",Table13[[#This Row],[Whole_weight]],NA())</f>
        <v>#N/A</v>
      </c>
      <c r="AC408" s="2" t="e">
        <f>IF(Table13[[#This Row],[Gender]]="I",Table13[[#This Row],[Whole_weight]],NA())</f>
        <v>#N/A</v>
      </c>
      <c r="AD408" s="2">
        <f>IF(Table13[[#This Row],[Gender]]="M",Table13[[#This Row],[Diameter]],NA())</f>
        <v>0.42</v>
      </c>
      <c r="AE408" s="2" t="e">
        <f>IF(Table13[[#This Row],[Gender]]="F",Table13[[#This Row],[Diameter]],NA())</f>
        <v>#N/A</v>
      </c>
      <c r="AF408" s="2" t="e">
        <f>IF(Table13[[#This Row],[Gender]]="I",Table13[[#This Row],[Diameter]],NA())</f>
        <v>#N/A</v>
      </c>
    </row>
    <row r="409" spans="1:32" x14ac:dyDescent="0.2">
      <c r="A409">
        <v>3417</v>
      </c>
      <c r="B409" t="s">
        <v>15</v>
      </c>
      <c r="C409">
        <v>0.56000000000000005</v>
      </c>
      <c r="D409">
        <v>0.45</v>
      </c>
      <c r="E409">
        <v>0.14000000000000001</v>
      </c>
      <c r="F409">
        <v>0.9</v>
      </c>
      <c r="G409">
        <v>0.47199999999999998</v>
      </c>
      <c r="H409">
        <v>0.182</v>
      </c>
      <c r="I409">
        <v>0.218</v>
      </c>
      <c r="J409">
        <v>7</v>
      </c>
      <c r="K409">
        <v>5</v>
      </c>
      <c r="L409" t="s">
        <v>26</v>
      </c>
      <c r="M409" t="s">
        <v>27</v>
      </c>
      <c r="N409" t="s">
        <v>28</v>
      </c>
      <c r="O409">
        <v>4</v>
      </c>
      <c r="P409" t="s">
        <v>10</v>
      </c>
      <c r="Q409">
        <v>6.1</v>
      </c>
      <c r="R409" t="str" cm="1">
        <f t="array" ref="R4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09" t="e">
        <f>IF(Table13[[#This Row],[Category All]]="Category 1", "Yes",NA())</f>
        <v>#N/A</v>
      </c>
      <c r="T409" t="e">
        <f>IF(Table13[[#This Row],[Category All]]="Category 2", "Yes",NA())</f>
        <v>#N/A</v>
      </c>
      <c r="U409" t="str">
        <f>IF(Table13[[#This Row],[Category All]]="Category 3", "Yes",NA())</f>
        <v>Yes</v>
      </c>
      <c r="V409">
        <f>SUM(1,(1/3)*(Table13[[#This Row],[Length]]-0.5),(1/3)*(Table13[[#This Row],[Diameter]]-0.4),(1/3)*(Table13[[#This Row],[Height]]-0.4)*Table13[[#This Row],[Whole_weight]]*0.5)</f>
        <v>0.99766666666666659</v>
      </c>
      <c r="W409" cm="1">
        <f t="array" ref="W4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0.99766666666666659</v>
      </c>
      <c r="X409" t="e">
        <f>IF(Table13[[#This Row],[Category All]]="Category 1",Table13[[#This Row],[Base Abalone Value]]*1.5,NA())</f>
        <v>#N/A</v>
      </c>
      <c r="Y409" t="e">
        <f>IF(Table13[[#This Row],[Category All]]="Category 2",Table13[[#This Row],[Base Abalone Value]]*0.8,NA())</f>
        <v>#N/A</v>
      </c>
      <c r="Z409">
        <f>IF(Table13[[#This Row],[Category All]]="Category 3",Table13[[#This Row],[Base Abalone Value]],NA())</f>
        <v>0.99766666666666659</v>
      </c>
      <c r="AA409" s="2">
        <f>IF(Table13[[#This Row],[Gender]]="M",Table13[[#This Row],[Whole_weight]],NA())</f>
        <v>0.9</v>
      </c>
      <c r="AB409" s="2" t="e">
        <f>IF(Table13[[#This Row],[Gender]]="F",Table13[[#This Row],[Whole_weight]],NA())</f>
        <v>#N/A</v>
      </c>
      <c r="AC409" s="2" t="e">
        <f>IF(Table13[[#This Row],[Gender]]="I",Table13[[#This Row],[Whole_weight]],NA())</f>
        <v>#N/A</v>
      </c>
      <c r="AD409" s="2">
        <f>IF(Table13[[#This Row],[Gender]]="M",Table13[[#This Row],[Diameter]],NA())</f>
        <v>0.45</v>
      </c>
      <c r="AE409" s="2" t="e">
        <f>IF(Table13[[#This Row],[Gender]]="F",Table13[[#This Row],[Diameter]],NA())</f>
        <v>#N/A</v>
      </c>
      <c r="AF409" s="2" t="e">
        <f>IF(Table13[[#This Row],[Gender]]="I",Table13[[#This Row],[Diameter]],NA())</f>
        <v>#N/A</v>
      </c>
    </row>
    <row r="410" spans="1:32" x14ac:dyDescent="0.2">
      <c r="A410">
        <v>1500</v>
      </c>
      <c r="B410" t="s">
        <v>15</v>
      </c>
      <c r="C410">
        <v>0.63</v>
      </c>
      <c r="D410">
        <v>0.47</v>
      </c>
      <c r="E410">
        <v>0.14499999999999999</v>
      </c>
      <c r="F410">
        <v>1.1005</v>
      </c>
      <c r="G410">
        <v>0.52</v>
      </c>
      <c r="H410">
        <v>0.26</v>
      </c>
      <c r="I410">
        <v>0.27600000000000002</v>
      </c>
      <c r="J410">
        <v>9</v>
      </c>
      <c r="K410">
        <v>6</v>
      </c>
      <c r="L410" t="s">
        <v>39</v>
      </c>
      <c r="M410" t="s">
        <v>40</v>
      </c>
      <c r="N410" t="s">
        <v>41</v>
      </c>
      <c r="O410">
        <v>7</v>
      </c>
      <c r="P410" t="s">
        <v>42</v>
      </c>
      <c r="Q410">
        <v>2.5</v>
      </c>
      <c r="R410" t="str" cm="1">
        <f t="array" ref="R4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10" t="e">
        <f>IF(Table13[[#This Row],[Category All]]="Category 1", "Yes",NA())</f>
        <v>#N/A</v>
      </c>
      <c r="T410" t="e">
        <f>IF(Table13[[#This Row],[Category All]]="Category 2", "Yes",NA())</f>
        <v>#N/A</v>
      </c>
      <c r="U410" t="str">
        <f>IF(Table13[[#This Row],[Category All]]="Category 3", "Yes",NA())</f>
        <v>Yes</v>
      </c>
      <c r="V410">
        <f>SUM(1,(1/3)*(Table13[[#This Row],[Length]]-0.5),(1/3)*(Table13[[#This Row],[Diameter]]-0.4),(1/3)*(Table13[[#This Row],[Height]]-0.4)*Table13[[#This Row],[Whole_weight]]*0.5)</f>
        <v>1.0198954166666669</v>
      </c>
      <c r="W410" cm="1">
        <f t="array" ref="W4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1.0198954166666669</v>
      </c>
      <c r="X410" t="e">
        <f>IF(Table13[[#This Row],[Category All]]="Category 1",Table13[[#This Row],[Base Abalone Value]]*1.5,NA())</f>
        <v>#N/A</v>
      </c>
      <c r="Y410" t="e">
        <f>IF(Table13[[#This Row],[Category All]]="Category 2",Table13[[#This Row],[Base Abalone Value]]*0.8,NA())</f>
        <v>#N/A</v>
      </c>
      <c r="Z410">
        <f>IF(Table13[[#This Row],[Category All]]="Category 3",Table13[[#This Row],[Base Abalone Value]],NA())</f>
        <v>1.0198954166666669</v>
      </c>
      <c r="AA410" s="2">
        <f>IF(Table13[[#This Row],[Gender]]="M",Table13[[#This Row],[Whole_weight]],NA())</f>
        <v>1.1005</v>
      </c>
      <c r="AB410" s="2" t="e">
        <f>IF(Table13[[#This Row],[Gender]]="F",Table13[[#This Row],[Whole_weight]],NA())</f>
        <v>#N/A</v>
      </c>
      <c r="AC410" s="2" t="e">
        <f>IF(Table13[[#This Row],[Gender]]="I",Table13[[#This Row],[Whole_weight]],NA())</f>
        <v>#N/A</v>
      </c>
      <c r="AD410" s="2">
        <f>IF(Table13[[#This Row],[Gender]]="M",Table13[[#This Row],[Diameter]],NA())</f>
        <v>0.47</v>
      </c>
      <c r="AE410" s="2" t="e">
        <f>IF(Table13[[#This Row],[Gender]]="F",Table13[[#This Row],[Diameter]],NA())</f>
        <v>#N/A</v>
      </c>
      <c r="AF410" s="2" t="e">
        <f>IF(Table13[[#This Row],[Gender]]="I",Table13[[#This Row],[Diameter]],NA())</f>
        <v>#N/A</v>
      </c>
    </row>
    <row r="411" spans="1:32" x14ac:dyDescent="0.2">
      <c r="A411">
        <v>2866</v>
      </c>
      <c r="B411" t="s">
        <v>11</v>
      </c>
      <c r="C411">
        <v>0.315</v>
      </c>
      <c r="D411">
        <v>0.23499999999999999</v>
      </c>
      <c r="E411">
        <v>7.4999999999999997E-2</v>
      </c>
      <c r="F411">
        <v>0.1285</v>
      </c>
      <c r="G411">
        <v>5.0999999999999997E-2</v>
      </c>
      <c r="H411">
        <v>2.8000000000000001E-2</v>
      </c>
      <c r="I411">
        <v>4.0500000000000001E-2</v>
      </c>
      <c r="J411">
        <v>4</v>
      </c>
      <c r="K411">
        <v>10</v>
      </c>
      <c r="L411" t="s">
        <v>16</v>
      </c>
      <c r="M411" t="s">
        <v>17</v>
      </c>
      <c r="N411" t="s">
        <v>18</v>
      </c>
      <c r="O411">
        <v>10</v>
      </c>
      <c r="P411" t="s">
        <v>38</v>
      </c>
      <c r="Q411">
        <v>24.1</v>
      </c>
      <c r="R411" t="str" cm="1">
        <f t="array" ref="R4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11" t="e">
        <f>IF(Table13[[#This Row],[Category All]]="Category 1", "Yes",NA())</f>
        <v>#N/A</v>
      </c>
      <c r="T411" t="str">
        <f>IF(Table13[[#This Row],[Category All]]="Category 2", "Yes",NA())</f>
        <v>Yes</v>
      </c>
      <c r="U411" t="e">
        <f>IF(Table13[[#This Row],[Category All]]="Category 3", "Yes",NA())</f>
        <v>#N/A</v>
      </c>
      <c r="V411">
        <f>SUM(1,(1/3)*(Table13[[#This Row],[Length]]-0.5),(1/3)*(Table13[[#This Row],[Diameter]]-0.4),(1/3)*(Table13[[#This Row],[Height]]-0.4)*Table13[[#This Row],[Whole_weight]]*0.5)</f>
        <v>0.87637291666666661</v>
      </c>
      <c r="W411" cm="1">
        <f t="array" ref="W4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0.70109833333333338</v>
      </c>
      <c r="X411" t="e">
        <f>IF(Table13[[#This Row],[Category All]]="Category 1",Table13[[#This Row],[Base Abalone Value]]*1.5,NA())</f>
        <v>#N/A</v>
      </c>
      <c r="Y411">
        <f>IF(Table13[[#This Row],[Category All]]="Category 2",Table13[[#This Row],[Base Abalone Value]]*0.8,NA())</f>
        <v>0.70109833333333338</v>
      </c>
      <c r="Z411" t="e">
        <f>IF(Table13[[#This Row],[Category All]]="Category 3",Table13[[#This Row],[Base Abalone Value]],NA())</f>
        <v>#N/A</v>
      </c>
      <c r="AA411" s="2" t="e">
        <f>IF(Table13[[#This Row],[Gender]]="M",Table13[[#This Row],[Whole_weight]],NA())</f>
        <v>#N/A</v>
      </c>
      <c r="AB411" s="2" t="e">
        <f>IF(Table13[[#This Row],[Gender]]="F",Table13[[#This Row],[Whole_weight]],NA())</f>
        <v>#N/A</v>
      </c>
      <c r="AC411" s="2">
        <f>IF(Table13[[#This Row],[Gender]]="I",Table13[[#This Row],[Whole_weight]],NA())</f>
        <v>0.1285</v>
      </c>
      <c r="AD411" s="2" t="e">
        <f>IF(Table13[[#This Row],[Gender]]="M",Table13[[#This Row],[Diameter]],NA())</f>
        <v>#N/A</v>
      </c>
      <c r="AE411" s="2" t="e">
        <f>IF(Table13[[#This Row],[Gender]]="F",Table13[[#This Row],[Diameter]],NA())</f>
        <v>#N/A</v>
      </c>
      <c r="AF411" s="2">
        <f>IF(Table13[[#This Row],[Gender]]="I",Table13[[#This Row],[Diameter]],NA())</f>
        <v>0.23499999999999999</v>
      </c>
    </row>
    <row r="412" spans="1:32" x14ac:dyDescent="0.2">
      <c r="A412">
        <v>1278</v>
      </c>
      <c r="B412" t="s">
        <v>11</v>
      </c>
      <c r="C412">
        <v>0.48</v>
      </c>
      <c r="D412">
        <v>0.36499999999999999</v>
      </c>
      <c r="E412">
        <v>0.1</v>
      </c>
      <c r="F412">
        <v>0.46100000000000002</v>
      </c>
      <c r="G412">
        <v>0.2205</v>
      </c>
      <c r="H412">
        <v>8.3500000000000005E-2</v>
      </c>
      <c r="I412">
        <v>0.13500000000000001</v>
      </c>
      <c r="J412">
        <v>8</v>
      </c>
      <c r="K412">
        <v>11</v>
      </c>
      <c r="L412" t="s">
        <v>5</v>
      </c>
      <c r="M412" t="s">
        <v>6</v>
      </c>
      <c r="N412" t="s">
        <v>3</v>
      </c>
      <c r="O412">
        <v>9</v>
      </c>
      <c r="P412" t="s">
        <v>46</v>
      </c>
      <c r="Q412">
        <v>1.9</v>
      </c>
      <c r="R412" t="str" cm="1">
        <f t="array" ref="R4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12" t="e">
        <f>IF(Table13[[#This Row],[Category All]]="Category 1", "Yes",NA())</f>
        <v>#N/A</v>
      </c>
      <c r="T412" t="str">
        <f>IF(Table13[[#This Row],[Category All]]="Category 2", "Yes",NA())</f>
        <v>Yes</v>
      </c>
      <c r="U412" t="e">
        <f>IF(Table13[[#This Row],[Category All]]="Category 3", "Yes",NA())</f>
        <v>#N/A</v>
      </c>
      <c r="V412">
        <f>SUM(1,(1/3)*(Table13[[#This Row],[Length]]-0.5),(1/3)*(Table13[[#This Row],[Diameter]]-0.4),(1/3)*(Table13[[#This Row],[Height]]-0.4)*Table13[[#This Row],[Whole_weight]]*0.5)</f>
        <v>0.95861666666666656</v>
      </c>
      <c r="W412" cm="1">
        <f t="array" ref="W4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0.76689333333333332</v>
      </c>
      <c r="X412" t="e">
        <f>IF(Table13[[#This Row],[Category All]]="Category 1",Table13[[#This Row],[Base Abalone Value]]*1.5,NA())</f>
        <v>#N/A</v>
      </c>
      <c r="Y412">
        <f>IF(Table13[[#This Row],[Category All]]="Category 2",Table13[[#This Row],[Base Abalone Value]]*0.8,NA())</f>
        <v>0.76689333333333332</v>
      </c>
      <c r="Z412" t="e">
        <f>IF(Table13[[#This Row],[Category All]]="Category 3",Table13[[#This Row],[Base Abalone Value]],NA())</f>
        <v>#N/A</v>
      </c>
      <c r="AA412" s="2" t="e">
        <f>IF(Table13[[#This Row],[Gender]]="M",Table13[[#This Row],[Whole_weight]],NA())</f>
        <v>#N/A</v>
      </c>
      <c r="AB412" s="2" t="e">
        <f>IF(Table13[[#This Row],[Gender]]="F",Table13[[#This Row],[Whole_weight]],NA())</f>
        <v>#N/A</v>
      </c>
      <c r="AC412" s="2">
        <f>IF(Table13[[#This Row],[Gender]]="I",Table13[[#This Row],[Whole_weight]],NA())</f>
        <v>0.46100000000000002</v>
      </c>
      <c r="AD412" s="2" t="e">
        <f>IF(Table13[[#This Row],[Gender]]="M",Table13[[#This Row],[Diameter]],NA())</f>
        <v>#N/A</v>
      </c>
      <c r="AE412" s="2" t="e">
        <f>IF(Table13[[#This Row],[Gender]]="F",Table13[[#This Row],[Diameter]],NA())</f>
        <v>#N/A</v>
      </c>
      <c r="AF412" s="2">
        <f>IF(Table13[[#This Row],[Gender]]="I",Table13[[#This Row],[Diameter]],NA())</f>
        <v>0.36499999999999999</v>
      </c>
    </row>
    <row r="413" spans="1:32" x14ac:dyDescent="0.2">
      <c r="A413">
        <v>3150</v>
      </c>
      <c r="B413" t="s">
        <v>0</v>
      </c>
      <c r="C413">
        <v>0.7</v>
      </c>
      <c r="D413">
        <v>0.54</v>
      </c>
      <c r="E413">
        <v>0.215</v>
      </c>
      <c r="F413">
        <v>1.978</v>
      </c>
      <c r="G413">
        <v>0.66749999999999998</v>
      </c>
      <c r="H413">
        <v>0.3125</v>
      </c>
      <c r="I413">
        <v>0.71</v>
      </c>
      <c r="J413">
        <v>24</v>
      </c>
      <c r="K413">
        <v>10</v>
      </c>
      <c r="L413" t="s">
        <v>16</v>
      </c>
      <c r="M413" t="s">
        <v>17</v>
      </c>
      <c r="N413" t="s">
        <v>18</v>
      </c>
      <c r="O413">
        <v>9</v>
      </c>
      <c r="P413" t="s">
        <v>46</v>
      </c>
      <c r="Q413">
        <v>1.9</v>
      </c>
      <c r="R413" t="str" cm="1">
        <f t="array" ref="R4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13" t="e">
        <f>IF(Table13[[#This Row],[Category All]]="Category 1", "Yes",NA())</f>
        <v>#N/A</v>
      </c>
      <c r="T413" t="str">
        <f>IF(Table13[[#This Row],[Category All]]="Category 2", "Yes",NA())</f>
        <v>Yes</v>
      </c>
      <c r="U413" t="e">
        <f>IF(Table13[[#This Row],[Category All]]="Category 3", "Yes",NA())</f>
        <v>#N/A</v>
      </c>
      <c r="V413">
        <f>SUM(1,(1/3)*(Table13[[#This Row],[Length]]-0.5),(1/3)*(Table13[[#This Row],[Diameter]]-0.4),(1/3)*(Table13[[#This Row],[Height]]-0.4)*Table13[[#This Row],[Whole_weight]]*0.5)</f>
        <v>1.0523449999999999</v>
      </c>
      <c r="W413" cm="1">
        <f t="array" ref="W4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0.84187599999999996</v>
      </c>
      <c r="X413" t="e">
        <f>IF(Table13[[#This Row],[Category All]]="Category 1",Table13[[#This Row],[Base Abalone Value]]*1.5,NA())</f>
        <v>#N/A</v>
      </c>
      <c r="Y413">
        <f>IF(Table13[[#This Row],[Category All]]="Category 2",Table13[[#This Row],[Base Abalone Value]]*0.8,NA())</f>
        <v>0.84187599999999996</v>
      </c>
      <c r="Z413" t="e">
        <f>IF(Table13[[#This Row],[Category All]]="Category 3",Table13[[#This Row],[Base Abalone Value]],NA())</f>
        <v>#N/A</v>
      </c>
      <c r="AA413" s="2" t="e">
        <f>IF(Table13[[#This Row],[Gender]]="M",Table13[[#This Row],[Whole_weight]],NA())</f>
        <v>#N/A</v>
      </c>
      <c r="AB413" s="2">
        <f>IF(Table13[[#This Row],[Gender]]="F",Table13[[#This Row],[Whole_weight]],NA())</f>
        <v>1.978</v>
      </c>
      <c r="AC413" s="2" t="e">
        <f>IF(Table13[[#This Row],[Gender]]="I",Table13[[#This Row],[Whole_weight]],NA())</f>
        <v>#N/A</v>
      </c>
      <c r="AD413" s="2" t="e">
        <f>IF(Table13[[#This Row],[Gender]]="M",Table13[[#This Row],[Diameter]],NA())</f>
        <v>#N/A</v>
      </c>
      <c r="AE413" s="2">
        <f>IF(Table13[[#This Row],[Gender]]="F",Table13[[#This Row],[Diameter]],NA())</f>
        <v>0.54</v>
      </c>
      <c r="AF413" s="2" t="e">
        <f>IF(Table13[[#This Row],[Gender]]="I",Table13[[#This Row],[Diameter]],NA())</f>
        <v>#N/A</v>
      </c>
    </row>
    <row r="414" spans="1:32" x14ac:dyDescent="0.2">
      <c r="A414">
        <v>1933</v>
      </c>
      <c r="B414" t="s">
        <v>0</v>
      </c>
      <c r="C414">
        <v>0.62</v>
      </c>
      <c r="D414">
        <v>0.495</v>
      </c>
      <c r="E414">
        <v>0.17</v>
      </c>
      <c r="F414">
        <v>1.0620000000000001</v>
      </c>
      <c r="G414">
        <v>0.372</v>
      </c>
      <c r="H414">
        <v>0.21299999999999999</v>
      </c>
      <c r="I414">
        <v>0.34</v>
      </c>
      <c r="J414">
        <v>11</v>
      </c>
      <c r="K414">
        <v>3</v>
      </c>
      <c r="L414" t="s">
        <v>43</v>
      </c>
      <c r="M414" t="s">
        <v>44</v>
      </c>
      <c r="N414" t="s">
        <v>45</v>
      </c>
      <c r="O414">
        <v>3</v>
      </c>
      <c r="P414" t="s">
        <v>48</v>
      </c>
      <c r="Q414">
        <v>3.6</v>
      </c>
      <c r="R414" t="str" cm="1">
        <f t="array" ref="R4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14" t="e">
        <f>IF(Table13[[#This Row],[Category All]]="Category 1", "Yes",NA())</f>
        <v>#N/A</v>
      </c>
      <c r="T414" t="str">
        <f>IF(Table13[[#This Row],[Category All]]="Category 2", "Yes",NA())</f>
        <v>Yes</v>
      </c>
      <c r="U414" t="e">
        <f>IF(Table13[[#This Row],[Category All]]="Category 3", "Yes",NA())</f>
        <v>#N/A</v>
      </c>
      <c r="V414">
        <f>SUM(1,(1/3)*(Table13[[#This Row],[Length]]-0.5),(1/3)*(Table13[[#This Row],[Diameter]]-0.4),(1/3)*(Table13[[#This Row],[Height]]-0.4)*Table13[[#This Row],[Whole_weight]]*0.5)</f>
        <v>1.0309566666666667</v>
      </c>
      <c r="W414" cm="1">
        <f t="array" ref="W4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0.82476533333333346</v>
      </c>
      <c r="X414" t="e">
        <f>IF(Table13[[#This Row],[Category All]]="Category 1",Table13[[#This Row],[Base Abalone Value]]*1.5,NA())</f>
        <v>#N/A</v>
      </c>
      <c r="Y414">
        <f>IF(Table13[[#This Row],[Category All]]="Category 2",Table13[[#This Row],[Base Abalone Value]]*0.8,NA())</f>
        <v>0.82476533333333346</v>
      </c>
      <c r="Z414" t="e">
        <f>IF(Table13[[#This Row],[Category All]]="Category 3",Table13[[#This Row],[Base Abalone Value]],NA())</f>
        <v>#N/A</v>
      </c>
      <c r="AA414" s="2" t="e">
        <f>IF(Table13[[#This Row],[Gender]]="M",Table13[[#This Row],[Whole_weight]],NA())</f>
        <v>#N/A</v>
      </c>
      <c r="AB414" s="2">
        <f>IF(Table13[[#This Row],[Gender]]="F",Table13[[#This Row],[Whole_weight]],NA())</f>
        <v>1.0620000000000001</v>
      </c>
      <c r="AC414" s="2" t="e">
        <f>IF(Table13[[#This Row],[Gender]]="I",Table13[[#This Row],[Whole_weight]],NA())</f>
        <v>#N/A</v>
      </c>
      <c r="AD414" s="2" t="e">
        <f>IF(Table13[[#This Row],[Gender]]="M",Table13[[#This Row],[Diameter]],NA())</f>
        <v>#N/A</v>
      </c>
      <c r="AE414" s="2">
        <f>IF(Table13[[#This Row],[Gender]]="F",Table13[[#This Row],[Diameter]],NA())</f>
        <v>0.495</v>
      </c>
      <c r="AF414" s="2" t="e">
        <f>IF(Table13[[#This Row],[Gender]]="I",Table13[[#This Row],[Diameter]],NA())</f>
        <v>#N/A</v>
      </c>
    </row>
    <row r="415" spans="1:32" x14ac:dyDescent="0.2">
      <c r="A415">
        <v>3800</v>
      </c>
      <c r="B415" t="s">
        <v>0</v>
      </c>
      <c r="C415">
        <v>0.70499999999999996</v>
      </c>
      <c r="D415">
        <v>0.56000000000000005</v>
      </c>
      <c r="E415">
        <v>0.17</v>
      </c>
      <c r="F415">
        <v>1.4575</v>
      </c>
      <c r="G415">
        <v>0.60699999999999998</v>
      </c>
      <c r="H415">
        <v>0.318</v>
      </c>
      <c r="I415">
        <v>0.44</v>
      </c>
      <c r="J415">
        <v>11</v>
      </c>
      <c r="K415">
        <v>9</v>
      </c>
      <c r="L415" t="s">
        <v>20</v>
      </c>
      <c r="M415" t="s">
        <v>21</v>
      </c>
      <c r="N415" t="s">
        <v>22</v>
      </c>
      <c r="O415">
        <v>8</v>
      </c>
      <c r="P415" t="s">
        <v>19</v>
      </c>
      <c r="Q415">
        <v>12.3</v>
      </c>
      <c r="R415" t="str" cm="1">
        <f t="array" ref="R4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15" t="e">
        <f>IF(Table13[[#This Row],[Category All]]="Category 1", "Yes",NA())</f>
        <v>#N/A</v>
      </c>
      <c r="T415" t="e">
        <f>IF(Table13[[#This Row],[Category All]]="Category 2", "Yes",NA())</f>
        <v>#N/A</v>
      </c>
      <c r="U415" t="str">
        <f>IF(Table13[[#This Row],[Category All]]="Category 3", "Yes",NA())</f>
        <v>Yes</v>
      </c>
      <c r="V415">
        <f>SUM(1,(1/3)*(Table13[[#This Row],[Length]]-0.5),(1/3)*(Table13[[#This Row],[Diameter]]-0.4),(1/3)*(Table13[[#This Row],[Height]]-0.4)*Table13[[#This Row],[Whole_weight]]*0.5)</f>
        <v>1.0657958333333333</v>
      </c>
      <c r="W415" cm="1">
        <f t="array" ref="W4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1.0657958333333333</v>
      </c>
      <c r="X415" t="e">
        <f>IF(Table13[[#This Row],[Category All]]="Category 1",Table13[[#This Row],[Base Abalone Value]]*1.5,NA())</f>
        <v>#N/A</v>
      </c>
      <c r="Y415" t="e">
        <f>IF(Table13[[#This Row],[Category All]]="Category 2",Table13[[#This Row],[Base Abalone Value]]*0.8,NA())</f>
        <v>#N/A</v>
      </c>
      <c r="Z415">
        <f>IF(Table13[[#This Row],[Category All]]="Category 3",Table13[[#This Row],[Base Abalone Value]],NA())</f>
        <v>1.0657958333333333</v>
      </c>
      <c r="AA415" s="2" t="e">
        <f>IF(Table13[[#This Row],[Gender]]="M",Table13[[#This Row],[Whole_weight]],NA())</f>
        <v>#N/A</v>
      </c>
      <c r="AB415" s="2">
        <f>IF(Table13[[#This Row],[Gender]]="F",Table13[[#This Row],[Whole_weight]],NA())</f>
        <v>1.4575</v>
      </c>
      <c r="AC415" s="2" t="e">
        <f>IF(Table13[[#This Row],[Gender]]="I",Table13[[#This Row],[Whole_weight]],NA())</f>
        <v>#N/A</v>
      </c>
      <c r="AD415" s="2" t="e">
        <f>IF(Table13[[#This Row],[Gender]]="M",Table13[[#This Row],[Diameter]],NA())</f>
        <v>#N/A</v>
      </c>
      <c r="AE415" s="2">
        <f>IF(Table13[[#This Row],[Gender]]="F",Table13[[#This Row],[Diameter]],NA())</f>
        <v>0.56000000000000005</v>
      </c>
      <c r="AF415" s="2" t="e">
        <f>IF(Table13[[#This Row],[Gender]]="I",Table13[[#This Row],[Diameter]],NA())</f>
        <v>#N/A</v>
      </c>
    </row>
    <row r="416" spans="1:32" x14ac:dyDescent="0.2">
      <c r="A416">
        <v>840</v>
      </c>
      <c r="B416" t="s">
        <v>11</v>
      </c>
      <c r="C416">
        <v>0.48499999999999999</v>
      </c>
      <c r="D416">
        <v>0.35499999999999998</v>
      </c>
      <c r="E416">
        <v>0.105</v>
      </c>
      <c r="F416">
        <v>0.498</v>
      </c>
      <c r="G416">
        <v>0.2175</v>
      </c>
      <c r="H416">
        <v>9.6000000000000002E-2</v>
      </c>
      <c r="I416">
        <v>0.1525</v>
      </c>
      <c r="J416">
        <v>9</v>
      </c>
      <c r="K416">
        <v>7</v>
      </c>
      <c r="L416" t="s">
        <v>35</v>
      </c>
      <c r="M416" t="s">
        <v>36</v>
      </c>
      <c r="N416" t="s">
        <v>37</v>
      </c>
      <c r="O416">
        <v>9</v>
      </c>
      <c r="P416" t="s">
        <v>46</v>
      </c>
      <c r="Q416">
        <v>1.9</v>
      </c>
      <c r="R416" t="str" cm="1">
        <f t="array" ref="R4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16" t="e">
        <f>IF(Table13[[#This Row],[Category All]]="Category 1", "Yes",NA())</f>
        <v>#N/A</v>
      </c>
      <c r="T416" t="str">
        <f>IF(Table13[[#This Row],[Category All]]="Category 2", "Yes",NA())</f>
        <v>Yes</v>
      </c>
      <c r="U416" t="e">
        <f>IF(Table13[[#This Row],[Category All]]="Category 3", "Yes",NA())</f>
        <v>#N/A</v>
      </c>
      <c r="V416">
        <f>SUM(1,(1/3)*(Table13[[#This Row],[Length]]-0.5),(1/3)*(Table13[[#This Row],[Diameter]]-0.4),(1/3)*(Table13[[#This Row],[Height]]-0.4)*Table13[[#This Row],[Whole_weight]]*0.5)</f>
        <v>0.955515</v>
      </c>
      <c r="W416" cm="1">
        <f t="array" ref="W4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0.76441200000000009</v>
      </c>
      <c r="X416" t="e">
        <f>IF(Table13[[#This Row],[Category All]]="Category 1",Table13[[#This Row],[Base Abalone Value]]*1.5,NA())</f>
        <v>#N/A</v>
      </c>
      <c r="Y416">
        <f>IF(Table13[[#This Row],[Category All]]="Category 2",Table13[[#This Row],[Base Abalone Value]]*0.8,NA())</f>
        <v>0.76441200000000009</v>
      </c>
      <c r="Z416" t="e">
        <f>IF(Table13[[#This Row],[Category All]]="Category 3",Table13[[#This Row],[Base Abalone Value]],NA())</f>
        <v>#N/A</v>
      </c>
      <c r="AA416" s="2" t="e">
        <f>IF(Table13[[#This Row],[Gender]]="M",Table13[[#This Row],[Whole_weight]],NA())</f>
        <v>#N/A</v>
      </c>
      <c r="AB416" s="2" t="e">
        <f>IF(Table13[[#This Row],[Gender]]="F",Table13[[#This Row],[Whole_weight]],NA())</f>
        <v>#N/A</v>
      </c>
      <c r="AC416" s="2">
        <f>IF(Table13[[#This Row],[Gender]]="I",Table13[[#This Row],[Whole_weight]],NA())</f>
        <v>0.498</v>
      </c>
      <c r="AD416" s="2" t="e">
        <f>IF(Table13[[#This Row],[Gender]]="M",Table13[[#This Row],[Diameter]],NA())</f>
        <v>#N/A</v>
      </c>
      <c r="AE416" s="2" t="e">
        <f>IF(Table13[[#This Row],[Gender]]="F",Table13[[#This Row],[Diameter]],NA())</f>
        <v>#N/A</v>
      </c>
      <c r="AF416" s="2">
        <f>IF(Table13[[#This Row],[Gender]]="I",Table13[[#This Row],[Diameter]],NA())</f>
        <v>0.35499999999999998</v>
      </c>
    </row>
    <row r="417" spans="1:32" x14ac:dyDescent="0.2">
      <c r="A417">
        <v>2363</v>
      </c>
      <c r="B417" t="s">
        <v>0</v>
      </c>
      <c r="C417">
        <v>0.66</v>
      </c>
      <c r="D417">
        <v>0.52500000000000002</v>
      </c>
      <c r="E417">
        <v>0.20499999999999999</v>
      </c>
      <c r="F417">
        <v>1.3665</v>
      </c>
      <c r="G417">
        <v>0.50049999999999994</v>
      </c>
      <c r="H417">
        <v>0.29099999999999998</v>
      </c>
      <c r="I417">
        <v>0.41</v>
      </c>
      <c r="J417">
        <v>18</v>
      </c>
      <c r="K417">
        <v>15</v>
      </c>
      <c r="L417" t="s">
        <v>49</v>
      </c>
      <c r="M417" t="s">
        <v>50</v>
      </c>
      <c r="N417" t="s">
        <v>3</v>
      </c>
      <c r="O417">
        <v>4</v>
      </c>
      <c r="P417" t="s">
        <v>10</v>
      </c>
      <c r="Q417">
        <v>6.1</v>
      </c>
      <c r="R417" t="str" cm="1">
        <f t="array" ref="R4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17" t="e">
        <f>IF(Table13[[#This Row],[Category All]]="Category 1", "Yes",NA())</f>
        <v>#N/A</v>
      </c>
      <c r="T417" t="e">
        <f>IF(Table13[[#This Row],[Category All]]="Category 2", "Yes",NA())</f>
        <v>#N/A</v>
      </c>
      <c r="U417" t="str">
        <f>IF(Table13[[#This Row],[Category All]]="Category 3", "Yes",NA())</f>
        <v>Yes</v>
      </c>
      <c r="V417">
        <f>SUM(1,(1/3)*(Table13[[#This Row],[Length]]-0.5),(1/3)*(Table13[[#This Row],[Diameter]]-0.4),(1/3)*(Table13[[#This Row],[Height]]-0.4)*Table13[[#This Row],[Whole_weight]]*0.5)</f>
        <v>1.05058875</v>
      </c>
      <c r="W417" cm="1">
        <f t="array" ref="W4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1.05058875</v>
      </c>
      <c r="X417" t="e">
        <f>IF(Table13[[#This Row],[Category All]]="Category 1",Table13[[#This Row],[Base Abalone Value]]*1.5,NA())</f>
        <v>#N/A</v>
      </c>
      <c r="Y417" t="e">
        <f>IF(Table13[[#This Row],[Category All]]="Category 2",Table13[[#This Row],[Base Abalone Value]]*0.8,NA())</f>
        <v>#N/A</v>
      </c>
      <c r="Z417">
        <f>IF(Table13[[#This Row],[Category All]]="Category 3",Table13[[#This Row],[Base Abalone Value]],NA())</f>
        <v>1.05058875</v>
      </c>
      <c r="AA417" s="2" t="e">
        <f>IF(Table13[[#This Row],[Gender]]="M",Table13[[#This Row],[Whole_weight]],NA())</f>
        <v>#N/A</v>
      </c>
      <c r="AB417" s="2">
        <f>IF(Table13[[#This Row],[Gender]]="F",Table13[[#This Row],[Whole_weight]],NA())</f>
        <v>1.3665</v>
      </c>
      <c r="AC417" s="2" t="e">
        <f>IF(Table13[[#This Row],[Gender]]="I",Table13[[#This Row],[Whole_weight]],NA())</f>
        <v>#N/A</v>
      </c>
      <c r="AD417" s="2" t="e">
        <f>IF(Table13[[#This Row],[Gender]]="M",Table13[[#This Row],[Diameter]],NA())</f>
        <v>#N/A</v>
      </c>
      <c r="AE417" s="2">
        <f>IF(Table13[[#This Row],[Gender]]="F",Table13[[#This Row],[Diameter]],NA())</f>
        <v>0.52500000000000002</v>
      </c>
      <c r="AF417" s="2" t="e">
        <f>IF(Table13[[#This Row],[Gender]]="I",Table13[[#This Row],[Diameter]],NA())</f>
        <v>#N/A</v>
      </c>
    </row>
    <row r="418" spans="1:32" x14ac:dyDescent="0.2">
      <c r="A418">
        <v>2828</v>
      </c>
      <c r="B418" t="s">
        <v>11</v>
      </c>
      <c r="C418">
        <v>0.5</v>
      </c>
      <c r="D418">
        <v>0.375</v>
      </c>
      <c r="E418">
        <v>0.12</v>
      </c>
      <c r="F418">
        <v>0.52900000000000003</v>
      </c>
      <c r="G418">
        <v>0.2235</v>
      </c>
      <c r="H418">
        <v>0.123</v>
      </c>
      <c r="I418">
        <v>0.16</v>
      </c>
      <c r="J418">
        <v>8</v>
      </c>
      <c r="K418">
        <v>15</v>
      </c>
      <c r="L418" t="s">
        <v>49</v>
      </c>
      <c r="M418" t="s">
        <v>50</v>
      </c>
      <c r="N418" t="s">
        <v>3</v>
      </c>
      <c r="O418">
        <v>5</v>
      </c>
      <c r="P418" t="s">
        <v>14</v>
      </c>
      <c r="Q418">
        <v>12.8</v>
      </c>
      <c r="R418" t="str" cm="1">
        <f t="array" ref="R4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18" t="e">
        <f>IF(Table13[[#This Row],[Category All]]="Category 1", "Yes",NA())</f>
        <v>#N/A</v>
      </c>
      <c r="T418" t="str">
        <f>IF(Table13[[#This Row],[Category All]]="Category 2", "Yes",NA())</f>
        <v>Yes</v>
      </c>
      <c r="U418" t="e">
        <f>IF(Table13[[#This Row],[Category All]]="Category 3", "Yes",NA())</f>
        <v>#N/A</v>
      </c>
      <c r="V418">
        <f>SUM(1,(1/3)*(Table13[[#This Row],[Length]]-0.5),(1/3)*(Table13[[#This Row],[Diameter]]-0.4),(1/3)*(Table13[[#This Row],[Height]]-0.4)*Table13[[#This Row],[Whole_weight]]*0.5)</f>
        <v>0.96698000000000006</v>
      </c>
      <c r="W418" cm="1">
        <f t="array" ref="W4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0.77358400000000005</v>
      </c>
      <c r="X418" t="e">
        <f>IF(Table13[[#This Row],[Category All]]="Category 1",Table13[[#This Row],[Base Abalone Value]]*1.5,NA())</f>
        <v>#N/A</v>
      </c>
      <c r="Y418">
        <f>IF(Table13[[#This Row],[Category All]]="Category 2",Table13[[#This Row],[Base Abalone Value]]*0.8,NA())</f>
        <v>0.77358400000000005</v>
      </c>
      <c r="Z418" t="e">
        <f>IF(Table13[[#This Row],[Category All]]="Category 3",Table13[[#This Row],[Base Abalone Value]],NA())</f>
        <v>#N/A</v>
      </c>
      <c r="AA418" s="2" t="e">
        <f>IF(Table13[[#This Row],[Gender]]="M",Table13[[#This Row],[Whole_weight]],NA())</f>
        <v>#N/A</v>
      </c>
      <c r="AB418" s="2" t="e">
        <f>IF(Table13[[#This Row],[Gender]]="F",Table13[[#This Row],[Whole_weight]],NA())</f>
        <v>#N/A</v>
      </c>
      <c r="AC418" s="2">
        <f>IF(Table13[[#This Row],[Gender]]="I",Table13[[#This Row],[Whole_weight]],NA())</f>
        <v>0.52900000000000003</v>
      </c>
      <c r="AD418" s="2" t="e">
        <f>IF(Table13[[#This Row],[Gender]]="M",Table13[[#This Row],[Diameter]],NA())</f>
        <v>#N/A</v>
      </c>
      <c r="AE418" s="2" t="e">
        <f>IF(Table13[[#This Row],[Gender]]="F",Table13[[#This Row],[Diameter]],NA())</f>
        <v>#N/A</v>
      </c>
      <c r="AF418" s="2">
        <f>IF(Table13[[#This Row],[Gender]]="I",Table13[[#This Row],[Diameter]],NA())</f>
        <v>0.375</v>
      </c>
    </row>
    <row r="419" spans="1:32" x14ac:dyDescent="0.2">
      <c r="A419">
        <v>2383</v>
      </c>
      <c r="B419" t="s">
        <v>11</v>
      </c>
      <c r="C419">
        <v>0.52500000000000002</v>
      </c>
      <c r="D419">
        <v>0.43</v>
      </c>
      <c r="E419">
        <v>0.15</v>
      </c>
      <c r="F419">
        <v>0.73650000000000004</v>
      </c>
      <c r="G419">
        <v>0.32250000000000001</v>
      </c>
      <c r="H419">
        <v>0.161</v>
      </c>
      <c r="I419">
        <v>0.215</v>
      </c>
      <c r="J419">
        <v>11</v>
      </c>
      <c r="K419">
        <v>8</v>
      </c>
      <c r="L419" t="s">
        <v>29</v>
      </c>
      <c r="M419" t="s">
        <v>30</v>
      </c>
      <c r="N419" t="s">
        <v>31</v>
      </c>
      <c r="O419">
        <v>8</v>
      </c>
      <c r="P419" t="s">
        <v>19</v>
      </c>
      <c r="Q419">
        <v>12.3</v>
      </c>
      <c r="R419" t="str" cm="1">
        <f t="array" ref="R4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19" t="e">
        <f>IF(Table13[[#This Row],[Category All]]="Category 1", "Yes",NA())</f>
        <v>#N/A</v>
      </c>
      <c r="T419" t="str">
        <f>IF(Table13[[#This Row],[Category All]]="Category 2", "Yes",NA())</f>
        <v>Yes</v>
      </c>
      <c r="U419" t="e">
        <f>IF(Table13[[#This Row],[Category All]]="Category 3", "Yes",NA())</f>
        <v>#N/A</v>
      </c>
      <c r="V419">
        <f>SUM(1,(1/3)*(Table13[[#This Row],[Length]]-0.5),(1/3)*(Table13[[#This Row],[Diameter]]-0.4),(1/3)*(Table13[[#This Row],[Height]]-0.4)*Table13[[#This Row],[Whole_weight]]*0.5)</f>
        <v>0.98764583333333333</v>
      </c>
      <c r="W419" cm="1">
        <f t="array" ref="W4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0.79011666666666669</v>
      </c>
      <c r="X419" t="e">
        <f>IF(Table13[[#This Row],[Category All]]="Category 1",Table13[[#This Row],[Base Abalone Value]]*1.5,NA())</f>
        <v>#N/A</v>
      </c>
      <c r="Y419">
        <f>IF(Table13[[#This Row],[Category All]]="Category 2",Table13[[#This Row],[Base Abalone Value]]*0.8,NA())</f>
        <v>0.79011666666666669</v>
      </c>
      <c r="Z419" t="e">
        <f>IF(Table13[[#This Row],[Category All]]="Category 3",Table13[[#This Row],[Base Abalone Value]],NA())</f>
        <v>#N/A</v>
      </c>
      <c r="AA419" s="2" t="e">
        <f>IF(Table13[[#This Row],[Gender]]="M",Table13[[#This Row],[Whole_weight]],NA())</f>
        <v>#N/A</v>
      </c>
      <c r="AB419" s="2" t="e">
        <f>IF(Table13[[#This Row],[Gender]]="F",Table13[[#This Row],[Whole_weight]],NA())</f>
        <v>#N/A</v>
      </c>
      <c r="AC419" s="2">
        <f>IF(Table13[[#This Row],[Gender]]="I",Table13[[#This Row],[Whole_weight]],NA())</f>
        <v>0.73650000000000004</v>
      </c>
      <c r="AD419" s="2" t="e">
        <f>IF(Table13[[#This Row],[Gender]]="M",Table13[[#This Row],[Diameter]],NA())</f>
        <v>#N/A</v>
      </c>
      <c r="AE419" s="2" t="e">
        <f>IF(Table13[[#This Row],[Gender]]="F",Table13[[#This Row],[Diameter]],NA())</f>
        <v>#N/A</v>
      </c>
      <c r="AF419" s="2">
        <f>IF(Table13[[#This Row],[Gender]]="I",Table13[[#This Row],[Diameter]],NA())</f>
        <v>0.43</v>
      </c>
    </row>
    <row r="420" spans="1:32" x14ac:dyDescent="0.2">
      <c r="A420">
        <v>3521</v>
      </c>
      <c r="B420" t="s">
        <v>0</v>
      </c>
      <c r="C420">
        <v>0.72</v>
      </c>
      <c r="D420">
        <v>0.54500000000000004</v>
      </c>
      <c r="E420">
        <v>0.185</v>
      </c>
      <c r="F420">
        <v>1.7184999999999999</v>
      </c>
      <c r="G420">
        <v>0.79249999999999998</v>
      </c>
      <c r="H420">
        <v>0.40100000000000002</v>
      </c>
      <c r="I420">
        <v>0.46800000000000003</v>
      </c>
      <c r="J420">
        <v>11</v>
      </c>
      <c r="K420">
        <v>12</v>
      </c>
      <c r="L420" t="s">
        <v>1</v>
      </c>
      <c r="M420" t="s">
        <v>2</v>
      </c>
      <c r="N420" t="s">
        <v>3</v>
      </c>
      <c r="O420">
        <v>6</v>
      </c>
      <c r="P420" t="s">
        <v>47</v>
      </c>
      <c r="Q420">
        <v>14.1</v>
      </c>
      <c r="R420" t="str" cm="1">
        <f t="array" ref="R4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20" t="e">
        <f>IF(Table13[[#This Row],[Category All]]="Category 1", "Yes",NA())</f>
        <v>#N/A</v>
      </c>
      <c r="T420" t="e">
        <f>IF(Table13[[#This Row],[Category All]]="Category 2", "Yes",NA())</f>
        <v>#N/A</v>
      </c>
      <c r="U420" t="str">
        <f>IF(Table13[[#This Row],[Category All]]="Category 3", "Yes",NA())</f>
        <v>Yes</v>
      </c>
      <c r="V420">
        <f>SUM(1,(1/3)*(Table13[[#This Row],[Length]]-0.5),(1/3)*(Table13[[#This Row],[Diameter]]-0.4),(1/3)*(Table13[[#This Row],[Height]]-0.4)*Table13[[#This Row],[Whole_weight]]*0.5)</f>
        <v>1.0600870833333333</v>
      </c>
      <c r="W420" cm="1">
        <f t="array" ref="W4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1.0600870833333333</v>
      </c>
      <c r="X420" t="e">
        <f>IF(Table13[[#This Row],[Category All]]="Category 1",Table13[[#This Row],[Base Abalone Value]]*1.5,NA())</f>
        <v>#N/A</v>
      </c>
      <c r="Y420" t="e">
        <f>IF(Table13[[#This Row],[Category All]]="Category 2",Table13[[#This Row],[Base Abalone Value]]*0.8,NA())</f>
        <v>#N/A</v>
      </c>
      <c r="Z420">
        <f>IF(Table13[[#This Row],[Category All]]="Category 3",Table13[[#This Row],[Base Abalone Value]],NA())</f>
        <v>1.0600870833333333</v>
      </c>
      <c r="AA420" s="2" t="e">
        <f>IF(Table13[[#This Row],[Gender]]="M",Table13[[#This Row],[Whole_weight]],NA())</f>
        <v>#N/A</v>
      </c>
      <c r="AB420" s="2">
        <f>IF(Table13[[#This Row],[Gender]]="F",Table13[[#This Row],[Whole_weight]],NA())</f>
        <v>1.7184999999999999</v>
      </c>
      <c r="AC420" s="2" t="e">
        <f>IF(Table13[[#This Row],[Gender]]="I",Table13[[#This Row],[Whole_weight]],NA())</f>
        <v>#N/A</v>
      </c>
      <c r="AD420" s="2" t="e">
        <f>IF(Table13[[#This Row],[Gender]]="M",Table13[[#This Row],[Diameter]],NA())</f>
        <v>#N/A</v>
      </c>
      <c r="AE420" s="2">
        <f>IF(Table13[[#This Row],[Gender]]="F",Table13[[#This Row],[Diameter]],NA())</f>
        <v>0.54500000000000004</v>
      </c>
      <c r="AF420" s="2" t="e">
        <f>IF(Table13[[#This Row],[Gender]]="I",Table13[[#This Row],[Diameter]],NA())</f>
        <v>#N/A</v>
      </c>
    </row>
    <row r="421" spans="1:32" x14ac:dyDescent="0.2">
      <c r="A421">
        <v>3090</v>
      </c>
      <c r="B421" t="s">
        <v>15</v>
      </c>
      <c r="C421">
        <v>0.45500000000000002</v>
      </c>
      <c r="D421">
        <v>0.35</v>
      </c>
      <c r="E421">
        <v>0.11</v>
      </c>
      <c r="F421">
        <v>0.45800000000000002</v>
      </c>
      <c r="G421">
        <v>0.2</v>
      </c>
      <c r="H421">
        <v>0.111</v>
      </c>
      <c r="I421">
        <v>0.1305</v>
      </c>
      <c r="J421">
        <v>8</v>
      </c>
      <c r="K421">
        <v>2</v>
      </c>
      <c r="L421" t="s">
        <v>32</v>
      </c>
      <c r="M421" t="s">
        <v>33</v>
      </c>
      <c r="N421" t="s">
        <v>34</v>
      </c>
      <c r="O421">
        <v>9</v>
      </c>
      <c r="P421" t="s">
        <v>46</v>
      </c>
      <c r="Q421">
        <v>1.9</v>
      </c>
      <c r="R421" t="str" cm="1">
        <f t="array" ref="R4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21" t="e">
        <f>IF(Table13[[#This Row],[Category All]]="Category 1", "Yes",NA())</f>
        <v>#N/A</v>
      </c>
      <c r="T421" t="str">
        <f>IF(Table13[[#This Row],[Category All]]="Category 2", "Yes",NA())</f>
        <v>Yes</v>
      </c>
      <c r="U421" t="e">
        <f>IF(Table13[[#This Row],[Category All]]="Category 3", "Yes",NA())</f>
        <v>#N/A</v>
      </c>
      <c r="V421">
        <f>SUM(1,(1/3)*(Table13[[#This Row],[Length]]-0.5),(1/3)*(Table13[[#This Row],[Diameter]]-0.4),(1/3)*(Table13[[#This Row],[Height]]-0.4)*Table13[[#This Row],[Whole_weight]]*0.5)</f>
        <v>0.94619666666666657</v>
      </c>
      <c r="W421" cm="1">
        <f t="array" ref="W4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0.75695733333333326</v>
      </c>
      <c r="X421" t="e">
        <f>IF(Table13[[#This Row],[Category All]]="Category 1",Table13[[#This Row],[Base Abalone Value]]*1.5,NA())</f>
        <v>#N/A</v>
      </c>
      <c r="Y421">
        <f>IF(Table13[[#This Row],[Category All]]="Category 2",Table13[[#This Row],[Base Abalone Value]]*0.8,NA())</f>
        <v>0.75695733333333326</v>
      </c>
      <c r="Z421" t="e">
        <f>IF(Table13[[#This Row],[Category All]]="Category 3",Table13[[#This Row],[Base Abalone Value]],NA())</f>
        <v>#N/A</v>
      </c>
      <c r="AA421" s="2">
        <f>IF(Table13[[#This Row],[Gender]]="M",Table13[[#This Row],[Whole_weight]],NA())</f>
        <v>0.45800000000000002</v>
      </c>
      <c r="AB421" s="2" t="e">
        <f>IF(Table13[[#This Row],[Gender]]="F",Table13[[#This Row],[Whole_weight]],NA())</f>
        <v>#N/A</v>
      </c>
      <c r="AC421" s="2" t="e">
        <f>IF(Table13[[#This Row],[Gender]]="I",Table13[[#This Row],[Whole_weight]],NA())</f>
        <v>#N/A</v>
      </c>
      <c r="AD421" s="2">
        <f>IF(Table13[[#This Row],[Gender]]="M",Table13[[#This Row],[Diameter]],NA())</f>
        <v>0.35</v>
      </c>
      <c r="AE421" s="2" t="e">
        <f>IF(Table13[[#This Row],[Gender]]="F",Table13[[#This Row],[Diameter]],NA())</f>
        <v>#N/A</v>
      </c>
      <c r="AF421" s="2" t="e">
        <f>IF(Table13[[#This Row],[Gender]]="I",Table13[[#This Row],[Diameter]],NA())</f>
        <v>#N/A</v>
      </c>
    </row>
    <row r="422" spans="1:32" x14ac:dyDescent="0.2">
      <c r="A422">
        <v>3500</v>
      </c>
      <c r="B422" t="s">
        <v>0</v>
      </c>
      <c r="C422">
        <v>0.59499999999999997</v>
      </c>
      <c r="D422">
        <v>0.47</v>
      </c>
      <c r="E422">
        <v>0.16500000000000001</v>
      </c>
      <c r="F422">
        <v>1.0155000000000001</v>
      </c>
      <c r="G422">
        <v>0.49099999999999999</v>
      </c>
      <c r="H422">
        <v>0.1905</v>
      </c>
      <c r="I422">
        <v>0.28899999999999998</v>
      </c>
      <c r="J422">
        <v>9</v>
      </c>
      <c r="K422">
        <v>14</v>
      </c>
      <c r="L422" t="s">
        <v>23</v>
      </c>
      <c r="M422" t="s">
        <v>24</v>
      </c>
      <c r="N422" t="s">
        <v>25</v>
      </c>
      <c r="O422">
        <v>6</v>
      </c>
      <c r="P422" t="s">
        <v>47</v>
      </c>
      <c r="Q422">
        <v>14.1</v>
      </c>
      <c r="R422" t="str" cm="1">
        <f t="array" ref="R4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22" t="e">
        <f>IF(Table13[[#This Row],[Category All]]="Category 1", "Yes",NA())</f>
        <v>#N/A</v>
      </c>
      <c r="T422" t="e">
        <f>IF(Table13[[#This Row],[Category All]]="Category 2", "Yes",NA())</f>
        <v>#N/A</v>
      </c>
      <c r="U422" t="str">
        <f>IF(Table13[[#This Row],[Category All]]="Category 3", "Yes",NA())</f>
        <v>Yes</v>
      </c>
      <c r="V422">
        <f>SUM(1,(1/3)*(Table13[[#This Row],[Length]]-0.5),(1/3)*(Table13[[#This Row],[Diameter]]-0.4),(1/3)*(Table13[[#This Row],[Height]]-0.4)*Table13[[#This Row],[Whole_weight]]*0.5)</f>
        <v>1.0152262500000002</v>
      </c>
      <c r="W422" cm="1">
        <f t="array" ref="W4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1.0152262500000002</v>
      </c>
      <c r="X422" t="e">
        <f>IF(Table13[[#This Row],[Category All]]="Category 1",Table13[[#This Row],[Base Abalone Value]]*1.5,NA())</f>
        <v>#N/A</v>
      </c>
      <c r="Y422" t="e">
        <f>IF(Table13[[#This Row],[Category All]]="Category 2",Table13[[#This Row],[Base Abalone Value]]*0.8,NA())</f>
        <v>#N/A</v>
      </c>
      <c r="Z422">
        <f>IF(Table13[[#This Row],[Category All]]="Category 3",Table13[[#This Row],[Base Abalone Value]],NA())</f>
        <v>1.0152262500000002</v>
      </c>
      <c r="AA422" s="2" t="e">
        <f>IF(Table13[[#This Row],[Gender]]="M",Table13[[#This Row],[Whole_weight]],NA())</f>
        <v>#N/A</v>
      </c>
      <c r="AB422" s="2">
        <f>IF(Table13[[#This Row],[Gender]]="F",Table13[[#This Row],[Whole_weight]],NA())</f>
        <v>1.0155000000000001</v>
      </c>
      <c r="AC422" s="2" t="e">
        <f>IF(Table13[[#This Row],[Gender]]="I",Table13[[#This Row],[Whole_weight]],NA())</f>
        <v>#N/A</v>
      </c>
      <c r="AD422" s="2" t="e">
        <f>IF(Table13[[#This Row],[Gender]]="M",Table13[[#This Row],[Diameter]],NA())</f>
        <v>#N/A</v>
      </c>
      <c r="AE422" s="2">
        <f>IF(Table13[[#This Row],[Gender]]="F",Table13[[#This Row],[Diameter]],NA())</f>
        <v>0.47</v>
      </c>
      <c r="AF422" s="2" t="e">
        <f>IF(Table13[[#This Row],[Gender]]="I",Table13[[#This Row],[Diameter]],NA())</f>
        <v>#N/A</v>
      </c>
    </row>
    <row r="423" spans="1:32" x14ac:dyDescent="0.2">
      <c r="A423">
        <v>716</v>
      </c>
      <c r="B423" t="s">
        <v>11</v>
      </c>
      <c r="C423">
        <v>0.27500000000000002</v>
      </c>
      <c r="D423">
        <v>0.2</v>
      </c>
      <c r="E423">
        <v>6.5000000000000002E-2</v>
      </c>
      <c r="F423">
        <v>0.10349999999999999</v>
      </c>
      <c r="G423">
        <v>4.7500000000000001E-2</v>
      </c>
      <c r="H423">
        <v>2.0500000000000001E-2</v>
      </c>
      <c r="I423">
        <v>0.03</v>
      </c>
      <c r="J423">
        <v>7</v>
      </c>
      <c r="K423">
        <v>1</v>
      </c>
      <c r="L423" t="s">
        <v>8</v>
      </c>
      <c r="M423" t="s">
        <v>9</v>
      </c>
      <c r="N423" t="s">
        <v>3</v>
      </c>
      <c r="O423">
        <v>3</v>
      </c>
      <c r="P423" t="s">
        <v>48</v>
      </c>
      <c r="Q423">
        <v>3.6</v>
      </c>
      <c r="R423" t="str" cm="1">
        <f t="array" ref="R4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23" t="e">
        <f>IF(Table13[[#This Row],[Category All]]="Category 1", "Yes",NA())</f>
        <v>#N/A</v>
      </c>
      <c r="T423" t="str">
        <f>IF(Table13[[#This Row],[Category All]]="Category 2", "Yes",NA())</f>
        <v>Yes</v>
      </c>
      <c r="U423" t="e">
        <f>IF(Table13[[#This Row],[Category All]]="Category 3", "Yes",NA())</f>
        <v>#N/A</v>
      </c>
      <c r="V423">
        <f>SUM(1,(1/3)*(Table13[[#This Row],[Length]]-0.5),(1/3)*(Table13[[#This Row],[Diameter]]-0.4),(1/3)*(Table13[[#This Row],[Height]]-0.4)*Table13[[#This Row],[Whole_weight]]*0.5)</f>
        <v>0.85255458333333345</v>
      </c>
      <c r="W423" cm="1">
        <f t="array" ref="W4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0.68204366666666683</v>
      </c>
      <c r="X423" t="e">
        <f>IF(Table13[[#This Row],[Category All]]="Category 1",Table13[[#This Row],[Base Abalone Value]]*1.5,NA())</f>
        <v>#N/A</v>
      </c>
      <c r="Y423">
        <f>IF(Table13[[#This Row],[Category All]]="Category 2",Table13[[#This Row],[Base Abalone Value]]*0.8,NA())</f>
        <v>0.68204366666666683</v>
      </c>
      <c r="Z423" t="e">
        <f>IF(Table13[[#This Row],[Category All]]="Category 3",Table13[[#This Row],[Base Abalone Value]],NA())</f>
        <v>#N/A</v>
      </c>
      <c r="AA423" s="2" t="e">
        <f>IF(Table13[[#This Row],[Gender]]="M",Table13[[#This Row],[Whole_weight]],NA())</f>
        <v>#N/A</v>
      </c>
      <c r="AB423" s="2" t="e">
        <f>IF(Table13[[#This Row],[Gender]]="F",Table13[[#This Row],[Whole_weight]],NA())</f>
        <v>#N/A</v>
      </c>
      <c r="AC423" s="2">
        <f>IF(Table13[[#This Row],[Gender]]="I",Table13[[#This Row],[Whole_weight]],NA())</f>
        <v>0.10349999999999999</v>
      </c>
      <c r="AD423" s="2" t="e">
        <f>IF(Table13[[#This Row],[Gender]]="M",Table13[[#This Row],[Diameter]],NA())</f>
        <v>#N/A</v>
      </c>
      <c r="AE423" s="2" t="e">
        <f>IF(Table13[[#This Row],[Gender]]="F",Table13[[#This Row],[Diameter]],NA())</f>
        <v>#N/A</v>
      </c>
      <c r="AF423" s="2">
        <f>IF(Table13[[#This Row],[Gender]]="I",Table13[[#This Row],[Diameter]],NA())</f>
        <v>0.2</v>
      </c>
    </row>
    <row r="424" spans="1:32" x14ac:dyDescent="0.2">
      <c r="A424">
        <v>409</v>
      </c>
      <c r="B424" t="s">
        <v>15</v>
      </c>
      <c r="C424">
        <v>0.55500000000000005</v>
      </c>
      <c r="D424">
        <v>0.45</v>
      </c>
      <c r="E424">
        <v>0.14499999999999999</v>
      </c>
      <c r="F424">
        <v>0.91500000000000004</v>
      </c>
      <c r="G424">
        <v>0.4</v>
      </c>
      <c r="H424">
        <v>0.246</v>
      </c>
      <c r="I424">
        <v>0.28499999999999998</v>
      </c>
      <c r="J424">
        <v>11</v>
      </c>
      <c r="K424">
        <v>3</v>
      </c>
      <c r="L424" t="s">
        <v>43</v>
      </c>
      <c r="M424" t="s">
        <v>44</v>
      </c>
      <c r="N424" t="s">
        <v>45</v>
      </c>
      <c r="O424">
        <v>9</v>
      </c>
      <c r="P424" t="s">
        <v>46</v>
      </c>
      <c r="Q424">
        <v>1.9</v>
      </c>
      <c r="R424" t="str" cm="1">
        <f t="array" ref="R4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24" t="e">
        <f>IF(Table13[[#This Row],[Category All]]="Category 1", "Yes",NA())</f>
        <v>#N/A</v>
      </c>
      <c r="T424" t="e">
        <f>IF(Table13[[#This Row],[Category All]]="Category 2", "Yes",NA())</f>
        <v>#N/A</v>
      </c>
      <c r="U424" t="str">
        <f>IF(Table13[[#This Row],[Category All]]="Category 3", "Yes",NA())</f>
        <v>Yes</v>
      </c>
      <c r="V424">
        <f>SUM(1,(1/3)*(Table13[[#This Row],[Length]]-0.5),(1/3)*(Table13[[#This Row],[Diameter]]-0.4),(1/3)*(Table13[[#This Row],[Height]]-0.4)*Table13[[#This Row],[Whole_weight]]*0.5)</f>
        <v>0.99611249999999996</v>
      </c>
      <c r="W424" cm="1">
        <f t="array" ref="W4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0.99611249999999996</v>
      </c>
      <c r="X424" t="e">
        <f>IF(Table13[[#This Row],[Category All]]="Category 1",Table13[[#This Row],[Base Abalone Value]]*1.5,NA())</f>
        <v>#N/A</v>
      </c>
      <c r="Y424" t="e">
        <f>IF(Table13[[#This Row],[Category All]]="Category 2",Table13[[#This Row],[Base Abalone Value]]*0.8,NA())</f>
        <v>#N/A</v>
      </c>
      <c r="Z424">
        <f>IF(Table13[[#This Row],[Category All]]="Category 3",Table13[[#This Row],[Base Abalone Value]],NA())</f>
        <v>0.99611249999999996</v>
      </c>
      <c r="AA424" s="2">
        <f>IF(Table13[[#This Row],[Gender]]="M",Table13[[#This Row],[Whole_weight]],NA())</f>
        <v>0.91500000000000004</v>
      </c>
      <c r="AB424" s="2" t="e">
        <f>IF(Table13[[#This Row],[Gender]]="F",Table13[[#This Row],[Whole_weight]],NA())</f>
        <v>#N/A</v>
      </c>
      <c r="AC424" s="2" t="e">
        <f>IF(Table13[[#This Row],[Gender]]="I",Table13[[#This Row],[Whole_weight]],NA())</f>
        <v>#N/A</v>
      </c>
      <c r="AD424" s="2">
        <f>IF(Table13[[#This Row],[Gender]]="M",Table13[[#This Row],[Diameter]],NA())</f>
        <v>0.45</v>
      </c>
      <c r="AE424" s="2" t="e">
        <f>IF(Table13[[#This Row],[Gender]]="F",Table13[[#This Row],[Diameter]],NA())</f>
        <v>#N/A</v>
      </c>
      <c r="AF424" s="2" t="e">
        <f>IF(Table13[[#This Row],[Gender]]="I",Table13[[#This Row],[Diameter]],NA())</f>
        <v>#N/A</v>
      </c>
    </row>
    <row r="425" spans="1:32" x14ac:dyDescent="0.2">
      <c r="A425">
        <v>84</v>
      </c>
      <c r="B425" t="s">
        <v>15</v>
      </c>
      <c r="C425">
        <v>0.59499999999999997</v>
      </c>
      <c r="D425">
        <v>0.47499999999999998</v>
      </c>
      <c r="E425">
        <v>0.16</v>
      </c>
      <c r="F425">
        <v>1.3174999999999999</v>
      </c>
      <c r="G425">
        <v>0.40799999999999997</v>
      </c>
      <c r="H425">
        <v>0.23400000000000001</v>
      </c>
      <c r="I425">
        <v>0.57999999999999996</v>
      </c>
      <c r="J425">
        <v>21</v>
      </c>
      <c r="K425">
        <v>10</v>
      </c>
      <c r="L425" t="s">
        <v>16</v>
      </c>
      <c r="M425" t="s">
        <v>17</v>
      </c>
      <c r="N425" t="s">
        <v>18</v>
      </c>
      <c r="O425">
        <v>8</v>
      </c>
      <c r="P425" t="s">
        <v>19</v>
      </c>
      <c r="Q425">
        <v>12.3</v>
      </c>
      <c r="R425" t="str" cm="1">
        <f t="array" ref="R4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25" t="e">
        <f>IF(Table13[[#This Row],[Category All]]="Category 1", "Yes",NA())</f>
        <v>#N/A</v>
      </c>
      <c r="T425" t="str">
        <f>IF(Table13[[#This Row],[Category All]]="Category 2", "Yes",NA())</f>
        <v>Yes</v>
      </c>
      <c r="U425" t="e">
        <f>IF(Table13[[#This Row],[Category All]]="Category 3", "Yes",NA())</f>
        <v>#N/A</v>
      </c>
      <c r="V425">
        <f>SUM(1,(1/3)*(Table13[[#This Row],[Length]]-0.5),(1/3)*(Table13[[#This Row],[Diameter]]-0.4),(1/3)*(Table13[[#This Row],[Height]]-0.4)*Table13[[#This Row],[Whole_weight]]*0.5)</f>
        <v>1.0039666666666667</v>
      </c>
      <c r="W425" cm="1">
        <f t="array" ref="W4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0.80317333333333341</v>
      </c>
      <c r="X425" t="e">
        <f>IF(Table13[[#This Row],[Category All]]="Category 1",Table13[[#This Row],[Base Abalone Value]]*1.5,NA())</f>
        <v>#N/A</v>
      </c>
      <c r="Y425">
        <f>IF(Table13[[#This Row],[Category All]]="Category 2",Table13[[#This Row],[Base Abalone Value]]*0.8,NA())</f>
        <v>0.80317333333333341</v>
      </c>
      <c r="Z425" t="e">
        <f>IF(Table13[[#This Row],[Category All]]="Category 3",Table13[[#This Row],[Base Abalone Value]],NA())</f>
        <v>#N/A</v>
      </c>
      <c r="AA425" s="2">
        <f>IF(Table13[[#This Row],[Gender]]="M",Table13[[#This Row],[Whole_weight]],NA())</f>
        <v>1.3174999999999999</v>
      </c>
      <c r="AB425" s="2" t="e">
        <f>IF(Table13[[#This Row],[Gender]]="F",Table13[[#This Row],[Whole_weight]],NA())</f>
        <v>#N/A</v>
      </c>
      <c r="AC425" s="2" t="e">
        <f>IF(Table13[[#This Row],[Gender]]="I",Table13[[#This Row],[Whole_weight]],NA())</f>
        <v>#N/A</v>
      </c>
      <c r="AD425" s="2">
        <f>IF(Table13[[#This Row],[Gender]]="M",Table13[[#This Row],[Diameter]],NA())</f>
        <v>0.47499999999999998</v>
      </c>
      <c r="AE425" s="2" t="e">
        <f>IF(Table13[[#This Row],[Gender]]="F",Table13[[#This Row],[Diameter]],NA())</f>
        <v>#N/A</v>
      </c>
      <c r="AF425" s="2" t="e">
        <f>IF(Table13[[#This Row],[Gender]]="I",Table13[[#This Row],[Diameter]],NA())</f>
        <v>#N/A</v>
      </c>
    </row>
    <row r="426" spans="1:32" x14ac:dyDescent="0.2">
      <c r="A426">
        <v>1395</v>
      </c>
      <c r="B426" t="s">
        <v>15</v>
      </c>
      <c r="C426">
        <v>0.64</v>
      </c>
      <c r="D426">
        <v>0.56499999999999995</v>
      </c>
      <c r="E426">
        <v>0.23</v>
      </c>
      <c r="F426">
        <v>1.5209999999999999</v>
      </c>
      <c r="G426">
        <v>0.64400000000000002</v>
      </c>
      <c r="H426">
        <v>0.372</v>
      </c>
      <c r="I426">
        <v>0.40600000000000003</v>
      </c>
      <c r="J426">
        <v>15</v>
      </c>
      <c r="K426">
        <v>14</v>
      </c>
      <c r="L426" t="s">
        <v>23</v>
      </c>
      <c r="M426" t="s">
        <v>24</v>
      </c>
      <c r="N426" t="s">
        <v>25</v>
      </c>
      <c r="O426">
        <v>5</v>
      </c>
      <c r="P426" t="s">
        <v>14</v>
      </c>
      <c r="Q426">
        <v>12.8</v>
      </c>
      <c r="R426" t="str" cm="1">
        <f t="array" ref="R4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26" t="e">
        <f>IF(Table13[[#This Row],[Category All]]="Category 1", "Yes",NA())</f>
        <v>#N/A</v>
      </c>
      <c r="T426" t="e">
        <f>IF(Table13[[#This Row],[Category All]]="Category 2", "Yes",NA())</f>
        <v>#N/A</v>
      </c>
      <c r="U426" t="str">
        <f>IF(Table13[[#This Row],[Category All]]="Category 3", "Yes",NA())</f>
        <v>Yes</v>
      </c>
      <c r="V426">
        <f>SUM(1,(1/3)*(Table13[[#This Row],[Length]]-0.5),(1/3)*(Table13[[#This Row],[Diameter]]-0.4),(1/3)*(Table13[[#This Row],[Height]]-0.4)*Table13[[#This Row],[Whole_weight]]*0.5)</f>
        <v>1.0585716666666665</v>
      </c>
      <c r="W426" cm="1">
        <f t="array" ref="W4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1.0585716666666665</v>
      </c>
      <c r="X426" t="e">
        <f>IF(Table13[[#This Row],[Category All]]="Category 1",Table13[[#This Row],[Base Abalone Value]]*1.5,NA())</f>
        <v>#N/A</v>
      </c>
      <c r="Y426" t="e">
        <f>IF(Table13[[#This Row],[Category All]]="Category 2",Table13[[#This Row],[Base Abalone Value]]*0.8,NA())</f>
        <v>#N/A</v>
      </c>
      <c r="Z426">
        <f>IF(Table13[[#This Row],[Category All]]="Category 3",Table13[[#This Row],[Base Abalone Value]],NA())</f>
        <v>1.0585716666666665</v>
      </c>
      <c r="AA426" s="2">
        <f>IF(Table13[[#This Row],[Gender]]="M",Table13[[#This Row],[Whole_weight]],NA())</f>
        <v>1.5209999999999999</v>
      </c>
      <c r="AB426" s="2" t="e">
        <f>IF(Table13[[#This Row],[Gender]]="F",Table13[[#This Row],[Whole_weight]],NA())</f>
        <v>#N/A</v>
      </c>
      <c r="AC426" s="2" t="e">
        <f>IF(Table13[[#This Row],[Gender]]="I",Table13[[#This Row],[Whole_weight]],NA())</f>
        <v>#N/A</v>
      </c>
      <c r="AD426" s="2">
        <f>IF(Table13[[#This Row],[Gender]]="M",Table13[[#This Row],[Diameter]],NA())</f>
        <v>0.56499999999999995</v>
      </c>
      <c r="AE426" s="2" t="e">
        <f>IF(Table13[[#This Row],[Gender]]="F",Table13[[#This Row],[Diameter]],NA())</f>
        <v>#N/A</v>
      </c>
      <c r="AF426" s="2" t="e">
        <f>IF(Table13[[#This Row],[Gender]]="I",Table13[[#This Row],[Diameter]],NA())</f>
        <v>#N/A</v>
      </c>
    </row>
    <row r="427" spans="1:32" x14ac:dyDescent="0.2">
      <c r="A427">
        <v>1385</v>
      </c>
      <c r="B427" t="s">
        <v>0</v>
      </c>
      <c r="C427">
        <v>0.63</v>
      </c>
      <c r="D427">
        <v>0.48499999999999999</v>
      </c>
      <c r="E427">
        <v>0.17</v>
      </c>
      <c r="F427">
        <v>1.3205</v>
      </c>
      <c r="G427">
        <v>0.59450000000000003</v>
      </c>
      <c r="H427">
        <v>0.34499999999999997</v>
      </c>
      <c r="I427">
        <v>0.34499999999999997</v>
      </c>
      <c r="J427">
        <v>9</v>
      </c>
      <c r="K427">
        <v>6</v>
      </c>
      <c r="L427" t="s">
        <v>39</v>
      </c>
      <c r="M427" t="s">
        <v>40</v>
      </c>
      <c r="N427" t="s">
        <v>41</v>
      </c>
      <c r="O427">
        <v>10</v>
      </c>
      <c r="P427" t="s">
        <v>38</v>
      </c>
      <c r="Q427">
        <v>24.1</v>
      </c>
      <c r="R427" t="str" cm="1">
        <f t="array" ref="R4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27" t="e">
        <f>IF(Table13[[#This Row],[Category All]]="Category 1", "Yes",NA())</f>
        <v>#N/A</v>
      </c>
      <c r="T427" t="e">
        <f>IF(Table13[[#This Row],[Category All]]="Category 2", "Yes",NA())</f>
        <v>#N/A</v>
      </c>
      <c r="U427" t="str">
        <f>IF(Table13[[#This Row],[Category All]]="Category 3", "Yes",NA())</f>
        <v>Yes</v>
      </c>
      <c r="V427">
        <f>SUM(1,(1/3)*(Table13[[#This Row],[Length]]-0.5),(1/3)*(Table13[[#This Row],[Diameter]]-0.4),(1/3)*(Table13[[#This Row],[Height]]-0.4)*Table13[[#This Row],[Whole_weight]]*0.5)</f>
        <v>1.0210475000000001</v>
      </c>
      <c r="W427" cm="1">
        <f t="array" ref="W4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1.0210475000000001</v>
      </c>
      <c r="X427" t="e">
        <f>IF(Table13[[#This Row],[Category All]]="Category 1",Table13[[#This Row],[Base Abalone Value]]*1.5,NA())</f>
        <v>#N/A</v>
      </c>
      <c r="Y427" t="e">
        <f>IF(Table13[[#This Row],[Category All]]="Category 2",Table13[[#This Row],[Base Abalone Value]]*0.8,NA())</f>
        <v>#N/A</v>
      </c>
      <c r="Z427">
        <f>IF(Table13[[#This Row],[Category All]]="Category 3",Table13[[#This Row],[Base Abalone Value]],NA())</f>
        <v>1.0210475000000001</v>
      </c>
      <c r="AA427" s="2" t="e">
        <f>IF(Table13[[#This Row],[Gender]]="M",Table13[[#This Row],[Whole_weight]],NA())</f>
        <v>#N/A</v>
      </c>
      <c r="AB427" s="2">
        <f>IF(Table13[[#This Row],[Gender]]="F",Table13[[#This Row],[Whole_weight]],NA())</f>
        <v>1.3205</v>
      </c>
      <c r="AC427" s="2" t="e">
        <f>IF(Table13[[#This Row],[Gender]]="I",Table13[[#This Row],[Whole_weight]],NA())</f>
        <v>#N/A</v>
      </c>
      <c r="AD427" s="2" t="e">
        <f>IF(Table13[[#This Row],[Gender]]="M",Table13[[#This Row],[Diameter]],NA())</f>
        <v>#N/A</v>
      </c>
      <c r="AE427" s="2">
        <f>IF(Table13[[#This Row],[Gender]]="F",Table13[[#This Row],[Diameter]],NA())</f>
        <v>0.48499999999999999</v>
      </c>
      <c r="AF427" s="2" t="e">
        <f>IF(Table13[[#This Row],[Gender]]="I",Table13[[#This Row],[Diameter]],NA())</f>
        <v>#N/A</v>
      </c>
    </row>
    <row r="428" spans="1:32" x14ac:dyDescent="0.2">
      <c r="A428">
        <v>1890</v>
      </c>
      <c r="B428" t="s">
        <v>15</v>
      </c>
      <c r="C428">
        <v>0.56499999999999995</v>
      </c>
      <c r="D428">
        <v>0.41499999999999998</v>
      </c>
      <c r="E428">
        <v>0.125</v>
      </c>
      <c r="F428">
        <v>0.66700000000000004</v>
      </c>
      <c r="G428">
        <v>0.30199999999999999</v>
      </c>
      <c r="H428">
        <v>0.1545</v>
      </c>
      <c r="I428">
        <v>0.185</v>
      </c>
      <c r="J428">
        <v>7</v>
      </c>
      <c r="K428">
        <v>2</v>
      </c>
      <c r="L428" t="s">
        <v>32</v>
      </c>
      <c r="M428" t="s">
        <v>33</v>
      </c>
      <c r="N428" t="s">
        <v>34</v>
      </c>
      <c r="O428">
        <v>7</v>
      </c>
      <c r="P428" t="s">
        <v>42</v>
      </c>
      <c r="Q428">
        <v>2.5</v>
      </c>
      <c r="R428" t="str" cm="1">
        <f t="array" ref="R4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28" t="e">
        <f>IF(Table13[[#This Row],[Category All]]="Category 1", "Yes",NA())</f>
        <v>#N/A</v>
      </c>
      <c r="T428" t="str">
        <f>IF(Table13[[#This Row],[Category All]]="Category 2", "Yes",NA())</f>
        <v>Yes</v>
      </c>
      <c r="U428" t="e">
        <f>IF(Table13[[#This Row],[Category All]]="Category 3", "Yes",NA())</f>
        <v>#N/A</v>
      </c>
      <c r="V428">
        <f>SUM(1,(1/3)*(Table13[[#This Row],[Length]]-0.5),(1/3)*(Table13[[#This Row],[Diameter]]-0.4),(1/3)*(Table13[[#This Row],[Height]]-0.4)*Table13[[#This Row],[Whole_weight]]*0.5)</f>
        <v>0.99609583333333329</v>
      </c>
      <c r="W428" cm="1">
        <f t="array" ref="W4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0.79687666666666668</v>
      </c>
      <c r="X428" t="e">
        <f>IF(Table13[[#This Row],[Category All]]="Category 1",Table13[[#This Row],[Base Abalone Value]]*1.5,NA())</f>
        <v>#N/A</v>
      </c>
      <c r="Y428">
        <f>IF(Table13[[#This Row],[Category All]]="Category 2",Table13[[#This Row],[Base Abalone Value]]*0.8,NA())</f>
        <v>0.79687666666666668</v>
      </c>
      <c r="Z428" t="e">
        <f>IF(Table13[[#This Row],[Category All]]="Category 3",Table13[[#This Row],[Base Abalone Value]],NA())</f>
        <v>#N/A</v>
      </c>
      <c r="AA428" s="2">
        <f>IF(Table13[[#This Row],[Gender]]="M",Table13[[#This Row],[Whole_weight]],NA())</f>
        <v>0.66700000000000004</v>
      </c>
      <c r="AB428" s="2" t="e">
        <f>IF(Table13[[#This Row],[Gender]]="F",Table13[[#This Row],[Whole_weight]],NA())</f>
        <v>#N/A</v>
      </c>
      <c r="AC428" s="2" t="e">
        <f>IF(Table13[[#This Row],[Gender]]="I",Table13[[#This Row],[Whole_weight]],NA())</f>
        <v>#N/A</v>
      </c>
      <c r="AD428" s="2">
        <f>IF(Table13[[#This Row],[Gender]]="M",Table13[[#This Row],[Diameter]],NA())</f>
        <v>0.41499999999999998</v>
      </c>
      <c r="AE428" s="2" t="e">
        <f>IF(Table13[[#This Row],[Gender]]="F",Table13[[#This Row],[Diameter]],NA())</f>
        <v>#N/A</v>
      </c>
      <c r="AF428" s="2" t="e">
        <f>IF(Table13[[#This Row],[Gender]]="I",Table13[[#This Row],[Diameter]],NA())</f>
        <v>#N/A</v>
      </c>
    </row>
    <row r="429" spans="1:32" x14ac:dyDescent="0.2">
      <c r="A429">
        <v>2471</v>
      </c>
      <c r="B429" t="s">
        <v>15</v>
      </c>
      <c r="C429">
        <v>0.61499999999999999</v>
      </c>
      <c r="D429">
        <v>0.47499999999999998</v>
      </c>
      <c r="E429">
        <v>0.17</v>
      </c>
      <c r="F429">
        <v>1.1825000000000001</v>
      </c>
      <c r="G429">
        <v>0.47399999999999998</v>
      </c>
      <c r="H429">
        <v>0.28949999999999998</v>
      </c>
      <c r="I429">
        <v>0.24</v>
      </c>
      <c r="J429">
        <v>11</v>
      </c>
      <c r="K429">
        <v>12</v>
      </c>
      <c r="L429" t="s">
        <v>1</v>
      </c>
      <c r="M429" t="s">
        <v>2</v>
      </c>
      <c r="N429" t="s">
        <v>3</v>
      </c>
      <c r="O429">
        <v>5</v>
      </c>
      <c r="P429" t="s">
        <v>14</v>
      </c>
      <c r="Q429">
        <v>12.8</v>
      </c>
      <c r="R429" t="str" cm="1">
        <f t="array" ref="R4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29" t="e">
        <f>IF(Table13[[#This Row],[Category All]]="Category 1", "Yes",NA())</f>
        <v>#N/A</v>
      </c>
      <c r="T429" t="e">
        <f>IF(Table13[[#This Row],[Category All]]="Category 2", "Yes",NA())</f>
        <v>#N/A</v>
      </c>
      <c r="U429" t="str">
        <f>IF(Table13[[#This Row],[Category All]]="Category 3", "Yes",NA())</f>
        <v>Yes</v>
      </c>
      <c r="V429">
        <f>SUM(1,(1/3)*(Table13[[#This Row],[Length]]-0.5),(1/3)*(Table13[[#This Row],[Diameter]]-0.4),(1/3)*(Table13[[#This Row],[Height]]-0.4)*Table13[[#This Row],[Whole_weight]]*0.5)</f>
        <v>1.0180041666666666</v>
      </c>
      <c r="W429" cm="1">
        <f t="array" ref="W4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1.0180041666666666</v>
      </c>
      <c r="X429" t="e">
        <f>IF(Table13[[#This Row],[Category All]]="Category 1",Table13[[#This Row],[Base Abalone Value]]*1.5,NA())</f>
        <v>#N/A</v>
      </c>
      <c r="Y429" t="e">
        <f>IF(Table13[[#This Row],[Category All]]="Category 2",Table13[[#This Row],[Base Abalone Value]]*0.8,NA())</f>
        <v>#N/A</v>
      </c>
      <c r="Z429">
        <f>IF(Table13[[#This Row],[Category All]]="Category 3",Table13[[#This Row],[Base Abalone Value]],NA())</f>
        <v>1.0180041666666666</v>
      </c>
      <c r="AA429" s="2">
        <f>IF(Table13[[#This Row],[Gender]]="M",Table13[[#This Row],[Whole_weight]],NA())</f>
        <v>1.1825000000000001</v>
      </c>
      <c r="AB429" s="2" t="e">
        <f>IF(Table13[[#This Row],[Gender]]="F",Table13[[#This Row],[Whole_weight]],NA())</f>
        <v>#N/A</v>
      </c>
      <c r="AC429" s="2" t="e">
        <f>IF(Table13[[#This Row],[Gender]]="I",Table13[[#This Row],[Whole_weight]],NA())</f>
        <v>#N/A</v>
      </c>
      <c r="AD429" s="2">
        <f>IF(Table13[[#This Row],[Gender]]="M",Table13[[#This Row],[Diameter]],NA())</f>
        <v>0.47499999999999998</v>
      </c>
      <c r="AE429" s="2" t="e">
        <f>IF(Table13[[#This Row],[Gender]]="F",Table13[[#This Row],[Diameter]],NA())</f>
        <v>#N/A</v>
      </c>
      <c r="AF429" s="2" t="e">
        <f>IF(Table13[[#This Row],[Gender]]="I",Table13[[#This Row],[Diameter]],NA())</f>
        <v>#N/A</v>
      </c>
    </row>
    <row r="430" spans="1:32" x14ac:dyDescent="0.2">
      <c r="A430">
        <v>3298</v>
      </c>
      <c r="B430" t="s">
        <v>15</v>
      </c>
      <c r="C430">
        <v>0.64500000000000002</v>
      </c>
      <c r="D430">
        <v>0.5</v>
      </c>
      <c r="E430">
        <v>0.19</v>
      </c>
      <c r="F430">
        <v>1.2290000000000001</v>
      </c>
      <c r="G430">
        <v>0.52400000000000002</v>
      </c>
      <c r="H430">
        <v>0.27800000000000002</v>
      </c>
      <c r="I430">
        <v>0.39500000000000002</v>
      </c>
      <c r="J430">
        <v>17</v>
      </c>
      <c r="K430">
        <v>15</v>
      </c>
      <c r="L430" t="s">
        <v>49</v>
      </c>
      <c r="M430" t="s">
        <v>50</v>
      </c>
      <c r="N430" t="s">
        <v>3</v>
      </c>
      <c r="O430">
        <v>2</v>
      </c>
      <c r="P430" t="s">
        <v>7</v>
      </c>
      <c r="Q430">
        <v>18</v>
      </c>
      <c r="R430" t="str" cm="1">
        <f t="array" ref="R4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0" t="e">
        <f>IF(Table13[[#This Row],[Category All]]="Category 1", "Yes",NA())</f>
        <v>#N/A</v>
      </c>
      <c r="T430" t="str">
        <f>IF(Table13[[#This Row],[Category All]]="Category 2", "Yes",NA())</f>
        <v>Yes</v>
      </c>
      <c r="U430" t="e">
        <f>IF(Table13[[#This Row],[Category All]]="Category 3", "Yes",NA())</f>
        <v>#N/A</v>
      </c>
      <c r="V430">
        <f>SUM(1,(1/3)*(Table13[[#This Row],[Length]]-0.5),(1/3)*(Table13[[#This Row],[Diameter]]-0.4),(1/3)*(Table13[[#This Row],[Height]]-0.4)*Table13[[#This Row],[Whole_weight]]*0.5)</f>
        <v>1.0386516666666665</v>
      </c>
      <c r="W430" cm="1">
        <f t="array" ref="W4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0.83092133333333329</v>
      </c>
      <c r="X430" t="e">
        <f>IF(Table13[[#This Row],[Category All]]="Category 1",Table13[[#This Row],[Base Abalone Value]]*1.5,NA())</f>
        <v>#N/A</v>
      </c>
      <c r="Y430">
        <f>IF(Table13[[#This Row],[Category All]]="Category 2",Table13[[#This Row],[Base Abalone Value]]*0.8,NA())</f>
        <v>0.83092133333333329</v>
      </c>
      <c r="Z430" t="e">
        <f>IF(Table13[[#This Row],[Category All]]="Category 3",Table13[[#This Row],[Base Abalone Value]],NA())</f>
        <v>#N/A</v>
      </c>
      <c r="AA430" s="2">
        <f>IF(Table13[[#This Row],[Gender]]="M",Table13[[#This Row],[Whole_weight]],NA())</f>
        <v>1.2290000000000001</v>
      </c>
      <c r="AB430" s="2" t="e">
        <f>IF(Table13[[#This Row],[Gender]]="F",Table13[[#This Row],[Whole_weight]],NA())</f>
        <v>#N/A</v>
      </c>
      <c r="AC430" s="2" t="e">
        <f>IF(Table13[[#This Row],[Gender]]="I",Table13[[#This Row],[Whole_weight]],NA())</f>
        <v>#N/A</v>
      </c>
      <c r="AD430" s="2">
        <f>IF(Table13[[#This Row],[Gender]]="M",Table13[[#This Row],[Diameter]],NA())</f>
        <v>0.5</v>
      </c>
      <c r="AE430" s="2" t="e">
        <f>IF(Table13[[#This Row],[Gender]]="F",Table13[[#This Row],[Diameter]],NA())</f>
        <v>#N/A</v>
      </c>
      <c r="AF430" s="2" t="e">
        <f>IF(Table13[[#This Row],[Gender]]="I",Table13[[#This Row],[Diameter]],NA())</f>
        <v>#N/A</v>
      </c>
    </row>
    <row r="431" spans="1:32" x14ac:dyDescent="0.2">
      <c r="A431">
        <v>3532</v>
      </c>
      <c r="B431" t="s">
        <v>11</v>
      </c>
      <c r="C431">
        <v>0.36499999999999999</v>
      </c>
      <c r="D431">
        <v>0.27500000000000002</v>
      </c>
      <c r="E431">
        <v>0.09</v>
      </c>
      <c r="F431">
        <v>0.23449999999999999</v>
      </c>
      <c r="G431">
        <v>0.108</v>
      </c>
      <c r="H431">
        <v>5.0999999999999997E-2</v>
      </c>
      <c r="I431">
        <v>6.25E-2</v>
      </c>
      <c r="J431">
        <v>7</v>
      </c>
      <c r="K431">
        <v>1</v>
      </c>
      <c r="L431" t="s">
        <v>8</v>
      </c>
      <c r="M431" t="s">
        <v>9</v>
      </c>
      <c r="N431" t="s">
        <v>3</v>
      </c>
      <c r="O431">
        <v>10</v>
      </c>
      <c r="P431" t="s">
        <v>38</v>
      </c>
      <c r="Q431">
        <v>24.1</v>
      </c>
      <c r="R431" t="str" cm="1">
        <f t="array" ref="R4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1" t="e">
        <f>IF(Table13[[#This Row],[Category All]]="Category 1", "Yes",NA())</f>
        <v>#N/A</v>
      </c>
      <c r="T431" t="str">
        <f>IF(Table13[[#This Row],[Category All]]="Category 2", "Yes",NA())</f>
        <v>Yes</v>
      </c>
      <c r="U431" t="e">
        <f>IF(Table13[[#This Row],[Category All]]="Category 3", "Yes",NA())</f>
        <v>#N/A</v>
      </c>
      <c r="V431">
        <f>SUM(1,(1/3)*(Table13[[#This Row],[Length]]-0.5),(1/3)*(Table13[[#This Row],[Diameter]]-0.4),(1/3)*(Table13[[#This Row],[Height]]-0.4)*Table13[[#This Row],[Whole_weight]]*0.5)</f>
        <v>0.9012175</v>
      </c>
      <c r="W431" cm="1">
        <f t="array" ref="W4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0.720974</v>
      </c>
      <c r="X431" t="e">
        <f>IF(Table13[[#This Row],[Category All]]="Category 1",Table13[[#This Row],[Base Abalone Value]]*1.5,NA())</f>
        <v>#N/A</v>
      </c>
      <c r="Y431">
        <f>IF(Table13[[#This Row],[Category All]]="Category 2",Table13[[#This Row],[Base Abalone Value]]*0.8,NA())</f>
        <v>0.720974</v>
      </c>
      <c r="Z431" t="e">
        <f>IF(Table13[[#This Row],[Category All]]="Category 3",Table13[[#This Row],[Base Abalone Value]],NA())</f>
        <v>#N/A</v>
      </c>
      <c r="AA431" s="2" t="e">
        <f>IF(Table13[[#This Row],[Gender]]="M",Table13[[#This Row],[Whole_weight]],NA())</f>
        <v>#N/A</v>
      </c>
      <c r="AB431" s="2" t="e">
        <f>IF(Table13[[#This Row],[Gender]]="F",Table13[[#This Row],[Whole_weight]],NA())</f>
        <v>#N/A</v>
      </c>
      <c r="AC431" s="2">
        <f>IF(Table13[[#This Row],[Gender]]="I",Table13[[#This Row],[Whole_weight]],NA())</f>
        <v>0.23449999999999999</v>
      </c>
      <c r="AD431" s="2" t="e">
        <f>IF(Table13[[#This Row],[Gender]]="M",Table13[[#This Row],[Diameter]],NA())</f>
        <v>#N/A</v>
      </c>
      <c r="AE431" s="2" t="e">
        <f>IF(Table13[[#This Row],[Gender]]="F",Table13[[#This Row],[Diameter]],NA())</f>
        <v>#N/A</v>
      </c>
      <c r="AF431" s="2">
        <f>IF(Table13[[#This Row],[Gender]]="I",Table13[[#This Row],[Diameter]],NA())</f>
        <v>0.27500000000000002</v>
      </c>
    </row>
    <row r="432" spans="1:32" x14ac:dyDescent="0.2">
      <c r="A432">
        <v>3177</v>
      </c>
      <c r="B432" t="s">
        <v>0</v>
      </c>
      <c r="C432">
        <v>0.49</v>
      </c>
      <c r="D432">
        <v>0.38</v>
      </c>
      <c r="E432">
        <v>0.13</v>
      </c>
      <c r="F432">
        <v>0.53900000000000003</v>
      </c>
      <c r="G432">
        <v>0.22900000000000001</v>
      </c>
      <c r="H432">
        <v>0.13550000000000001</v>
      </c>
      <c r="I432">
        <v>0.16500000000000001</v>
      </c>
      <c r="J432">
        <v>12</v>
      </c>
      <c r="K432">
        <v>3</v>
      </c>
      <c r="L432" t="s">
        <v>43</v>
      </c>
      <c r="M432" t="s">
        <v>44</v>
      </c>
      <c r="N432" t="s">
        <v>45</v>
      </c>
      <c r="O432">
        <v>8</v>
      </c>
      <c r="P432" t="s">
        <v>19</v>
      </c>
      <c r="Q432">
        <v>12.3</v>
      </c>
      <c r="R432" t="str" cm="1">
        <f t="array" ref="R4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2" t="e">
        <f>IF(Table13[[#This Row],[Category All]]="Category 1", "Yes",NA())</f>
        <v>#N/A</v>
      </c>
      <c r="T432" t="str">
        <f>IF(Table13[[#This Row],[Category All]]="Category 2", "Yes",NA())</f>
        <v>Yes</v>
      </c>
      <c r="U432" t="e">
        <f>IF(Table13[[#This Row],[Category All]]="Category 3", "Yes",NA())</f>
        <v>#N/A</v>
      </c>
      <c r="V432">
        <f>SUM(1,(1/3)*(Table13[[#This Row],[Length]]-0.5),(1/3)*(Table13[[#This Row],[Diameter]]-0.4),(1/3)*(Table13[[#This Row],[Height]]-0.4)*Table13[[#This Row],[Whole_weight]]*0.5)</f>
        <v>0.96574499999999996</v>
      </c>
      <c r="W432" cm="1">
        <f t="array" ref="W4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0.77259600000000006</v>
      </c>
      <c r="X432" t="e">
        <f>IF(Table13[[#This Row],[Category All]]="Category 1",Table13[[#This Row],[Base Abalone Value]]*1.5,NA())</f>
        <v>#N/A</v>
      </c>
      <c r="Y432">
        <f>IF(Table13[[#This Row],[Category All]]="Category 2",Table13[[#This Row],[Base Abalone Value]]*0.8,NA())</f>
        <v>0.77259600000000006</v>
      </c>
      <c r="Z432" t="e">
        <f>IF(Table13[[#This Row],[Category All]]="Category 3",Table13[[#This Row],[Base Abalone Value]],NA())</f>
        <v>#N/A</v>
      </c>
      <c r="AA432" s="2" t="e">
        <f>IF(Table13[[#This Row],[Gender]]="M",Table13[[#This Row],[Whole_weight]],NA())</f>
        <v>#N/A</v>
      </c>
      <c r="AB432" s="2">
        <f>IF(Table13[[#This Row],[Gender]]="F",Table13[[#This Row],[Whole_weight]],NA())</f>
        <v>0.53900000000000003</v>
      </c>
      <c r="AC432" s="2" t="e">
        <f>IF(Table13[[#This Row],[Gender]]="I",Table13[[#This Row],[Whole_weight]],NA())</f>
        <v>#N/A</v>
      </c>
      <c r="AD432" s="2" t="e">
        <f>IF(Table13[[#This Row],[Gender]]="M",Table13[[#This Row],[Diameter]],NA())</f>
        <v>#N/A</v>
      </c>
      <c r="AE432" s="2">
        <f>IF(Table13[[#This Row],[Gender]]="F",Table13[[#This Row],[Diameter]],NA())</f>
        <v>0.38</v>
      </c>
      <c r="AF432" s="2" t="e">
        <f>IF(Table13[[#This Row],[Gender]]="I",Table13[[#This Row],[Diameter]],NA())</f>
        <v>#N/A</v>
      </c>
    </row>
    <row r="433" spans="1:32" x14ac:dyDescent="0.2">
      <c r="A433">
        <v>942</v>
      </c>
      <c r="B433" t="s">
        <v>11</v>
      </c>
      <c r="C433">
        <v>0.46500000000000002</v>
      </c>
      <c r="D433">
        <v>0.36499999999999999</v>
      </c>
      <c r="E433">
        <v>0.115</v>
      </c>
      <c r="F433">
        <v>0.46700000000000003</v>
      </c>
      <c r="G433">
        <v>0.23150000000000001</v>
      </c>
      <c r="H433">
        <v>9.2499999999999999E-2</v>
      </c>
      <c r="I433">
        <v>0.113</v>
      </c>
      <c r="J433">
        <v>7</v>
      </c>
      <c r="K433">
        <v>8</v>
      </c>
      <c r="L433" t="s">
        <v>29</v>
      </c>
      <c r="M433" t="s">
        <v>30</v>
      </c>
      <c r="N433" t="s">
        <v>31</v>
      </c>
      <c r="O433">
        <v>5</v>
      </c>
      <c r="P433" t="s">
        <v>14</v>
      </c>
      <c r="Q433">
        <v>12.8</v>
      </c>
      <c r="R433" t="str" cm="1">
        <f t="array" ref="R4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3" t="e">
        <f>IF(Table13[[#This Row],[Category All]]="Category 1", "Yes",NA())</f>
        <v>#N/A</v>
      </c>
      <c r="T433" t="str">
        <f>IF(Table13[[#This Row],[Category All]]="Category 2", "Yes",NA())</f>
        <v>Yes</v>
      </c>
      <c r="U433" t="e">
        <f>IF(Table13[[#This Row],[Category All]]="Category 3", "Yes",NA())</f>
        <v>#N/A</v>
      </c>
      <c r="V433">
        <f>SUM(1,(1/3)*(Table13[[#This Row],[Length]]-0.5),(1/3)*(Table13[[#This Row],[Diameter]]-0.4),(1/3)*(Table13[[#This Row],[Height]]-0.4)*Table13[[#This Row],[Whole_weight]]*0.5)</f>
        <v>0.95448416666666658</v>
      </c>
      <c r="W433" cm="1">
        <f t="array" ref="W4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0.76358733333333328</v>
      </c>
      <c r="X433" t="e">
        <f>IF(Table13[[#This Row],[Category All]]="Category 1",Table13[[#This Row],[Base Abalone Value]]*1.5,NA())</f>
        <v>#N/A</v>
      </c>
      <c r="Y433">
        <f>IF(Table13[[#This Row],[Category All]]="Category 2",Table13[[#This Row],[Base Abalone Value]]*0.8,NA())</f>
        <v>0.76358733333333328</v>
      </c>
      <c r="Z433" t="e">
        <f>IF(Table13[[#This Row],[Category All]]="Category 3",Table13[[#This Row],[Base Abalone Value]],NA())</f>
        <v>#N/A</v>
      </c>
      <c r="AA433" s="2" t="e">
        <f>IF(Table13[[#This Row],[Gender]]="M",Table13[[#This Row],[Whole_weight]],NA())</f>
        <v>#N/A</v>
      </c>
      <c r="AB433" s="2" t="e">
        <f>IF(Table13[[#This Row],[Gender]]="F",Table13[[#This Row],[Whole_weight]],NA())</f>
        <v>#N/A</v>
      </c>
      <c r="AC433" s="2">
        <f>IF(Table13[[#This Row],[Gender]]="I",Table13[[#This Row],[Whole_weight]],NA())</f>
        <v>0.46700000000000003</v>
      </c>
      <c r="AD433" s="2" t="e">
        <f>IF(Table13[[#This Row],[Gender]]="M",Table13[[#This Row],[Diameter]],NA())</f>
        <v>#N/A</v>
      </c>
      <c r="AE433" s="2" t="e">
        <f>IF(Table13[[#This Row],[Gender]]="F",Table13[[#This Row],[Diameter]],NA())</f>
        <v>#N/A</v>
      </c>
      <c r="AF433" s="2">
        <f>IF(Table13[[#This Row],[Gender]]="I",Table13[[#This Row],[Diameter]],NA())</f>
        <v>0.36499999999999999</v>
      </c>
    </row>
    <row r="434" spans="1:32" x14ac:dyDescent="0.2">
      <c r="A434">
        <v>487</v>
      </c>
      <c r="B434" t="s">
        <v>15</v>
      </c>
      <c r="C434">
        <v>0.55000000000000004</v>
      </c>
      <c r="D434">
        <v>0.45</v>
      </c>
      <c r="E434">
        <v>0.13</v>
      </c>
      <c r="F434">
        <v>0.92</v>
      </c>
      <c r="G434">
        <v>0.378</v>
      </c>
      <c r="H434">
        <v>0.23849999999999999</v>
      </c>
      <c r="I434">
        <v>0.28999999999999998</v>
      </c>
      <c r="J434">
        <v>11</v>
      </c>
      <c r="K434">
        <v>7</v>
      </c>
      <c r="L434" t="s">
        <v>35</v>
      </c>
      <c r="M434" t="s">
        <v>36</v>
      </c>
      <c r="N434" t="s">
        <v>37</v>
      </c>
      <c r="O434">
        <v>2</v>
      </c>
      <c r="P434" t="s">
        <v>7</v>
      </c>
      <c r="Q434">
        <v>18</v>
      </c>
      <c r="R434" t="str" cm="1">
        <f t="array" ref="R4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4" t="e">
        <f>IF(Table13[[#This Row],[Category All]]="Category 1", "Yes",NA())</f>
        <v>#N/A</v>
      </c>
      <c r="T434" t="str">
        <f>IF(Table13[[#This Row],[Category All]]="Category 2", "Yes",NA())</f>
        <v>Yes</v>
      </c>
      <c r="U434" t="e">
        <f>IF(Table13[[#This Row],[Category All]]="Category 3", "Yes",NA())</f>
        <v>#N/A</v>
      </c>
      <c r="V434">
        <f>SUM(1,(1/3)*(Table13[[#This Row],[Length]]-0.5),(1/3)*(Table13[[#This Row],[Diameter]]-0.4),(1/3)*(Table13[[#This Row],[Height]]-0.4)*Table13[[#This Row],[Whole_weight]]*0.5)</f>
        <v>0.99193333333333322</v>
      </c>
      <c r="W434" cm="1">
        <f t="array" ref="W4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0.79354666666666662</v>
      </c>
      <c r="X434" t="e">
        <f>IF(Table13[[#This Row],[Category All]]="Category 1",Table13[[#This Row],[Base Abalone Value]]*1.5,NA())</f>
        <v>#N/A</v>
      </c>
      <c r="Y434">
        <f>IF(Table13[[#This Row],[Category All]]="Category 2",Table13[[#This Row],[Base Abalone Value]]*0.8,NA())</f>
        <v>0.79354666666666662</v>
      </c>
      <c r="Z434" t="e">
        <f>IF(Table13[[#This Row],[Category All]]="Category 3",Table13[[#This Row],[Base Abalone Value]],NA())</f>
        <v>#N/A</v>
      </c>
      <c r="AA434" s="2">
        <f>IF(Table13[[#This Row],[Gender]]="M",Table13[[#This Row],[Whole_weight]],NA())</f>
        <v>0.92</v>
      </c>
      <c r="AB434" s="2" t="e">
        <f>IF(Table13[[#This Row],[Gender]]="F",Table13[[#This Row],[Whole_weight]],NA())</f>
        <v>#N/A</v>
      </c>
      <c r="AC434" s="2" t="e">
        <f>IF(Table13[[#This Row],[Gender]]="I",Table13[[#This Row],[Whole_weight]],NA())</f>
        <v>#N/A</v>
      </c>
      <c r="AD434" s="2">
        <f>IF(Table13[[#This Row],[Gender]]="M",Table13[[#This Row],[Diameter]],NA())</f>
        <v>0.45</v>
      </c>
      <c r="AE434" s="2" t="e">
        <f>IF(Table13[[#This Row],[Gender]]="F",Table13[[#This Row],[Diameter]],NA())</f>
        <v>#N/A</v>
      </c>
      <c r="AF434" s="2" t="e">
        <f>IF(Table13[[#This Row],[Gender]]="I",Table13[[#This Row],[Diameter]],NA())</f>
        <v>#N/A</v>
      </c>
    </row>
    <row r="435" spans="1:32" x14ac:dyDescent="0.2">
      <c r="A435">
        <v>4031</v>
      </c>
      <c r="B435" t="s">
        <v>11</v>
      </c>
      <c r="C435">
        <v>0.435</v>
      </c>
      <c r="D435">
        <v>0.32500000000000001</v>
      </c>
      <c r="E435">
        <v>0.1</v>
      </c>
      <c r="F435">
        <v>0.36599999999999999</v>
      </c>
      <c r="G435">
        <v>0.17399999999999999</v>
      </c>
      <c r="H435">
        <v>7.2499999999999995E-2</v>
      </c>
      <c r="I435">
        <v>0.109</v>
      </c>
      <c r="J435">
        <v>7</v>
      </c>
      <c r="K435">
        <v>12</v>
      </c>
      <c r="L435" t="s">
        <v>1</v>
      </c>
      <c r="M435" t="s">
        <v>2</v>
      </c>
      <c r="N435" t="s">
        <v>3</v>
      </c>
      <c r="O435">
        <v>1</v>
      </c>
      <c r="P435" t="s">
        <v>4</v>
      </c>
      <c r="Q435">
        <v>22.1</v>
      </c>
      <c r="R435" t="str" cm="1">
        <f t="array" ref="R4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5" t="e">
        <f>IF(Table13[[#This Row],[Category All]]="Category 1", "Yes",NA())</f>
        <v>#N/A</v>
      </c>
      <c r="T435" t="str">
        <f>IF(Table13[[#This Row],[Category All]]="Category 2", "Yes",NA())</f>
        <v>Yes</v>
      </c>
      <c r="U435" t="e">
        <f>IF(Table13[[#This Row],[Category All]]="Category 3", "Yes",NA())</f>
        <v>#N/A</v>
      </c>
      <c r="V435">
        <f>SUM(1,(1/3)*(Table13[[#This Row],[Length]]-0.5),(1/3)*(Table13[[#This Row],[Diameter]]-0.4),(1/3)*(Table13[[#This Row],[Height]]-0.4)*Table13[[#This Row],[Whole_weight]]*0.5)</f>
        <v>0.93503333333333327</v>
      </c>
      <c r="W435" cm="1">
        <f t="array" ref="W4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0.74802666666666662</v>
      </c>
      <c r="X435" t="e">
        <f>IF(Table13[[#This Row],[Category All]]="Category 1",Table13[[#This Row],[Base Abalone Value]]*1.5,NA())</f>
        <v>#N/A</v>
      </c>
      <c r="Y435">
        <f>IF(Table13[[#This Row],[Category All]]="Category 2",Table13[[#This Row],[Base Abalone Value]]*0.8,NA())</f>
        <v>0.74802666666666662</v>
      </c>
      <c r="Z435" t="e">
        <f>IF(Table13[[#This Row],[Category All]]="Category 3",Table13[[#This Row],[Base Abalone Value]],NA())</f>
        <v>#N/A</v>
      </c>
      <c r="AA435" s="2" t="e">
        <f>IF(Table13[[#This Row],[Gender]]="M",Table13[[#This Row],[Whole_weight]],NA())</f>
        <v>#N/A</v>
      </c>
      <c r="AB435" s="2" t="e">
        <f>IF(Table13[[#This Row],[Gender]]="F",Table13[[#This Row],[Whole_weight]],NA())</f>
        <v>#N/A</v>
      </c>
      <c r="AC435" s="2">
        <f>IF(Table13[[#This Row],[Gender]]="I",Table13[[#This Row],[Whole_weight]],NA())</f>
        <v>0.36599999999999999</v>
      </c>
      <c r="AD435" s="2" t="e">
        <f>IF(Table13[[#This Row],[Gender]]="M",Table13[[#This Row],[Diameter]],NA())</f>
        <v>#N/A</v>
      </c>
      <c r="AE435" s="2" t="e">
        <f>IF(Table13[[#This Row],[Gender]]="F",Table13[[#This Row],[Diameter]],NA())</f>
        <v>#N/A</v>
      </c>
      <c r="AF435" s="2">
        <f>IF(Table13[[#This Row],[Gender]]="I",Table13[[#This Row],[Diameter]],NA())</f>
        <v>0.32500000000000001</v>
      </c>
    </row>
    <row r="436" spans="1:32" x14ac:dyDescent="0.2">
      <c r="A436">
        <v>2144</v>
      </c>
      <c r="B436" t="s">
        <v>15</v>
      </c>
      <c r="C436">
        <v>0.47</v>
      </c>
      <c r="D436">
        <v>0.37</v>
      </c>
      <c r="E436">
        <v>0.105</v>
      </c>
      <c r="F436">
        <v>0.46650000000000003</v>
      </c>
      <c r="G436">
        <v>0.20250000000000001</v>
      </c>
      <c r="H436">
        <v>0.10150000000000001</v>
      </c>
      <c r="I436">
        <v>0.155</v>
      </c>
      <c r="J436">
        <v>10</v>
      </c>
      <c r="K436">
        <v>8</v>
      </c>
      <c r="L436" t="s">
        <v>29</v>
      </c>
      <c r="M436" t="s">
        <v>30</v>
      </c>
      <c r="N436" t="s">
        <v>31</v>
      </c>
      <c r="O436">
        <v>10</v>
      </c>
      <c r="P436" t="s">
        <v>38</v>
      </c>
      <c r="Q436">
        <v>24.1</v>
      </c>
      <c r="R436" t="str" cm="1">
        <f t="array" ref="R4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6" t="e">
        <f>IF(Table13[[#This Row],[Category All]]="Category 1", "Yes",NA())</f>
        <v>#N/A</v>
      </c>
      <c r="T436" t="str">
        <f>IF(Table13[[#This Row],[Category All]]="Category 2", "Yes",NA())</f>
        <v>Yes</v>
      </c>
      <c r="U436" t="e">
        <f>IF(Table13[[#This Row],[Category All]]="Category 3", "Yes",NA())</f>
        <v>#N/A</v>
      </c>
      <c r="V436">
        <f>SUM(1,(1/3)*(Table13[[#This Row],[Length]]-0.5),(1/3)*(Table13[[#This Row],[Diameter]]-0.4),(1/3)*(Table13[[#This Row],[Height]]-0.4)*Table13[[#This Row],[Whole_weight]]*0.5)</f>
        <v>0.95706374999999999</v>
      </c>
      <c r="W436" cm="1">
        <f t="array" ref="W4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0.76565100000000008</v>
      </c>
      <c r="X436" t="e">
        <f>IF(Table13[[#This Row],[Category All]]="Category 1",Table13[[#This Row],[Base Abalone Value]]*1.5,NA())</f>
        <v>#N/A</v>
      </c>
      <c r="Y436">
        <f>IF(Table13[[#This Row],[Category All]]="Category 2",Table13[[#This Row],[Base Abalone Value]]*0.8,NA())</f>
        <v>0.76565100000000008</v>
      </c>
      <c r="Z436" t="e">
        <f>IF(Table13[[#This Row],[Category All]]="Category 3",Table13[[#This Row],[Base Abalone Value]],NA())</f>
        <v>#N/A</v>
      </c>
      <c r="AA436" s="2">
        <f>IF(Table13[[#This Row],[Gender]]="M",Table13[[#This Row],[Whole_weight]],NA())</f>
        <v>0.46650000000000003</v>
      </c>
      <c r="AB436" s="2" t="e">
        <f>IF(Table13[[#This Row],[Gender]]="F",Table13[[#This Row],[Whole_weight]],NA())</f>
        <v>#N/A</v>
      </c>
      <c r="AC436" s="2" t="e">
        <f>IF(Table13[[#This Row],[Gender]]="I",Table13[[#This Row],[Whole_weight]],NA())</f>
        <v>#N/A</v>
      </c>
      <c r="AD436" s="2">
        <f>IF(Table13[[#This Row],[Gender]]="M",Table13[[#This Row],[Diameter]],NA())</f>
        <v>0.37</v>
      </c>
      <c r="AE436" s="2" t="e">
        <f>IF(Table13[[#This Row],[Gender]]="F",Table13[[#This Row],[Diameter]],NA())</f>
        <v>#N/A</v>
      </c>
      <c r="AF436" s="2" t="e">
        <f>IF(Table13[[#This Row],[Gender]]="I",Table13[[#This Row],[Diameter]],NA())</f>
        <v>#N/A</v>
      </c>
    </row>
    <row r="437" spans="1:32" x14ac:dyDescent="0.2">
      <c r="A437">
        <v>3031</v>
      </c>
      <c r="B437" t="s">
        <v>11</v>
      </c>
      <c r="C437">
        <v>0.52</v>
      </c>
      <c r="D437">
        <v>0.39500000000000002</v>
      </c>
      <c r="E437">
        <v>0.115</v>
      </c>
      <c r="F437">
        <v>0.64449999999999996</v>
      </c>
      <c r="G437">
        <v>0.3155</v>
      </c>
      <c r="H437">
        <v>0.1245</v>
      </c>
      <c r="I437">
        <v>0.186</v>
      </c>
      <c r="J437">
        <v>11</v>
      </c>
      <c r="K437">
        <v>7</v>
      </c>
      <c r="L437" t="s">
        <v>35</v>
      </c>
      <c r="M437" t="s">
        <v>36</v>
      </c>
      <c r="N437" t="s">
        <v>37</v>
      </c>
      <c r="O437">
        <v>1</v>
      </c>
      <c r="P437" t="s">
        <v>4</v>
      </c>
      <c r="Q437">
        <v>22.1</v>
      </c>
      <c r="R437" t="str" cm="1">
        <f t="array" ref="R4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7" t="e">
        <f>IF(Table13[[#This Row],[Category All]]="Category 1", "Yes",NA())</f>
        <v>#N/A</v>
      </c>
      <c r="T437" t="str">
        <f>IF(Table13[[#This Row],[Category All]]="Category 2", "Yes",NA())</f>
        <v>Yes</v>
      </c>
      <c r="U437" t="e">
        <f>IF(Table13[[#This Row],[Category All]]="Category 3", "Yes",NA())</f>
        <v>#N/A</v>
      </c>
      <c r="V437">
        <f>SUM(1,(1/3)*(Table13[[#This Row],[Length]]-0.5),(1/3)*(Table13[[#This Row],[Diameter]]-0.4),(1/3)*(Table13[[#This Row],[Height]]-0.4)*Table13[[#This Row],[Whole_weight]]*0.5)</f>
        <v>0.9743862499999999</v>
      </c>
      <c r="W437" cm="1">
        <f t="array" ref="W4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0.77950900000000001</v>
      </c>
      <c r="X437" t="e">
        <f>IF(Table13[[#This Row],[Category All]]="Category 1",Table13[[#This Row],[Base Abalone Value]]*1.5,NA())</f>
        <v>#N/A</v>
      </c>
      <c r="Y437">
        <f>IF(Table13[[#This Row],[Category All]]="Category 2",Table13[[#This Row],[Base Abalone Value]]*0.8,NA())</f>
        <v>0.77950900000000001</v>
      </c>
      <c r="Z437" t="e">
        <f>IF(Table13[[#This Row],[Category All]]="Category 3",Table13[[#This Row],[Base Abalone Value]],NA())</f>
        <v>#N/A</v>
      </c>
      <c r="AA437" s="2" t="e">
        <f>IF(Table13[[#This Row],[Gender]]="M",Table13[[#This Row],[Whole_weight]],NA())</f>
        <v>#N/A</v>
      </c>
      <c r="AB437" s="2" t="e">
        <f>IF(Table13[[#This Row],[Gender]]="F",Table13[[#This Row],[Whole_weight]],NA())</f>
        <v>#N/A</v>
      </c>
      <c r="AC437" s="2">
        <f>IF(Table13[[#This Row],[Gender]]="I",Table13[[#This Row],[Whole_weight]],NA())</f>
        <v>0.64449999999999996</v>
      </c>
      <c r="AD437" s="2" t="e">
        <f>IF(Table13[[#This Row],[Gender]]="M",Table13[[#This Row],[Diameter]],NA())</f>
        <v>#N/A</v>
      </c>
      <c r="AE437" s="2" t="e">
        <f>IF(Table13[[#This Row],[Gender]]="F",Table13[[#This Row],[Diameter]],NA())</f>
        <v>#N/A</v>
      </c>
      <c r="AF437" s="2">
        <f>IF(Table13[[#This Row],[Gender]]="I",Table13[[#This Row],[Diameter]],NA())</f>
        <v>0.39500000000000002</v>
      </c>
    </row>
    <row r="438" spans="1:32" x14ac:dyDescent="0.2">
      <c r="A438">
        <v>635</v>
      </c>
      <c r="B438" t="s">
        <v>15</v>
      </c>
      <c r="C438">
        <v>0.36</v>
      </c>
      <c r="D438">
        <v>0.29499999999999998</v>
      </c>
      <c r="E438">
        <v>0.1</v>
      </c>
      <c r="F438">
        <v>0.21049999999999999</v>
      </c>
      <c r="G438">
        <v>6.6000000000000003E-2</v>
      </c>
      <c r="H438">
        <v>5.2499999999999998E-2</v>
      </c>
      <c r="I438">
        <v>7.4999999999999997E-2</v>
      </c>
      <c r="J438">
        <v>9</v>
      </c>
      <c r="K438">
        <v>15</v>
      </c>
      <c r="L438" t="s">
        <v>49</v>
      </c>
      <c r="M438" t="s">
        <v>50</v>
      </c>
      <c r="N438" t="s">
        <v>3</v>
      </c>
      <c r="O438">
        <v>7</v>
      </c>
      <c r="P438" t="s">
        <v>42</v>
      </c>
      <c r="Q438">
        <v>2.5</v>
      </c>
      <c r="R438" t="str" cm="1">
        <f t="array" ref="R4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8" t="e">
        <f>IF(Table13[[#This Row],[Category All]]="Category 1", "Yes",NA())</f>
        <v>#N/A</v>
      </c>
      <c r="T438" t="str">
        <f>IF(Table13[[#This Row],[Category All]]="Category 2", "Yes",NA())</f>
        <v>Yes</v>
      </c>
      <c r="U438" t="e">
        <f>IF(Table13[[#This Row],[Category All]]="Category 3", "Yes",NA())</f>
        <v>#N/A</v>
      </c>
      <c r="V438">
        <f>SUM(1,(1/3)*(Table13[[#This Row],[Length]]-0.5),(1/3)*(Table13[[#This Row],[Diameter]]-0.4),(1/3)*(Table13[[#This Row],[Height]]-0.4)*Table13[[#This Row],[Whole_weight]]*0.5)</f>
        <v>0.90780833333333333</v>
      </c>
      <c r="W438" cm="1">
        <f t="array" ref="W4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0.72624666666666671</v>
      </c>
      <c r="X438" t="e">
        <f>IF(Table13[[#This Row],[Category All]]="Category 1",Table13[[#This Row],[Base Abalone Value]]*1.5,NA())</f>
        <v>#N/A</v>
      </c>
      <c r="Y438">
        <f>IF(Table13[[#This Row],[Category All]]="Category 2",Table13[[#This Row],[Base Abalone Value]]*0.8,NA())</f>
        <v>0.72624666666666671</v>
      </c>
      <c r="Z438" t="e">
        <f>IF(Table13[[#This Row],[Category All]]="Category 3",Table13[[#This Row],[Base Abalone Value]],NA())</f>
        <v>#N/A</v>
      </c>
      <c r="AA438" s="2">
        <f>IF(Table13[[#This Row],[Gender]]="M",Table13[[#This Row],[Whole_weight]],NA())</f>
        <v>0.21049999999999999</v>
      </c>
      <c r="AB438" s="2" t="e">
        <f>IF(Table13[[#This Row],[Gender]]="F",Table13[[#This Row],[Whole_weight]],NA())</f>
        <v>#N/A</v>
      </c>
      <c r="AC438" s="2" t="e">
        <f>IF(Table13[[#This Row],[Gender]]="I",Table13[[#This Row],[Whole_weight]],NA())</f>
        <v>#N/A</v>
      </c>
      <c r="AD438" s="2">
        <f>IF(Table13[[#This Row],[Gender]]="M",Table13[[#This Row],[Diameter]],NA())</f>
        <v>0.29499999999999998</v>
      </c>
      <c r="AE438" s="2" t="e">
        <f>IF(Table13[[#This Row],[Gender]]="F",Table13[[#This Row],[Diameter]],NA())</f>
        <v>#N/A</v>
      </c>
      <c r="AF438" s="2" t="e">
        <f>IF(Table13[[#This Row],[Gender]]="I",Table13[[#This Row],[Diameter]],NA())</f>
        <v>#N/A</v>
      </c>
    </row>
    <row r="439" spans="1:32" x14ac:dyDescent="0.2">
      <c r="A439">
        <v>3387</v>
      </c>
      <c r="B439" t="s">
        <v>15</v>
      </c>
      <c r="C439">
        <v>0.51500000000000001</v>
      </c>
      <c r="D439">
        <v>0.4</v>
      </c>
      <c r="E439">
        <v>0.125</v>
      </c>
      <c r="F439">
        <v>0.95499999999999996</v>
      </c>
      <c r="G439">
        <v>0.34100000000000003</v>
      </c>
      <c r="H439">
        <v>0.2535</v>
      </c>
      <c r="I439">
        <v>0.26</v>
      </c>
      <c r="J439">
        <v>13</v>
      </c>
      <c r="K439">
        <v>5</v>
      </c>
      <c r="L439" t="s">
        <v>26</v>
      </c>
      <c r="M439" t="s">
        <v>27</v>
      </c>
      <c r="N439" t="s">
        <v>28</v>
      </c>
      <c r="O439">
        <v>3</v>
      </c>
      <c r="P439" t="s">
        <v>48</v>
      </c>
      <c r="Q439">
        <v>3.6</v>
      </c>
      <c r="R439" t="str" cm="1">
        <f t="array" ref="R4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9" t="e">
        <f>IF(Table13[[#This Row],[Category All]]="Category 1", "Yes",NA())</f>
        <v>#N/A</v>
      </c>
      <c r="T439" t="str">
        <f>IF(Table13[[#This Row],[Category All]]="Category 2", "Yes",NA())</f>
        <v>Yes</v>
      </c>
      <c r="U439" t="e">
        <f>IF(Table13[[#This Row],[Category All]]="Category 3", "Yes",NA())</f>
        <v>#N/A</v>
      </c>
      <c r="V439">
        <f>SUM(1,(1/3)*(Table13[[#This Row],[Length]]-0.5),(1/3)*(Table13[[#This Row],[Diameter]]-0.4),(1/3)*(Table13[[#This Row],[Height]]-0.4)*Table13[[#This Row],[Whole_weight]]*0.5)</f>
        <v>0.96122916666666658</v>
      </c>
      <c r="W439" cm="1">
        <f t="array" ref="W4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0.76898333333333335</v>
      </c>
      <c r="X439" t="e">
        <f>IF(Table13[[#This Row],[Category All]]="Category 1",Table13[[#This Row],[Base Abalone Value]]*1.5,NA())</f>
        <v>#N/A</v>
      </c>
      <c r="Y439">
        <f>IF(Table13[[#This Row],[Category All]]="Category 2",Table13[[#This Row],[Base Abalone Value]]*0.8,NA())</f>
        <v>0.76898333333333335</v>
      </c>
      <c r="Z439" t="e">
        <f>IF(Table13[[#This Row],[Category All]]="Category 3",Table13[[#This Row],[Base Abalone Value]],NA())</f>
        <v>#N/A</v>
      </c>
      <c r="AA439" s="2">
        <f>IF(Table13[[#This Row],[Gender]]="M",Table13[[#This Row],[Whole_weight]],NA())</f>
        <v>0.95499999999999996</v>
      </c>
      <c r="AB439" s="2" t="e">
        <f>IF(Table13[[#This Row],[Gender]]="F",Table13[[#This Row],[Whole_weight]],NA())</f>
        <v>#N/A</v>
      </c>
      <c r="AC439" s="2" t="e">
        <f>IF(Table13[[#This Row],[Gender]]="I",Table13[[#This Row],[Whole_weight]],NA())</f>
        <v>#N/A</v>
      </c>
      <c r="AD439" s="2">
        <f>IF(Table13[[#This Row],[Gender]]="M",Table13[[#This Row],[Diameter]],NA())</f>
        <v>0.4</v>
      </c>
      <c r="AE439" s="2" t="e">
        <f>IF(Table13[[#This Row],[Gender]]="F",Table13[[#This Row],[Diameter]],NA())</f>
        <v>#N/A</v>
      </c>
      <c r="AF439" s="2" t="e">
        <f>IF(Table13[[#This Row],[Gender]]="I",Table13[[#This Row],[Diameter]],NA())</f>
        <v>#N/A</v>
      </c>
    </row>
    <row r="440" spans="1:32" x14ac:dyDescent="0.2">
      <c r="A440">
        <v>1265</v>
      </c>
      <c r="B440" t="s">
        <v>11</v>
      </c>
      <c r="C440">
        <v>0.45500000000000002</v>
      </c>
      <c r="D440">
        <v>0.33</v>
      </c>
      <c r="E440">
        <v>0.1</v>
      </c>
      <c r="F440">
        <v>0.372</v>
      </c>
      <c r="G440">
        <v>0.35799999999999998</v>
      </c>
      <c r="H440">
        <v>7.7499999999999999E-2</v>
      </c>
      <c r="I440">
        <v>0.11</v>
      </c>
      <c r="J440">
        <v>8</v>
      </c>
      <c r="K440">
        <v>6</v>
      </c>
      <c r="L440" t="s">
        <v>39</v>
      </c>
      <c r="M440" t="s">
        <v>40</v>
      </c>
      <c r="N440" t="s">
        <v>41</v>
      </c>
      <c r="O440">
        <v>3</v>
      </c>
      <c r="P440" t="s">
        <v>48</v>
      </c>
      <c r="Q440">
        <v>3.6</v>
      </c>
      <c r="R440" t="str" cm="1">
        <f t="array" ref="R4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40" t="e">
        <f>IF(Table13[[#This Row],[Category All]]="Category 1", "Yes",NA())</f>
        <v>#N/A</v>
      </c>
      <c r="T440" t="str">
        <f>IF(Table13[[#This Row],[Category All]]="Category 2", "Yes",NA())</f>
        <v>Yes</v>
      </c>
      <c r="U440" t="e">
        <f>IF(Table13[[#This Row],[Category All]]="Category 3", "Yes",NA())</f>
        <v>#N/A</v>
      </c>
      <c r="V440">
        <f>SUM(1,(1/3)*(Table13[[#This Row],[Length]]-0.5),(1/3)*(Table13[[#This Row],[Diameter]]-0.4),(1/3)*(Table13[[#This Row],[Height]]-0.4)*Table13[[#This Row],[Whole_weight]]*0.5)</f>
        <v>0.94306666666666672</v>
      </c>
      <c r="W440" cm="1">
        <f t="array" ref="W4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0.75445333333333342</v>
      </c>
      <c r="X440" t="e">
        <f>IF(Table13[[#This Row],[Category All]]="Category 1",Table13[[#This Row],[Base Abalone Value]]*1.5,NA())</f>
        <v>#N/A</v>
      </c>
      <c r="Y440">
        <f>IF(Table13[[#This Row],[Category All]]="Category 2",Table13[[#This Row],[Base Abalone Value]]*0.8,NA())</f>
        <v>0.75445333333333342</v>
      </c>
      <c r="Z440" t="e">
        <f>IF(Table13[[#This Row],[Category All]]="Category 3",Table13[[#This Row],[Base Abalone Value]],NA())</f>
        <v>#N/A</v>
      </c>
      <c r="AA440" s="2" t="e">
        <f>IF(Table13[[#This Row],[Gender]]="M",Table13[[#This Row],[Whole_weight]],NA())</f>
        <v>#N/A</v>
      </c>
      <c r="AB440" s="2" t="e">
        <f>IF(Table13[[#This Row],[Gender]]="F",Table13[[#This Row],[Whole_weight]],NA())</f>
        <v>#N/A</v>
      </c>
      <c r="AC440" s="2">
        <f>IF(Table13[[#This Row],[Gender]]="I",Table13[[#This Row],[Whole_weight]],NA())</f>
        <v>0.372</v>
      </c>
      <c r="AD440" s="2" t="e">
        <f>IF(Table13[[#This Row],[Gender]]="M",Table13[[#This Row],[Diameter]],NA())</f>
        <v>#N/A</v>
      </c>
      <c r="AE440" s="2" t="e">
        <f>IF(Table13[[#This Row],[Gender]]="F",Table13[[#This Row],[Diameter]],NA())</f>
        <v>#N/A</v>
      </c>
      <c r="AF440" s="2">
        <f>IF(Table13[[#This Row],[Gender]]="I",Table13[[#This Row],[Diameter]],NA())</f>
        <v>0.33</v>
      </c>
    </row>
    <row r="441" spans="1:32" x14ac:dyDescent="0.2">
      <c r="A441">
        <v>1669</v>
      </c>
      <c r="B441" t="s">
        <v>15</v>
      </c>
      <c r="C441">
        <v>0.61</v>
      </c>
      <c r="D441">
        <v>0.47499999999999998</v>
      </c>
      <c r="E441">
        <v>0.155</v>
      </c>
      <c r="F441">
        <v>0.98299999999999998</v>
      </c>
      <c r="G441">
        <v>0.45650000000000002</v>
      </c>
      <c r="H441">
        <v>0.22800000000000001</v>
      </c>
      <c r="I441">
        <v>0.26600000000000001</v>
      </c>
      <c r="J441">
        <v>10</v>
      </c>
      <c r="K441">
        <v>14</v>
      </c>
      <c r="L441" t="s">
        <v>23</v>
      </c>
      <c r="M441" t="s">
        <v>24</v>
      </c>
      <c r="N441" t="s">
        <v>25</v>
      </c>
      <c r="O441">
        <v>7</v>
      </c>
      <c r="P441" t="s">
        <v>42</v>
      </c>
      <c r="Q441">
        <v>2.5</v>
      </c>
      <c r="R441" t="str" cm="1">
        <f t="array" ref="R4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41" t="e">
        <f>IF(Table13[[#This Row],[Category All]]="Category 1", "Yes",NA())</f>
        <v>#N/A</v>
      </c>
      <c r="T441" t="e">
        <f>IF(Table13[[#This Row],[Category All]]="Category 2", "Yes",NA())</f>
        <v>#N/A</v>
      </c>
      <c r="U441" t="str">
        <f>IF(Table13[[#This Row],[Category All]]="Category 3", "Yes",NA())</f>
        <v>Yes</v>
      </c>
      <c r="V441">
        <f>SUM(1,(1/3)*(Table13[[#This Row],[Length]]-0.5),(1/3)*(Table13[[#This Row],[Diameter]]-0.4),(1/3)*(Table13[[#This Row],[Height]]-0.4)*Table13[[#This Row],[Whole_weight]]*0.5)</f>
        <v>1.0215274999999999</v>
      </c>
      <c r="W441" cm="1">
        <f t="array" ref="W4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1.0215274999999999</v>
      </c>
      <c r="X441" t="e">
        <f>IF(Table13[[#This Row],[Category All]]="Category 1",Table13[[#This Row],[Base Abalone Value]]*1.5,NA())</f>
        <v>#N/A</v>
      </c>
      <c r="Y441" t="e">
        <f>IF(Table13[[#This Row],[Category All]]="Category 2",Table13[[#This Row],[Base Abalone Value]]*0.8,NA())</f>
        <v>#N/A</v>
      </c>
      <c r="Z441">
        <f>IF(Table13[[#This Row],[Category All]]="Category 3",Table13[[#This Row],[Base Abalone Value]],NA())</f>
        <v>1.0215274999999999</v>
      </c>
      <c r="AA441" s="2">
        <f>IF(Table13[[#This Row],[Gender]]="M",Table13[[#This Row],[Whole_weight]],NA())</f>
        <v>0.98299999999999998</v>
      </c>
      <c r="AB441" s="2" t="e">
        <f>IF(Table13[[#This Row],[Gender]]="F",Table13[[#This Row],[Whole_weight]],NA())</f>
        <v>#N/A</v>
      </c>
      <c r="AC441" s="2" t="e">
        <f>IF(Table13[[#This Row],[Gender]]="I",Table13[[#This Row],[Whole_weight]],NA())</f>
        <v>#N/A</v>
      </c>
      <c r="AD441" s="2">
        <f>IF(Table13[[#This Row],[Gender]]="M",Table13[[#This Row],[Diameter]],NA())</f>
        <v>0.47499999999999998</v>
      </c>
      <c r="AE441" s="2" t="e">
        <f>IF(Table13[[#This Row],[Gender]]="F",Table13[[#This Row],[Diameter]],NA())</f>
        <v>#N/A</v>
      </c>
      <c r="AF441" s="2" t="e">
        <f>IF(Table13[[#This Row],[Gender]]="I",Table13[[#This Row],[Diameter]],NA())</f>
        <v>#N/A</v>
      </c>
    </row>
    <row r="442" spans="1:32" x14ac:dyDescent="0.2">
      <c r="A442">
        <v>3770</v>
      </c>
      <c r="B442" t="s">
        <v>0</v>
      </c>
      <c r="C442">
        <v>0.56000000000000005</v>
      </c>
      <c r="D442">
        <v>0.43</v>
      </c>
      <c r="E442">
        <v>0.14499999999999999</v>
      </c>
      <c r="F442">
        <v>0.89800000000000002</v>
      </c>
      <c r="G442">
        <v>0.38950000000000001</v>
      </c>
      <c r="H442">
        <v>0.23250000000000001</v>
      </c>
      <c r="I442">
        <v>0.245</v>
      </c>
      <c r="J442">
        <v>9</v>
      </c>
      <c r="K442">
        <v>9</v>
      </c>
      <c r="L442" t="s">
        <v>20</v>
      </c>
      <c r="M442" t="s">
        <v>21</v>
      </c>
      <c r="N442" t="s">
        <v>22</v>
      </c>
      <c r="O442">
        <v>1</v>
      </c>
      <c r="P442" t="s">
        <v>4</v>
      </c>
      <c r="Q442">
        <v>22.1</v>
      </c>
      <c r="R442" t="str" cm="1">
        <f t="array" ref="R4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42" t="e">
        <f>IF(Table13[[#This Row],[Category All]]="Category 1", "Yes",NA())</f>
        <v>#N/A</v>
      </c>
      <c r="T442" t="str">
        <f>IF(Table13[[#This Row],[Category All]]="Category 2", "Yes",NA())</f>
        <v>Yes</v>
      </c>
      <c r="U442" t="e">
        <f>IF(Table13[[#This Row],[Category All]]="Category 3", "Yes",NA())</f>
        <v>#N/A</v>
      </c>
      <c r="V442">
        <f>SUM(1,(1/3)*(Table13[[#This Row],[Length]]-0.5),(1/3)*(Table13[[#This Row],[Diameter]]-0.4),(1/3)*(Table13[[#This Row],[Height]]-0.4)*Table13[[#This Row],[Whole_weight]]*0.5)</f>
        <v>0.99183500000000002</v>
      </c>
      <c r="W442" cm="1">
        <f t="array" ref="W4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0.79346800000000006</v>
      </c>
      <c r="X442" t="e">
        <f>IF(Table13[[#This Row],[Category All]]="Category 1",Table13[[#This Row],[Base Abalone Value]]*1.5,NA())</f>
        <v>#N/A</v>
      </c>
      <c r="Y442">
        <f>IF(Table13[[#This Row],[Category All]]="Category 2",Table13[[#This Row],[Base Abalone Value]]*0.8,NA())</f>
        <v>0.79346800000000006</v>
      </c>
      <c r="Z442" t="e">
        <f>IF(Table13[[#This Row],[Category All]]="Category 3",Table13[[#This Row],[Base Abalone Value]],NA())</f>
        <v>#N/A</v>
      </c>
      <c r="AA442" s="2" t="e">
        <f>IF(Table13[[#This Row],[Gender]]="M",Table13[[#This Row],[Whole_weight]],NA())</f>
        <v>#N/A</v>
      </c>
      <c r="AB442" s="2">
        <f>IF(Table13[[#This Row],[Gender]]="F",Table13[[#This Row],[Whole_weight]],NA())</f>
        <v>0.89800000000000002</v>
      </c>
      <c r="AC442" s="2" t="e">
        <f>IF(Table13[[#This Row],[Gender]]="I",Table13[[#This Row],[Whole_weight]],NA())</f>
        <v>#N/A</v>
      </c>
      <c r="AD442" s="2" t="e">
        <f>IF(Table13[[#This Row],[Gender]]="M",Table13[[#This Row],[Diameter]],NA())</f>
        <v>#N/A</v>
      </c>
      <c r="AE442" s="2">
        <f>IF(Table13[[#This Row],[Gender]]="F",Table13[[#This Row],[Diameter]],NA())</f>
        <v>0.43</v>
      </c>
      <c r="AF442" s="2" t="e">
        <f>IF(Table13[[#This Row],[Gender]]="I",Table13[[#This Row],[Diameter]],NA())</f>
        <v>#N/A</v>
      </c>
    </row>
    <row r="443" spans="1:32" x14ac:dyDescent="0.2">
      <c r="A443">
        <v>1291</v>
      </c>
      <c r="B443" t="s">
        <v>11</v>
      </c>
      <c r="C443">
        <v>0.51500000000000001</v>
      </c>
      <c r="D443">
        <v>0.38</v>
      </c>
      <c r="E443">
        <v>0.12</v>
      </c>
      <c r="F443">
        <v>0.625</v>
      </c>
      <c r="G443">
        <v>0.32650000000000001</v>
      </c>
      <c r="H443">
        <v>0.1295</v>
      </c>
      <c r="I443">
        <v>0.16</v>
      </c>
      <c r="J443">
        <v>7</v>
      </c>
      <c r="K443">
        <v>13</v>
      </c>
      <c r="L443" t="s">
        <v>12</v>
      </c>
      <c r="M443" t="s">
        <v>13</v>
      </c>
      <c r="N443" t="s">
        <v>3</v>
      </c>
      <c r="O443">
        <v>9</v>
      </c>
      <c r="P443" t="s">
        <v>46</v>
      </c>
      <c r="Q443">
        <v>1.9</v>
      </c>
      <c r="R443" t="str" cm="1">
        <f t="array" ref="R4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43" t="e">
        <f>IF(Table13[[#This Row],[Category All]]="Category 1", "Yes",NA())</f>
        <v>#N/A</v>
      </c>
      <c r="T443" t="str">
        <f>IF(Table13[[#This Row],[Category All]]="Category 2", "Yes",NA())</f>
        <v>Yes</v>
      </c>
      <c r="U443" t="e">
        <f>IF(Table13[[#This Row],[Category All]]="Category 3", "Yes",NA())</f>
        <v>#N/A</v>
      </c>
      <c r="V443">
        <f>SUM(1,(1/3)*(Table13[[#This Row],[Length]]-0.5),(1/3)*(Table13[[#This Row],[Diameter]]-0.4),(1/3)*(Table13[[#This Row],[Height]]-0.4)*Table13[[#This Row],[Whole_weight]]*0.5)</f>
        <v>0.96916666666666651</v>
      </c>
      <c r="W443" cm="1">
        <f t="array" ref="W4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0.77533333333333321</v>
      </c>
      <c r="X443" t="e">
        <f>IF(Table13[[#This Row],[Category All]]="Category 1",Table13[[#This Row],[Base Abalone Value]]*1.5,NA())</f>
        <v>#N/A</v>
      </c>
      <c r="Y443">
        <f>IF(Table13[[#This Row],[Category All]]="Category 2",Table13[[#This Row],[Base Abalone Value]]*0.8,NA())</f>
        <v>0.77533333333333321</v>
      </c>
      <c r="Z443" t="e">
        <f>IF(Table13[[#This Row],[Category All]]="Category 3",Table13[[#This Row],[Base Abalone Value]],NA())</f>
        <v>#N/A</v>
      </c>
      <c r="AA443" s="2" t="e">
        <f>IF(Table13[[#This Row],[Gender]]="M",Table13[[#This Row],[Whole_weight]],NA())</f>
        <v>#N/A</v>
      </c>
      <c r="AB443" s="2" t="e">
        <f>IF(Table13[[#This Row],[Gender]]="F",Table13[[#This Row],[Whole_weight]],NA())</f>
        <v>#N/A</v>
      </c>
      <c r="AC443" s="2">
        <f>IF(Table13[[#This Row],[Gender]]="I",Table13[[#This Row],[Whole_weight]],NA())</f>
        <v>0.625</v>
      </c>
      <c r="AD443" s="2" t="e">
        <f>IF(Table13[[#This Row],[Gender]]="M",Table13[[#This Row],[Diameter]],NA())</f>
        <v>#N/A</v>
      </c>
      <c r="AE443" s="2" t="e">
        <f>IF(Table13[[#This Row],[Gender]]="F",Table13[[#This Row],[Diameter]],NA())</f>
        <v>#N/A</v>
      </c>
      <c r="AF443" s="2">
        <f>IF(Table13[[#This Row],[Gender]]="I",Table13[[#This Row],[Diameter]],NA())</f>
        <v>0.38</v>
      </c>
    </row>
    <row r="444" spans="1:32" x14ac:dyDescent="0.2">
      <c r="A444">
        <v>56</v>
      </c>
      <c r="B444" t="s">
        <v>0</v>
      </c>
      <c r="C444">
        <v>0.5</v>
      </c>
      <c r="D444">
        <v>0.4</v>
      </c>
      <c r="E444">
        <v>0.14000000000000001</v>
      </c>
      <c r="F444">
        <v>0.66149999999999998</v>
      </c>
      <c r="G444">
        <v>0.25650000000000001</v>
      </c>
      <c r="H444">
        <v>0.17549999999999999</v>
      </c>
      <c r="I444">
        <v>0.22</v>
      </c>
      <c r="J444">
        <v>8</v>
      </c>
      <c r="K444">
        <v>1</v>
      </c>
      <c r="L444" t="s">
        <v>8</v>
      </c>
      <c r="M444" t="s">
        <v>9</v>
      </c>
      <c r="N444" t="s">
        <v>3</v>
      </c>
      <c r="O444">
        <v>8</v>
      </c>
      <c r="P444" t="s">
        <v>19</v>
      </c>
      <c r="Q444">
        <v>12.3</v>
      </c>
      <c r="R444" t="str" cm="1">
        <f t="array" ref="R4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44" t="e">
        <f>IF(Table13[[#This Row],[Category All]]="Category 1", "Yes",NA())</f>
        <v>#N/A</v>
      </c>
      <c r="T444" t="str">
        <f>IF(Table13[[#This Row],[Category All]]="Category 2", "Yes",NA())</f>
        <v>Yes</v>
      </c>
      <c r="U444" t="e">
        <f>IF(Table13[[#This Row],[Category All]]="Category 3", "Yes",NA())</f>
        <v>#N/A</v>
      </c>
      <c r="V444">
        <f>SUM(1,(1/3)*(Table13[[#This Row],[Length]]-0.5),(1/3)*(Table13[[#This Row],[Diameter]]-0.4),(1/3)*(Table13[[#This Row],[Height]]-0.4)*Table13[[#This Row],[Whole_weight]]*0.5)</f>
        <v>0.97133499999999995</v>
      </c>
      <c r="W444" cm="1">
        <f t="array" ref="W4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0.77706799999999998</v>
      </c>
      <c r="X444" t="e">
        <f>IF(Table13[[#This Row],[Category All]]="Category 1",Table13[[#This Row],[Base Abalone Value]]*1.5,NA())</f>
        <v>#N/A</v>
      </c>
      <c r="Y444">
        <f>IF(Table13[[#This Row],[Category All]]="Category 2",Table13[[#This Row],[Base Abalone Value]]*0.8,NA())</f>
        <v>0.77706799999999998</v>
      </c>
      <c r="Z444" t="e">
        <f>IF(Table13[[#This Row],[Category All]]="Category 3",Table13[[#This Row],[Base Abalone Value]],NA())</f>
        <v>#N/A</v>
      </c>
      <c r="AA444" s="2" t="e">
        <f>IF(Table13[[#This Row],[Gender]]="M",Table13[[#This Row],[Whole_weight]],NA())</f>
        <v>#N/A</v>
      </c>
      <c r="AB444" s="2">
        <f>IF(Table13[[#This Row],[Gender]]="F",Table13[[#This Row],[Whole_weight]],NA())</f>
        <v>0.66149999999999998</v>
      </c>
      <c r="AC444" s="2" t="e">
        <f>IF(Table13[[#This Row],[Gender]]="I",Table13[[#This Row],[Whole_weight]],NA())</f>
        <v>#N/A</v>
      </c>
      <c r="AD444" s="2" t="e">
        <f>IF(Table13[[#This Row],[Gender]]="M",Table13[[#This Row],[Diameter]],NA())</f>
        <v>#N/A</v>
      </c>
      <c r="AE444" s="2">
        <f>IF(Table13[[#This Row],[Gender]]="F",Table13[[#This Row],[Diameter]],NA())</f>
        <v>0.4</v>
      </c>
      <c r="AF444" s="2" t="e">
        <f>IF(Table13[[#This Row],[Gender]]="I",Table13[[#This Row],[Diameter]],NA())</f>
        <v>#N/A</v>
      </c>
    </row>
    <row r="445" spans="1:32" x14ac:dyDescent="0.2">
      <c r="A445">
        <v>2218</v>
      </c>
      <c r="B445" t="s">
        <v>0</v>
      </c>
      <c r="C445">
        <v>0.51500000000000001</v>
      </c>
      <c r="D445">
        <v>0.41499999999999998</v>
      </c>
      <c r="E445">
        <v>0.13</v>
      </c>
      <c r="F445">
        <v>0.76400000000000001</v>
      </c>
      <c r="G445">
        <v>0.27600000000000002</v>
      </c>
      <c r="H445">
        <v>0.19600000000000001</v>
      </c>
      <c r="I445">
        <v>0.25</v>
      </c>
      <c r="J445">
        <v>13</v>
      </c>
      <c r="K445">
        <v>5</v>
      </c>
      <c r="L445" t="s">
        <v>26</v>
      </c>
      <c r="M445" t="s">
        <v>27</v>
      </c>
      <c r="N445" t="s">
        <v>28</v>
      </c>
      <c r="O445">
        <v>3</v>
      </c>
      <c r="P445" t="s">
        <v>48</v>
      </c>
      <c r="Q445">
        <v>3.6</v>
      </c>
      <c r="R445" t="str" cm="1">
        <f t="array" ref="R4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45" t="e">
        <f>IF(Table13[[#This Row],[Category All]]="Category 1", "Yes",NA())</f>
        <v>#N/A</v>
      </c>
      <c r="T445" t="str">
        <f>IF(Table13[[#This Row],[Category All]]="Category 2", "Yes",NA())</f>
        <v>Yes</v>
      </c>
      <c r="U445" t="e">
        <f>IF(Table13[[#This Row],[Category All]]="Category 3", "Yes",NA())</f>
        <v>#N/A</v>
      </c>
      <c r="V445">
        <f>SUM(1,(1/3)*(Table13[[#This Row],[Length]]-0.5),(1/3)*(Table13[[#This Row],[Diameter]]-0.4),(1/3)*(Table13[[#This Row],[Height]]-0.4)*Table13[[#This Row],[Whole_weight]]*0.5)</f>
        <v>0.97561999999999982</v>
      </c>
      <c r="W445" cm="1">
        <f t="array" ref="W4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0.78049599999999986</v>
      </c>
      <c r="X445" t="e">
        <f>IF(Table13[[#This Row],[Category All]]="Category 1",Table13[[#This Row],[Base Abalone Value]]*1.5,NA())</f>
        <v>#N/A</v>
      </c>
      <c r="Y445">
        <f>IF(Table13[[#This Row],[Category All]]="Category 2",Table13[[#This Row],[Base Abalone Value]]*0.8,NA())</f>
        <v>0.78049599999999986</v>
      </c>
      <c r="Z445" t="e">
        <f>IF(Table13[[#This Row],[Category All]]="Category 3",Table13[[#This Row],[Base Abalone Value]],NA())</f>
        <v>#N/A</v>
      </c>
      <c r="AA445" s="2" t="e">
        <f>IF(Table13[[#This Row],[Gender]]="M",Table13[[#This Row],[Whole_weight]],NA())</f>
        <v>#N/A</v>
      </c>
      <c r="AB445" s="2">
        <f>IF(Table13[[#This Row],[Gender]]="F",Table13[[#This Row],[Whole_weight]],NA())</f>
        <v>0.76400000000000001</v>
      </c>
      <c r="AC445" s="2" t="e">
        <f>IF(Table13[[#This Row],[Gender]]="I",Table13[[#This Row],[Whole_weight]],NA())</f>
        <v>#N/A</v>
      </c>
      <c r="AD445" s="2" t="e">
        <f>IF(Table13[[#This Row],[Gender]]="M",Table13[[#This Row],[Diameter]],NA())</f>
        <v>#N/A</v>
      </c>
      <c r="AE445" s="2">
        <f>IF(Table13[[#This Row],[Gender]]="F",Table13[[#This Row],[Diameter]],NA())</f>
        <v>0.41499999999999998</v>
      </c>
      <c r="AF445" s="2" t="e">
        <f>IF(Table13[[#This Row],[Gender]]="I",Table13[[#This Row],[Diameter]],NA())</f>
        <v>#N/A</v>
      </c>
    </row>
    <row r="446" spans="1:32" x14ac:dyDescent="0.2">
      <c r="A446">
        <v>4009</v>
      </c>
      <c r="B446" t="s">
        <v>15</v>
      </c>
      <c r="C446">
        <v>0.58499999999999996</v>
      </c>
      <c r="D446">
        <v>0.45500000000000002</v>
      </c>
      <c r="E446">
        <v>0.155</v>
      </c>
      <c r="F446">
        <v>1.133</v>
      </c>
      <c r="G446">
        <v>0.55149999999999999</v>
      </c>
      <c r="H446">
        <v>0.223</v>
      </c>
      <c r="I446">
        <v>0.30499999999999999</v>
      </c>
      <c r="J446">
        <v>12</v>
      </c>
      <c r="K446">
        <v>9</v>
      </c>
      <c r="L446" t="s">
        <v>20</v>
      </c>
      <c r="M446" t="s">
        <v>21</v>
      </c>
      <c r="N446" t="s">
        <v>22</v>
      </c>
      <c r="O446">
        <v>5</v>
      </c>
      <c r="P446" t="s">
        <v>14</v>
      </c>
      <c r="Q446">
        <v>12.8</v>
      </c>
      <c r="R446" t="str" cm="1">
        <f t="array" ref="R4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46" t="e">
        <f>IF(Table13[[#This Row],[Category All]]="Category 1", "Yes",NA())</f>
        <v>#N/A</v>
      </c>
      <c r="T446" t="e">
        <f>IF(Table13[[#This Row],[Category All]]="Category 2", "Yes",NA())</f>
        <v>#N/A</v>
      </c>
      <c r="U446" t="str">
        <f>IF(Table13[[#This Row],[Category All]]="Category 3", "Yes",NA())</f>
        <v>Yes</v>
      </c>
      <c r="V446">
        <f>SUM(1,(1/3)*(Table13[[#This Row],[Length]]-0.5),(1/3)*(Table13[[#This Row],[Diameter]]-0.4),(1/3)*(Table13[[#This Row],[Height]]-0.4)*Table13[[#This Row],[Whole_weight]]*0.5)</f>
        <v>1.0004024999999999</v>
      </c>
      <c r="W446" cm="1">
        <f t="array" ref="W4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1.0004024999999999</v>
      </c>
      <c r="X446" t="e">
        <f>IF(Table13[[#This Row],[Category All]]="Category 1",Table13[[#This Row],[Base Abalone Value]]*1.5,NA())</f>
        <v>#N/A</v>
      </c>
      <c r="Y446" t="e">
        <f>IF(Table13[[#This Row],[Category All]]="Category 2",Table13[[#This Row],[Base Abalone Value]]*0.8,NA())</f>
        <v>#N/A</v>
      </c>
      <c r="Z446">
        <f>IF(Table13[[#This Row],[Category All]]="Category 3",Table13[[#This Row],[Base Abalone Value]],NA())</f>
        <v>1.0004024999999999</v>
      </c>
      <c r="AA446" s="2">
        <f>IF(Table13[[#This Row],[Gender]]="M",Table13[[#This Row],[Whole_weight]],NA())</f>
        <v>1.133</v>
      </c>
      <c r="AB446" s="2" t="e">
        <f>IF(Table13[[#This Row],[Gender]]="F",Table13[[#This Row],[Whole_weight]],NA())</f>
        <v>#N/A</v>
      </c>
      <c r="AC446" s="2" t="e">
        <f>IF(Table13[[#This Row],[Gender]]="I",Table13[[#This Row],[Whole_weight]],NA())</f>
        <v>#N/A</v>
      </c>
      <c r="AD446" s="2">
        <f>IF(Table13[[#This Row],[Gender]]="M",Table13[[#This Row],[Diameter]],NA())</f>
        <v>0.45500000000000002</v>
      </c>
      <c r="AE446" s="2" t="e">
        <f>IF(Table13[[#This Row],[Gender]]="F",Table13[[#This Row],[Diameter]],NA())</f>
        <v>#N/A</v>
      </c>
      <c r="AF446" s="2" t="e">
        <f>IF(Table13[[#This Row],[Gender]]="I",Table13[[#This Row],[Diameter]],NA())</f>
        <v>#N/A</v>
      </c>
    </row>
    <row r="447" spans="1:32" x14ac:dyDescent="0.2">
      <c r="A447">
        <v>2449</v>
      </c>
      <c r="B447" t="s">
        <v>0</v>
      </c>
      <c r="C447">
        <v>0.35</v>
      </c>
      <c r="D447">
        <v>0.26500000000000001</v>
      </c>
      <c r="E447">
        <v>0.09</v>
      </c>
      <c r="F447">
        <v>0.1855</v>
      </c>
      <c r="G447">
        <v>7.4499999999999997E-2</v>
      </c>
      <c r="H447">
        <v>4.1500000000000002E-2</v>
      </c>
      <c r="I447">
        <v>0.06</v>
      </c>
      <c r="J447">
        <v>7</v>
      </c>
      <c r="K447">
        <v>14</v>
      </c>
      <c r="L447" t="s">
        <v>23</v>
      </c>
      <c r="M447" t="s">
        <v>24</v>
      </c>
      <c r="N447" t="s">
        <v>25</v>
      </c>
      <c r="O447">
        <v>3</v>
      </c>
      <c r="P447" t="s">
        <v>48</v>
      </c>
      <c r="Q447">
        <v>3.6</v>
      </c>
      <c r="R447" t="str" cm="1">
        <f t="array" ref="R4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47" t="e">
        <f>IF(Table13[[#This Row],[Category All]]="Category 1", "Yes",NA())</f>
        <v>#N/A</v>
      </c>
      <c r="T447" t="str">
        <f>IF(Table13[[#This Row],[Category All]]="Category 2", "Yes",NA())</f>
        <v>Yes</v>
      </c>
      <c r="U447" t="e">
        <f>IF(Table13[[#This Row],[Category All]]="Category 3", "Yes",NA())</f>
        <v>#N/A</v>
      </c>
      <c r="V447">
        <f>SUM(1,(1/3)*(Table13[[#This Row],[Length]]-0.5),(1/3)*(Table13[[#This Row],[Diameter]]-0.4),(1/3)*(Table13[[#This Row],[Height]]-0.4)*Table13[[#This Row],[Whole_weight]]*0.5)</f>
        <v>0.8954158333333333</v>
      </c>
      <c r="W447" cm="1">
        <f t="array" ref="W4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0.71633266666666673</v>
      </c>
      <c r="X447" t="e">
        <f>IF(Table13[[#This Row],[Category All]]="Category 1",Table13[[#This Row],[Base Abalone Value]]*1.5,NA())</f>
        <v>#N/A</v>
      </c>
      <c r="Y447">
        <f>IF(Table13[[#This Row],[Category All]]="Category 2",Table13[[#This Row],[Base Abalone Value]]*0.8,NA())</f>
        <v>0.71633266666666673</v>
      </c>
      <c r="Z447" t="e">
        <f>IF(Table13[[#This Row],[Category All]]="Category 3",Table13[[#This Row],[Base Abalone Value]],NA())</f>
        <v>#N/A</v>
      </c>
      <c r="AA447" s="2" t="e">
        <f>IF(Table13[[#This Row],[Gender]]="M",Table13[[#This Row],[Whole_weight]],NA())</f>
        <v>#N/A</v>
      </c>
      <c r="AB447" s="2">
        <f>IF(Table13[[#This Row],[Gender]]="F",Table13[[#This Row],[Whole_weight]],NA())</f>
        <v>0.1855</v>
      </c>
      <c r="AC447" s="2" t="e">
        <f>IF(Table13[[#This Row],[Gender]]="I",Table13[[#This Row],[Whole_weight]],NA())</f>
        <v>#N/A</v>
      </c>
      <c r="AD447" s="2" t="e">
        <f>IF(Table13[[#This Row],[Gender]]="M",Table13[[#This Row],[Diameter]],NA())</f>
        <v>#N/A</v>
      </c>
      <c r="AE447" s="2">
        <f>IF(Table13[[#This Row],[Gender]]="F",Table13[[#This Row],[Diameter]],NA())</f>
        <v>0.26500000000000001</v>
      </c>
      <c r="AF447" s="2" t="e">
        <f>IF(Table13[[#This Row],[Gender]]="I",Table13[[#This Row],[Diameter]],NA())</f>
        <v>#N/A</v>
      </c>
    </row>
    <row r="448" spans="1:32" x14ac:dyDescent="0.2">
      <c r="A448">
        <v>1648</v>
      </c>
      <c r="B448" t="s">
        <v>0</v>
      </c>
      <c r="C448">
        <v>0.58499999999999996</v>
      </c>
      <c r="D448">
        <v>0.44500000000000001</v>
      </c>
      <c r="E448">
        <v>0.14000000000000001</v>
      </c>
      <c r="F448">
        <v>0.91300000000000003</v>
      </c>
      <c r="G448">
        <v>0.43049999999999999</v>
      </c>
      <c r="H448">
        <v>0.2205</v>
      </c>
      <c r="I448">
        <v>0.253</v>
      </c>
      <c r="J448">
        <v>10</v>
      </c>
      <c r="K448">
        <v>8</v>
      </c>
      <c r="L448" t="s">
        <v>29</v>
      </c>
      <c r="M448" t="s">
        <v>30</v>
      </c>
      <c r="N448" t="s">
        <v>31</v>
      </c>
      <c r="O448">
        <v>10</v>
      </c>
      <c r="P448" t="s">
        <v>38</v>
      </c>
      <c r="Q448">
        <v>24.1</v>
      </c>
      <c r="R448" t="str" cm="1">
        <f t="array" ref="R4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48" t="e">
        <f>IF(Table13[[#This Row],[Category All]]="Category 1", "Yes",NA())</f>
        <v>#N/A</v>
      </c>
      <c r="T448" t="e">
        <f>IF(Table13[[#This Row],[Category All]]="Category 2", "Yes",NA())</f>
        <v>#N/A</v>
      </c>
      <c r="U448" t="str">
        <f>IF(Table13[[#This Row],[Category All]]="Category 3", "Yes",NA())</f>
        <v>Yes</v>
      </c>
      <c r="V448">
        <f>SUM(1,(1/3)*(Table13[[#This Row],[Length]]-0.5),(1/3)*(Table13[[#This Row],[Diameter]]-0.4),(1/3)*(Table13[[#This Row],[Height]]-0.4)*Table13[[#This Row],[Whole_weight]]*0.5)</f>
        <v>1.0037699999999998</v>
      </c>
      <c r="W448" cm="1">
        <f t="array" ref="W4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1.0037699999999998</v>
      </c>
      <c r="X448" t="e">
        <f>IF(Table13[[#This Row],[Category All]]="Category 1",Table13[[#This Row],[Base Abalone Value]]*1.5,NA())</f>
        <v>#N/A</v>
      </c>
      <c r="Y448" t="e">
        <f>IF(Table13[[#This Row],[Category All]]="Category 2",Table13[[#This Row],[Base Abalone Value]]*0.8,NA())</f>
        <v>#N/A</v>
      </c>
      <c r="Z448">
        <f>IF(Table13[[#This Row],[Category All]]="Category 3",Table13[[#This Row],[Base Abalone Value]],NA())</f>
        <v>1.0037699999999998</v>
      </c>
      <c r="AA448" s="2" t="e">
        <f>IF(Table13[[#This Row],[Gender]]="M",Table13[[#This Row],[Whole_weight]],NA())</f>
        <v>#N/A</v>
      </c>
      <c r="AB448" s="2">
        <f>IF(Table13[[#This Row],[Gender]]="F",Table13[[#This Row],[Whole_weight]],NA())</f>
        <v>0.91300000000000003</v>
      </c>
      <c r="AC448" s="2" t="e">
        <f>IF(Table13[[#This Row],[Gender]]="I",Table13[[#This Row],[Whole_weight]],NA())</f>
        <v>#N/A</v>
      </c>
      <c r="AD448" s="2" t="e">
        <f>IF(Table13[[#This Row],[Gender]]="M",Table13[[#This Row],[Diameter]],NA())</f>
        <v>#N/A</v>
      </c>
      <c r="AE448" s="2">
        <f>IF(Table13[[#This Row],[Gender]]="F",Table13[[#This Row],[Diameter]],NA())</f>
        <v>0.44500000000000001</v>
      </c>
      <c r="AF448" s="2" t="e">
        <f>IF(Table13[[#This Row],[Gender]]="I",Table13[[#This Row],[Diameter]],NA())</f>
        <v>#N/A</v>
      </c>
    </row>
    <row r="449" spans="1:32" x14ac:dyDescent="0.2">
      <c r="A449">
        <v>4</v>
      </c>
      <c r="B449" t="s">
        <v>15</v>
      </c>
      <c r="C449">
        <v>0.44</v>
      </c>
      <c r="D449">
        <v>0.36499999999999999</v>
      </c>
      <c r="E449">
        <v>0.125</v>
      </c>
      <c r="F449">
        <v>0.51600000000000001</v>
      </c>
      <c r="G449">
        <v>0.2155</v>
      </c>
      <c r="H449">
        <v>0.114</v>
      </c>
      <c r="I449">
        <v>0.155</v>
      </c>
      <c r="J449">
        <v>10</v>
      </c>
      <c r="K449">
        <v>8</v>
      </c>
      <c r="L449" t="s">
        <v>29</v>
      </c>
      <c r="M449" t="s">
        <v>30</v>
      </c>
      <c r="N449" t="s">
        <v>31</v>
      </c>
      <c r="O449">
        <v>6</v>
      </c>
      <c r="P449" t="s">
        <v>47</v>
      </c>
      <c r="Q449">
        <v>14.1</v>
      </c>
      <c r="R449" t="str" cm="1">
        <f t="array" ref="R4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49" t="e">
        <f>IF(Table13[[#This Row],[Category All]]="Category 1", "Yes",NA())</f>
        <v>#N/A</v>
      </c>
      <c r="T449" t="str">
        <f>IF(Table13[[#This Row],[Category All]]="Category 2", "Yes",NA())</f>
        <v>Yes</v>
      </c>
      <c r="U449" t="e">
        <f>IF(Table13[[#This Row],[Category All]]="Category 3", "Yes",NA())</f>
        <v>#N/A</v>
      </c>
      <c r="V449">
        <f>SUM(1,(1/3)*(Table13[[#This Row],[Length]]-0.5),(1/3)*(Table13[[#This Row],[Diameter]]-0.4),(1/3)*(Table13[[#This Row],[Height]]-0.4)*Table13[[#This Row],[Whole_weight]]*0.5)</f>
        <v>0.94468333333333332</v>
      </c>
      <c r="W449" cm="1">
        <f t="array" ref="W4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0.75574666666666668</v>
      </c>
      <c r="X449" t="e">
        <f>IF(Table13[[#This Row],[Category All]]="Category 1",Table13[[#This Row],[Base Abalone Value]]*1.5,NA())</f>
        <v>#N/A</v>
      </c>
      <c r="Y449">
        <f>IF(Table13[[#This Row],[Category All]]="Category 2",Table13[[#This Row],[Base Abalone Value]]*0.8,NA())</f>
        <v>0.75574666666666668</v>
      </c>
      <c r="Z449" t="e">
        <f>IF(Table13[[#This Row],[Category All]]="Category 3",Table13[[#This Row],[Base Abalone Value]],NA())</f>
        <v>#N/A</v>
      </c>
      <c r="AA449" s="2">
        <f>IF(Table13[[#This Row],[Gender]]="M",Table13[[#This Row],[Whole_weight]],NA())</f>
        <v>0.51600000000000001</v>
      </c>
      <c r="AB449" s="2" t="e">
        <f>IF(Table13[[#This Row],[Gender]]="F",Table13[[#This Row],[Whole_weight]],NA())</f>
        <v>#N/A</v>
      </c>
      <c r="AC449" s="2" t="e">
        <f>IF(Table13[[#This Row],[Gender]]="I",Table13[[#This Row],[Whole_weight]],NA())</f>
        <v>#N/A</v>
      </c>
      <c r="AD449" s="2">
        <f>IF(Table13[[#This Row],[Gender]]="M",Table13[[#This Row],[Diameter]],NA())</f>
        <v>0.36499999999999999</v>
      </c>
      <c r="AE449" s="2" t="e">
        <f>IF(Table13[[#This Row],[Gender]]="F",Table13[[#This Row],[Diameter]],NA())</f>
        <v>#N/A</v>
      </c>
      <c r="AF449" s="2" t="e">
        <f>IF(Table13[[#This Row],[Gender]]="I",Table13[[#This Row],[Diameter]],NA())</f>
        <v>#N/A</v>
      </c>
    </row>
    <row r="450" spans="1:32" x14ac:dyDescent="0.2">
      <c r="A450">
        <v>1373</v>
      </c>
      <c r="B450" t="s">
        <v>0</v>
      </c>
      <c r="C450">
        <v>0.61499999999999999</v>
      </c>
      <c r="D450">
        <v>0.47499999999999998</v>
      </c>
      <c r="E450">
        <v>0.16500000000000001</v>
      </c>
      <c r="F450">
        <v>1.0229999999999999</v>
      </c>
      <c r="G450">
        <v>0.49049999999999999</v>
      </c>
      <c r="H450">
        <v>0.19550000000000001</v>
      </c>
      <c r="I450">
        <v>0.30349999999999999</v>
      </c>
      <c r="J450">
        <v>12</v>
      </c>
      <c r="K450">
        <v>7</v>
      </c>
      <c r="L450" t="s">
        <v>35</v>
      </c>
      <c r="M450" t="s">
        <v>36</v>
      </c>
      <c r="N450" t="s">
        <v>37</v>
      </c>
      <c r="O450">
        <v>2</v>
      </c>
      <c r="P450" t="s">
        <v>7</v>
      </c>
      <c r="Q450">
        <v>18</v>
      </c>
      <c r="R450" t="str" cm="1">
        <f t="array" ref="R4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50" t="e">
        <f>IF(Table13[[#This Row],[Category All]]="Category 1", "Yes",NA())</f>
        <v>#N/A</v>
      </c>
      <c r="T450" t="e">
        <f>IF(Table13[[#This Row],[Category All]]="Category 2", "Yes",NA())</f>
        <v>#N/A</v>
      </c>
      <c r="U450" t="str">
        <f>IF(Table13[[#This Row],[Category All]]="Category 3", "Yes",NA())</f>
        <v>Yes</v>
      </c>
      <c r="V450">
        <f>SUM(1,(1/3)*(Table13[[#This Row],[Length]]-0.5),(1/3)*(Table13[[#This Row],[Diameter]]-0.4),(1/3)*(Table13[[#This Row],[Height]]-0.4)*Table13[[#This Row],[Whole_weight]]*0.5)</f>
        <v>1.0232658333333333</v>
      </c>
      <c r="W450" cm="1">
        <f t="array" ref="W4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1.0232658333333333</v>
      </c>
      <c r="X450" t="e">
        <f>IF(Table13[[#This Row],[Category All]]="Category 1",Table13[[#This Row],[Base Abalone Value]]*1.5,NA())</f>
        <v>#N/A</v>
      </c>
      <c r="Y450" t="e">
        <f>IF(Table13[[#This Row],[Category All]]="Category 2",Table13[[#This Row],[Base Abalone Value]]*0.8,NA())</f>
        <v>#N/A</v>
      </c>
      <c r="Z450">
        <f>IF(Table13[[#This Row],[Category All]]="Category 3",Table13[[#This Row],[Base Abalone Value]],NA())</f>
        <v>1.0232658333333333</v>
      </c>
      <c r="AA450" s="2" t="e">
        <f>IF(Table13[[#This Row],[Gender]]="M",Table13[[#This Row],[Whole_weight]],NA())</f>
        <v>#N/A</v>
      </c>
      <c r="AB450" s="2">
        <f>IF(Table13[[#This Row],[Gender]]="F",Table13[[#This Row],[Whole_weight]],NA())</f>
        <v>1.0229999999999999</v>
      </c>
      <c r="AC450" s="2" t="e">
        <f>IF(Table13[[#This Row],[Gender]]="I",Table13[[#This Row],[Whole_weight]],NA())</f>
        <v>#N/A</v>
      </c>
      <c r="AD450" s="2" t="e">
        <f>IF(Table13[[#This Row],[Gender]]="M",Table13[[#This Row],[Diameter]],NA())</f>
        <v>#N/A</v>
      </c>
      <c r="AE450" s="2">
        <f>IF(Table13[[#This Row],[Gender]]="F",Table13[[#This Row],[Diameter]],NA())</f>
        <v>0.47499999999999998</v>
      </c>
      <c r="AF450" s="2" t="e">
        <f>IF(Table13[[#This Row],[Gender]]="I",Table13[[#This Row],[Diameter]],NA())</f>
        <v>#N/A</v>
      </c>
    </row>
    <row r="451" spans="1:32" x14ac:dyDescent="0.2">
      <c r="A451">
        <v>869</v>
      </c>
      <c r="B451" t="s">
        <v>0</v>
      </c>
      <c r="C451">
        <v>0.61499999999999999</v>
      </c>
      <c r="D451">
        <v>0.52</v>
      </c>
      <c r="E451">
        <v>0.15</v>
      </c>
      <c r="F451">
        <v>1.3434999999999999</v>
      </c>
      <c r="G451">
        <v>0.629</v>
      </c>
      <c r="H451">
        <v>0.26050000000000001</v>
      </c>
      <c r="I451">
        <v>0.34499999999999997</v>
      </c>
      <c r="J451">
        <v>10</v>
      </c>
      <c r="K451">
        <v>13</v>
      </c>
      <c r="L451" t="s">
        <v>12</v>
      </c>
      <c r="M451" t="s">
        <v>13</v>
      </c>
      <c r="N451" t="s">
        <v>3</v>
      </c>
      <c r="O451">
        <v>8</v>
      </c>
      <c r="P451" t="s">
        <v>19</v>
      </c>
      <c r="Q451">
        <v>12.3</v>
      </c>
      <c r="R451" t="str" cm="1">
        <f t="array" ref="R4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51" t="e">
        <f>IF(Table13[[#This Row],[Category All]]="Category 1", "Yes",NA())</f>
        <v>#N/A</v>
      </c>
      <c r="T451" t="e">
        <f>IF(Table13[[#This Row],[Category All]]="Category 2", "Yes",NA())</f>
        <v>#N/A</v>
      </c>
      <c r="U451" t="str">
        <f>IF(Table13[[#This Row],[Category All]]="Category 3", "Yes",NA())</f>
        <v>Yes</v>
      </c>
      <c r="V451">
        <f>SUM(1,(1/3)*(Table13[[#This Row],[Length]]-0.5),(1/3)*(Table13[[#This Row],[Diameter]]-0.4),(1/3)*(Table13[[#This Row],[Height]]-0.4)*Table13[[#This Row],[Whole_weight]]*0.5)</f>
        <v>1.0223541666666667</v>
      </c>
      <c r="W451" cm="1">
        <f t="array" ref="W4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1.0223541666666667</v>
      </c>
      <c r="X451" t="e">
        <f>IF(Table13[[#This Row],[Category All]]="Category 1",Table13[[#This Row],[Base Abalone Value]]*1.5,NA())</f>
        <v>#N/A</v>
      </c>
      <c r="Y451" t="e">
        <f>IF(Table13[[#This Row],[Category All]]="Category 2",Table13[[#This Row],[Base Abalone Value]]*0.8,NA())</f>
        <v>#N/A</v>
      </c>
      <c r="Z451">
        <f>IF(Table13[[#This Row],[Category All]]="Category 3",Table13[[#This Row],[Base Abalone Value]],NA())</f>
        <v>1.0223541666666667</v>
      </c>
      <c r="AA451" s="2" t="e">
        <f>IF(Table13[[#This Row],[Gender]]="M",Table13[[#This Row],[Whole_weight]],NA())</f>
        <v>#N/A</v>
      </c>
      <c r="AB451" s="2">
        <f>IF(Table13[[#This Row],[Gender]]="F",Table13[[#This Row],[Whole_weight]],NA())</f>
        <v>1.3434999999999999</v>
      </c>
      <c r="AC451" s="2" t="e">
        <f>IF(Table13[[#This Row],[Gender]]="I",Table13[[#This Row],[Whole_weight]],NA())</f>
        <v>#N/A</v>
      </c>
      <c r="AD451" s="2" t="e">
        <f>IF(Table13[[#This Row],[Gender]]="M",Table13[[#This Row],[Diameter]],NA())</f>
        <v>#N/A</v>
      </c>
      <c r="AE451" s="2">
        <f>IF(Table13[[#This Row],[Gender]]="F",Table13[[#This Row],[Diameter]],NA())</f>
        <v>0.52</v>
      </c>
      <c r="AF451" s="2" t="e">
        <f>IF(Table13[[#This Row],[Gender]]="I",Table13[[#This Row],[Diameter]],NA())</f>
        <v>#N/A</v>
      </c>
    </row>
    <row r="452" spans="1:32" x14ac:dyDescent="0.2">
      <c r="A452">
        <v>3162</v>
      </c>
      <c r="B452" t="s">
        <v>0</v>
      </c>
      <c r="C452">
        <v>0.33500000000000002</v>
      </c>
      <c r="D452">
        <v>0.22</v>
      </c>
      <c r="E452">
        <v>7.0000000000000007E-2</v>
      </c>
      <c r="F452">
        <v>0.17</v>
      </c>
      <c r="G452">
        <v>7.5999999999999998E-2</v>
      </c>
      <c r="H452">
        <v>3.6499999999999998E-2</v>
      </c>
      <c r="I452">
        <v>0.05</v>
      </c>
      <c r="J452">
        <v>6</v>
      </c>
      <c r="K452">
        <v>15</v>
      </c>
      <c r="L452" t="s">
        <v>49</v>
      </c>
      <c r="M452" t="s">
        <v>50</v>
      </c>
      <c r="N452" t="s">
        <v>3</v>
      </c>
      <c r="O452">
        <v>8</v>
      </c>
      <c r="P452" t="s">
        <v>19</v>
      </c>
      <c r="Q452">
        <v>12.3</v>
      </c>
      <c r="R452" t="str" cm="1">
        <f t="array" ref="R4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52" t="e">
        <f>IF(Table13[[#This Row],[Category All]]="Category 1", "Yes",NA())</f>
        <v>#N/A</v>
      </c>
      <c r="T452" t="str">
        <f>IF(Table13[[#This Row],[Category All]]="Category 2", "Yes",NA())</f>
        <v>Yes</v>
      </c>
      <c r="U452" t="e">
        <f>IF(Table13[[#This Row],[Category All]]="Category 3", "Yes",NA())</f>
        <v>#N/A</v>
      </c>
      <c r="V452">
        <f>SUM(1,(1/3)*(Table13[[#This Row],[Length]]-0.5),(1/3)*(Table13[[#This Row],[Diameter]]-0.4),(1/3)*(Table13[[#This Row],[Height]]-0.4)*Table13[[#This Row],[Whole_weight]]*0.5)</f>
        <v>0.87565000000000004</v>
      </c>
      <c r="W452" cm="1">
        <f t="array" ref="W4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0.70052000000000003</v>
      </c>
      <c r="X452" t="e">
        <f>IF(Table13[[#This Row],[Category All]]="Category 1",Table13[[#This Row],[Base Abalone Value]]*1.5,NA())</f>
        <v>#N/A</v>
      </c>
      <c r="Y452">
        <f>IF(Table13[[#This Row],[Category All]]="Category 2",Table13[[#This Row],[Base Abalone Value]]*0.8,NA())</f>
        <v>0.70052000000000003</v>
      </c>
      <c r="Z452" t="e">
        <f>IF(Table13[[#This Row],[Category All]]="Category 3",Table13[[#This Row],[Base Abalone Value]],NA())</f>
        <v>#N/A</v>
      </c>
      <c r="AA452" s="2" t="e">
        <f>IF(Table13[[#This Row],[Gender]]="M",Table13[[#This Row],[Whole_weight]],NA())</f>
        <v>#N/A</v>
      </c>
      <c r="AB452" s="2">
        <f>IF(Table13[[#This Row],[Gender]]="F",Table13[[#This Row],[Whole_weight]],NA())</f>
        <v>0.17</v>
      </c>
      <c r="AC452" s="2" t="e">
        <f>IF(Table13[[#This Row],[Gender]]="I",Table13[[#This Row],[Whole_weight]],NA())</f>
        <v>#N/A</v>
      </c>
      <c r="AD452" s="2" t="e">
        <f>IF(Table13[[#This Row],[Gender]]="M",Table13[[#This Row],[Diameter]],NA())</f>
        <v>#N/A</v>
      </c>
      <c r="AE452" s="2">
        <f>IF(Table13[[#This Row],[Gender]]="F",Table13[[#This Row],[Diameter]],NA())</f>
        <v>0.22</v>
      </c>
      <c r="AF452" s="2" t="e">
        <f>IF(Table13[[#This Row],[Gender]]="I",Table13[[#This Row],[Diameter]],NA())</f>
        <v>#N/A</v>
      </c>
    </row>
    <row r="453" spans="1:32" x14ac:dyDescent="0.2">
      <c r="A453">
        <v>1453</v>
      </c>
      <c r="B453" t="s">
        <v>11</v>
      </c>
      <c r="C453">
        <v>0.47</v>
      </c>
      <c r="D453">
        <v>0.34499999999999997</v>
      </c>
      <c r="E453">
        <v>0.14000000000000001</v>
      </c>
      <c r="F453">
        <v>0.46150000000000002</v>
      </c>
      <c r="G453">
        <v>0.22900000000000001</v>
      </c>
      <c r="H453">
        <v>0.1105</v>
      </c>
      <c r="I453">
        <v>0.11600000000000001</v>
      </c>
      <c r="J453">
        <v>9</v>
      </c>
      <c r="K453">
        <v>11</v>
      </c>
      <c r="L453" t="s">
        <v>5</v>
      </c>
      <c r="M453" t="s">
        <v>6</v>
      </c>
      <c r="N453" t="s">
        <v>3</v>
      </c>
      <c r="O453">
        <v>4</v>
      </c>
      <c r="P453" t="s">
        <v>10</v>
      </c>
      <c r="Q453">
        <v>6.1</v>
      </c>
      <c r="R453" t="str" cm="1">
        <f t="array" ref="R4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53" t="e">
        <f>IF(Table13[[#This Row],[Category All]]="Category 1", "Yes",NA())</f>
        <v>#N/A</v>
      </c>
      <c r="T453" t="str">
        <f>IF(Table13[[#This Row],[Category All]]="Category 2", "Yes",NA())</f>
        <v>Yes</v>
      </c>
      <c r="U453" t="e">
        <f>IF(Table13[[#This Row],[Category All]]="Category 3", "Yes",NA())</f>
        <v>#N/A</v>
      </c>
      <c r="V453">
        <f>SUM(1,(1/3)*(Table13[[#This Row],[Length]]-0.5),(1/3)*(Table13[[#This Row],[Diameter]]-0.4),(1/3)*(Table13[[#This Row],[Height]]-0.4)*Table13[[#This Row],[Whole_weight]]*0.5)</f>
        <v>0.95166833333333334</v>
      </c>
      <c r="W453" cm="1">
        <f t="array" ref="W4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0.76133466666666672</v>
      </c>
      <c r="X453" t="e">
        <f>IF(Table13[[#This Row],[Category All]]="Category 1",Table13[[#This Row],[Base Abalone Value]]*1.5,NA())</f>
        <v>#N/A</v>
      </c>
      <c r="Y453">
        <f>IF(Table13[[#This Row],[Category All]]="Category 2",Table13[[#This Row],[Base Abalone Value]]*0.8,NA())</f>
        <v>0.76133466666666672</v>
      </c>
      <c r="Z453" t="e">
        <f>IF(Table13[[#This Row],[Category All]]="Category 3",Table13[[#This Row],[Base Abalone Value]],NA())</f>
        <v>#N/A</v>
      </c>
      <c r="AA453" s="2" t="e">
        <f>IF(Table13[[#This Row],[Gender]]="M",Table13[[#This Row],[Whole_weight]],NA())</f>
        <v>#N/A</v>
      </c>
      <c r="AB453" s="2" t="e">
        <f>IF(Table13[[#This Row],[Gender]]="F",Table13[[#This Row],[Whole_weight]],NA())</f>
        <v>#N/A</v>
      </c>
      <c r="AC453" s="2">
        <f>IF(Table13[[#This Row],[Gender]]="I",Table13[[#This Row],[Whole_weight]],NA())</f>
        <v>0.46150000000000002</v>
      </c>
      <c r="AD453" s="2" t="e">
        <f>IF(Table13[[#This Row],[Gender]]="M",Table13[[#This Row],[Diameter]],NA())</f>
        <v>#N/A</v>
      </c>
      <c r="AE453" s="2" t="e">
        <f>IF(Table13[[#This Row],[Gender]]="F",Table13[[#This Row],[Diameter]],NA())</f>
        <v>#N/A</v>
      </c>
      <c r="AF453" s="2">
        <f>IF(Table13[[#This Row],[Gender]]="I",Table13[[#This Row],[Diameter]],NA())</f>
        <v>0.34499999999999997</v>
      </c>
    </row>
    <row r="454" spans="1:32" x14ac:dyDescent="0.2">
      <c r="A454">
        <v>594</v>
      </c>
      <c r="B454" t="s">
        <v>0</v>
      </c>
      <c r="C454">
        <v>0.66</v>
      </c>
      <c r="D454">
        <v>0.52</v>
      </c>
      <c r="E454">
        <v>0.18</v>
      </c>
      <c r="F454">
        <v>1.514</v>
      </c>
      <c r="G454">
        <v>0.52600000000000002</v>
      </c>
      <c r="H454">
        <v>0.29749999999999999</v>
      </c>
      <c r="I454">
        <v>0.42</v>
      </c>
      <c r="J454">
        <v>19</v>
      </c>
      <c r="K454">
        <v>3</v>
      </c>
      <c r="L454" t="s">
        <v>43</v>
      </c>
      <c r="M454" t="s">
        <v>44</v>
      </c>
      <c r="N454" t="s">
        <v>45</v>
      </c>
      <c r="O454">
        <v>7</v>
      </c>
      <c r="P454" t="s">
        <v>42</v>
      </c>
      <c r="Q454">
        <v>2.5</v>
      </c>
      <c r="R454" t="str" cm="1">
        <f t="array" ref="R4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54" t="e">
        <f>IF(Table13[[#This Row],[Category All]]="Category 1", "Yes",NA())</f>
        <v>#N/A</v>
      </c>
      <c r="T454" t="str">
        <f>IF(Table13[[#This Row],[Category All]]="Category 2", "Yes",NA())</f>
        <v>Yes</v>
      </c>
      <c r="U454" t="e">
        <f>IF(Table13[[#This Row],[Category All]]="Category 3", "Yes",NA())</f>
        <v>#N/A</v>
      </c>
      <c r="V454">
        <f>SUM(1,(1/3)*(Table13[[#This Row],[Length]]-0.5),(1/3)*(Table13[[#This Row],[Diameter]]-0.4),(1/3)*(Table13[[#This Row],[Height]]-0.4)*Table13[[#This Row],[Whole_weight]]*0.5)</f>
        <v>1.03782</v>
      </c>
      <c r="W454" cm="1">
        <f t="array" ref="W4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0.83025599999999999</v>
      </c>
      <c r="X454" t="e">
        <f>IF(Table13[[#This Row],[Category All]]="Category 1",Table13[[#This Row],[Base Abalone Value]]*1.5,NA())</f>
        <v>#N/A</v>
      </c>
      <c r="Y454">
        <f>IF(Table13[[#This Row],[Category All]]="Category 2",Table13[[#This Row],[Base Abalone Value]]*0.8,NA())</f>
        <v>0.83025599999999999</v>
      </c>
      <c r="Z454" t="e">
        <f>IF(Table13[[#This Row],[Category All]]="Category 3",Table13[[#This Row],[Base Abalone Value]],NA())</f>
        <v>#N/A</v>
      </c>
      <c r="AA454" s="2" t="e">
        <f>IF(Table13[[#This Row],[Gender]]="M",Table13[[#This Row],[Whole_weight]],NA())</f>
        <v>#N/A</v>
      </c>
      <c r="AB454" s="2">
        <f>IF(Table13[[#This Row],[Gender]]="F",Table13[[#This Row],[Whole_weight]],NA())</f>
        <v>1.514</v>
      </c>
      <c r="AC454" s="2" t="e">
        <f>IF(Table13[[#This Row],[Gender]]="I",Table13[[#This Row],[Whole_weight]],NA())</f>
        <v>#N/A</v>
      </c>
      <c r="AD454" s="2" t="e">
        <f>IF(Table13[[#This Row],[Gender]]="M",Table13[[#This Row],[Diameter]],NA())</f>
        <v>#N/A</v>
      </c>
      <c r="AE454" s="2">
        <f>IF(Table13[[#This Row],[Gender]]="F",Table13[[#This Row],[Diameter]],NA())</f>
        <v>0.52</v>
      </c>
      <c r="AF454" s="2" t="e">
        <f>IF(Table13[[#This Row],[Gender]]="I",Table13[[#This Row],[Diameter]],NA())</f>
        <v>#N/A</v>
      </c>
    </row>
    <row r="455" spans="1:32" x14ac:dyDescent="0.2">
      <c r="A455">
        <v>791</v>
      </c>
      <c r="B455" t="s">
        <v>0</v>
      </c>
      <c r="C455">
        <v>0.56999999999999995</v>
      </c>
      <c r="D455">
        <v>0.46500000000000002</v>
      </c>
      <c r="E455">
        <v>0.16</v>
      </c>
      <c r="F455">
        <v>0.89349999999999996</v>
      </c>
      <c r="G455">
        <v>0.3145</v>
      </c>
      <c r="H455">
        <v>0.25750000000000001</v>
      </c>
      <c r="I455">
        <v>0.26300000000000001</v>
      </c>
      <c r="J455">
        <v>10</v>
      </c>
      <c r="K455">
        <v>14</v>
      </c>
      <c r="L455" t="s">
        <v>23</v>
      </c>
      <c r="M455" t="s">
        <v>24</v>
      </c>
      <c r="N455" t="s">
        <v>25</v>
      </c>
      <c r="O455">
        <v>10</v>
      </c>
      <c r="P455" t="s">
        <v>38</v>
      </c>
      <c r="Q455">
        <v>24.1</v>
      </c>
      <c r="R455" t="str" cm="1">
        <f t="array" ref="R4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55" t="e">
        <f>IF(Table13[[#This Row],[Category All]]="Category 1", "Yes",NA())</f>
        <v>#N/A</v>
      </c>
      <c r="T455" t="str">
        <f>IF(Table13[[#This Row],[Category All]]="Category 2", "Yes",NA())</f>
        <v>Yes</v>
      </c>
      <c r="U455" t="e">
        <f>IF(Table13[[#This Row],[Category All]]="Category 3", "Yes",NA())</f>
        <v>#N/A</v>
      </c>
      <c r="V455">
        <f>SUM(1,(1/3)*(Table13[[#This Row],[Length]]-0.5),(1/3)*(Table13[[#This Row],[Diameter]]-0.4),(1/3)*(Table13[[#This Row],[Height]]-0.4)*Table13[[#This Row],[Whole_weight]]*0.5)</f>
        <v>1.00926</v>
      </c>
      <c r="W455" cm="1">
        <f t="array" ref="W4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0.80740800000000013</v>
      </c>
      <c r="X455" t="e">
        <f>IF(Table13[[#This Row],[Category All]]="Category 1",Table13[[#This Row],[Base Abalone Value]]*1.5,NA())</f>
        <v>#N/A</v>
      </c>
      <c r="Y455">
        <f>IF(Table13[[#This Row],[Category All]]="Category 2",Table13[[#This Row],[Base Abalone Value]]*0.8,NA())</f>
        <v>0.80740800000000013</v>
      </c>
      <c r="Z455" t="e">
        <f>IF(Table13[[#This Row],[Category All]]="Category 3",Table13[[#This Row],[Base Abalone Value]],NA())</f>
        <v>#N/A</v>
      </c>
      <c r="AA455" s="2" t="e">
        <f>IF(Table13[[#This Row],[Gender]]="M",Table13[[#This Row],[Whole_weight]],NA())</f>
        <v>#N/A</v>
      </c>
      <c r="AB455" s="2">
        <f>IF(Table13[[#This Row],[Gender]]="F",Table13[[#This Row],[Whole_weight]],NA())</f>
        <v>0.89349999999999996</v>
      </c>
      <c r="AC455" s="2" t="e">
        <f>IF(Table13[[#This Row],[Gender]]="I",Table13[[#This Row],[Whole_weight]],NA())</f>
        <v>#N/A</v>
      </c>
      <c r="AD455" s="2" t="e">
        <f>IF(Table13[[#This Row],[Gender]]="M",Table13[[#This Row],[Diameter]],NA())</f>
        <v>#N/A</v>
      </c>
      <c r="AE455" s="2">
        <f>IF(Table13[[#This Row],[Gender]]="F",Table13[[#This Row],[Diameter]],NA())</f>
        <v>0.46500000000000002</v>
      </c>
      <c r="AF455" s="2" t="e">
        <f>IF(Table13[[#This Row],[Gender]]="I",Table13[[#This Row],[Diameter]],NA())</f>
        <v>#N/A</v>
      </c>
    </row>
    <row r="456" spans="1:32" x14ac:dyDescent="0.2">
      <c r="A456">
        <v>2138</v>
      </c>
      <c r="B456" t="s">
        <v>0</v>
      </c>
      <c r="C456">
        <v>0.59</v>
      </c>
      <c r="D456">
        <v>0.45500000000000002</v>
      </c>
      <c r="E456">
        <v>0.17499999999999999</v>
      </c>
      <c r="F456">
        <v>0.96599999999999997</v>
      </c>
      <c r="G456">
        <v>0.39100000000000001</v>
      </c>
      <c r="H456">
        <v>0.2455</v>
      </c>
      <c r="I456">
        <v>0.31</v>
      </c>
      <c r="J456">
        <v>10</v>
      </c>
      <c r="K456">
        <v>2</v>
      </c>
      <c r="L456" t="s">
        <v>32</v>
      </c>
      <c r="M456" t="s">
        <v>33</v>
      </c>
      <c r="N456" t="s">
        <v>34</v>
      </c>
      <c r="O456">
        <v>4</v>
      </c>
      <c r="P456" t="s">
        <v>10</v>
      </c>
      <c r="Q456">
        <v>6.1</v>
      </c>
      <c r="R456" t="str" cm="1">
        <f t="array" ref="R4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56" t="e">
        <f>IF(Table13[[#This Row],[Category All]]="Category 1", "Yes",NA())</f>
        <v>#N/A</v>
      </c>
      <c r="T456" t="str">
        <f>IF(Table13[[#This Row],[Category All]]="Category 2", "Yes",NA())</f>
        <v>Yes</v>
      </c>
      <c r="U456" t="e">
        <f>IF(Table13[[#This Row],[Category All]]="Category 3", "Yes",NA())</f>
        <v>#N/A</v>
      </c>
      <c r="V456">
        <f>SUM(1,(1/3)*(Table13[[#This Row],[Length]]-0.5),(1/3)*(Table13[[#This Row],[Diameter]]-0.4),(1/3)*(Table13[[#This Row],[Height]]-0.4)*Table13[[#This Row],[Whole_weight]]*0.5)</f>
        <v>1.0121083333333334</v>
      </c>
      <c r="W456" cm="1">
        <f t="array" ref="W4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0.80968666666666678</v>
      </c>
      <c r="X456" t="e">
        <f>IF(Table13[[#This Row],[Category All]]="Category 1",Table13[[#This Row],[Base Abalone Value]]*1.5,NA())</f>
        <v>#N/A</v>
      </c>
      <c r="Y456">
        <f>IF(Table13[[#This Row],[Category All]]="Category 2",Table13[[#This Row],[Base Abalone Value]]*0.8,NA())</f>
        <v>0.80968666666666678</v>
      </c>
      <c r="Z456" t="e">
        <f>IF(Table13[[#This Row],[Category All]]="Category 3",Table13[[#This Row],[Base Abalone Value]],NA())</f>
        <v>#N/A</v>
      </c>
      <c r="AA456" s="2" t="e">
        <f>IF(Table13[[#This Row],[Gender]]="M",Table13[[#This Row],[Whole_weight]],NA())</f>
        <v>#N/A</v>
      </c>
      <c r="AB456" s="2">
        <f>IF(Table13[[#This Row],[Gender]]="F",Table13[[#This Row],[Whole_weight]],NA())</f>
        <v>0.96599999999999997</v>
      </c>
      <c r="AC456" s="2" t="e">
        <f>IF(Table13[[#This Row],[Gender]]="I",Table13[[#This Row],[Whole_weight]],NA())</f>
        <v>#N/A</v>
      </c>
      <c r="AD456" s="2" t="e">
        <f>IF(Table13[[#This Row],[Gender]]="M",Table13[[#This Row],[Diameter]],NA())</f>
        <v>#N/A</v>
      </c>
      <c r="AE456" s="2">
        <f>IF(Table13[[#This Row],[Gender]]="F",Table13[[#This Row],[Diameter]],NA())</f>
        <v>0.45500000000000002</v>
      </c>
      <c r="AF456" s="2" t="e">
        <f>IF(Table13[[#This Row],[Gender]]="I",Table13[[#This Row],[Diameter]],NA())</f>
        <v>#N/A</v>
      </c>
    </row>
    <row r="457" spans="1:32" x14ac:dyDescent="0.2">
      <c r="A457">
        <v>2989</v>
      </c>
      <c r="B457" t="s">
        <v>15</v>
      </c>
      <c r="C457">
        <v>0.55500000000000005</v>
      </c>
      <c r="D457">
        <v>0.42499999999999999</v>
      </c>
      <c r="E457">
        <v>0.15</v>
      </c>
      <c r="F457">
        <v>0.873</v>
      </c>
      <c r="G457">
        <v>0.46250000000000002</v>
      </c>
      <c r="H457">
        <v>0.1845</v>
      </c>
      <c r="I457">
        <v>0.19650000000000001</v>
      </c>
      <c r="J457">
        <v>9</v>
      </c>
      <c r="K457">
        <v>9</v>
      </c>
      <c r="L457" t="s">
        <v>20</v>
      </c>
      <c r="M457" t="s">
        <v>21</v>
      </c>
      <c r="N457" t="s">
        <v>22</v>
      </c>
      <c r="O457">
        <v>2</v>
      </c>
      <c r="P457" t="s">
        <v>7</v>
      </c>
      <c r="Q457">
        <v>18</v>
      </c>
      <c r="R457" t="str" cm="1">
        <f t="array" ref="R4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57" t="e">
        <f>IF(Table13[[#This Row],[Category All]]="Category 1", "Yes",NA())</f>
        <v>#N/A</v>
      </c>
      <c r="T457" t="e">
        <f>IF(Table13[[#This Row],[Category All]]="Category 2", "Yes",NA())</f>
        <v>#N/A</v>
      </c>
      <c r="U457" t="str">
        <f>IF(Table13[[#This Row],[Category All]]="Category 3", "Yes",NA())</f>
        <v>Yes</v>
      </c>
      <c r="V457">
        <f>SUM(1,(1/3)*(Table13[[#This Row],[Length]]-0.5),(1/3)*(Table13[[#This Row],[Diameter]]-0.4),(1/3)*(Table13[[#This Row],[Height]]-0.4)*Table13[[#This Row],[Whole_weight]]*0.5)</f>
        <v>0.99029166666666657</v>
      </c>
      <c r="W457" cm="1">
        <f t="array" ref="W4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0.99029166666666657</v>
      </c>
      <c r="X457" t="e">
        <f>IF(Table13[[#This Row],[Category All]]="Category 1",Table13[[#This Row],[Base Abalone Value]]*1.5,NA())</f>
        <v>#N/A</v>
      </c>
      <c r="Y457" t="e">
        <f>IF(Table13[[#This Row],[Category All]]="Category 2",Table13[[#This Row],[Base Abalone Value]]*0.8,NA())</f>
        <v>#N/A</v>
      </c>
      <c r="Z457">
        <f>IF(Table13[[#This Row],[Category All]]="Category 3",Table13[[#This Row],[Base Abalone Value]],NA())</f>
        <v>0.99029166666666657</v>
      </c>
      <c r="AA457" s="2">
        <f>IF(Table13[[#This Row],[Gender]]="M",Table13[[#This Row],[Whole_weight]],NA())</f>
        <v>0.873</v>
      </c>
      <c r="AB457" s="2" t="e">
        <f>IF(Table13[[#This Row],[Gender]]="F",Table13[[#This Row],[Whole_weight]],NA())</f>
        <v>#N/A</v>
      </c>
      <c r="AC457" s="2" t="e">
        <f>IF(Table13[[#This Row],[Gender]]="I",Table13[[#This Row],[Whole_weight]],NA())</f>
        <v>#N/A</v>
      </c>
      <c r="AD457" s="2">
        <f>IF(Table13[[#This Row],[Gender]]="M",Table13[[#This Row],[Diameter]],NA())</f>
        <v>0.42499999999999999</v>
      </c>
      <c r="AE457" s="2" t="e">
        <f>IF(Table13[[#This Row],[Gender]]="F",Table13[[#This Row],[Diameter]],NA())</f>
        <v>#N/A</v>
      </c>
      <c r="AF457" s="2" t="e">
        <f>IF(Table13[[#This Row],[Gender]]="I",Table13[[#This Row],[Diameter]],NA())</f>
        <v>#N/A</v>
      </c>
    </row>
    <row r="458" spans="1:32" x14ac:dyDescent="0.2">
      <c r="A458">
        <v>1431</v>
      </c>
      <c r="B458" t="s">
        <v>11</v>
      </c>
      <c r="C458">
        <v>0.23</v>
      </c>
      <c r="D458">
        <v>0.16500000000000001</v>
      </c>
      <c r="E458">
        <v>0.06</v>
      </c>
      <c r="F458">
        <v>5.1499999999999997E-2</v>
      </c>
      <c r="G458">
        <v>1.9E-2</v>
      </c>
      <c r="H458">
        <v>1.4500000000000001E-2</v>
      </c>
      <c r="I458">
        <v>3.5999999999999997E-2</v>
      </c>
      <c r="J458">
        <v>4</v>
      </c>
      <c r="K458">
        <v>7</v>
      </c>
      <c r="L458" t="s">
        <v>35</v>
      </c>
      <c r="M458" t="s">
        <v>36</v>
      </c>
      <c r="N458" t="s">
        <v>37</v>
      </c>
      <c r="O458">
        <v>9</v>
      </c>
      <c r="P458" t="s">
        <v>46</v>
      </c>
      <c r="Q458">
        <v>1.9</v>
      </c>
      <c r="R458" t="str" cm="1">
        <f t="array" ref="R4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58" t="e">
        <f>IF(Table13[[#This Row],[Category All]]="Category 1", "Yes",NA())</f>
        <v>#N/A</v>
      </c>
      <c r="T458" t="str">
        <f>IF(Table13[[#This Row],[Category All]]="Category 2", "Yes",NA())</f>
        <v>Yes</v>
      </c>
      <c r="U458" t="e">
        <f>IF(Table13[[#This Row],[Category All]]="Category 3", "Yes",NA())</f>
        <v>#N/A</v>
      </c>
      <c r="V458">
        <f>SUM(1,(1/3)*(Table13[[#This Row],[Length]]-0.5),(1/3)*(Table13[[#This Row],[Diameter]]-0.4),(1/3)*(Table13[[#This Row],[Height]]-0.4)*Table13[[#This Row],[Whole_weight]]*0.5)</f>
        <v>0.82874833333333331</v>
      </c>
      <c r="W458" cm="1">
        <f t="array" ref="W4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0.66299866666666674</v>
      </c>
      <c r="X458" t="e">
        <f>IF(Table13[[#This Row],[Category All]]="Category 1",Table13[[#This Row],[Base Abalone Value]]*1.5,NA())</f>
        <v>#N/A</v>
      </c>
      <c r="Y458">
        <f>IF(Table13[[#This Row],[Category All]]="Category 2",Table13[[#This Row],[Base Abalone Value]]*0.8,NA())</f>
        <v>0.66299866666666674</v>
      </c>
      <c r="Z458" t="e">
        <f>IF(Table13[[#This Row],[Category All]]="Category 3",Table13[[#This Row],[Base Abalone Value]],NA())</f>
        <v>#N/A</v>
      </c>
      <c r="AA458" s="2" t="e">
        <f>IF(Table13[[#This Row],[Gender]]="M",Table13[[#This Row],[Whole_weight]],NA())</f>
        <v>#N/A</v>
      </c>
      <c r="AB458" s="2" t="e">
        <f>IF(Table13[[#This Row],[Gender]]="F",Table13[[#This Row],[Whole_weight]],NA())</f>
        <v>#N/A</v>
      </c>
      <c r="AC458" s="2">
        <f>IF(Table13[[#This Row],[Gender]]="I",Table13[[#This Row],[Whole_weight]],NA())</f>
        <v>5.1499999999999997E-2</v>
      </c>
      <c r="AD458" s="2" t="e">
        <f>IF(Table13[[#This Row],[Gender]]="M",Table13[[#This Row],[Diameter]],NA())</f>
        <v>#N/A</v>
      </c>
      <c r="AE458" s="2" t="e">
        <f>IF(Table13[[#This Row],[Gender]]="F",Table13[[#This Row],[Diameter]],NA())</f>
        <v>#N/A</v>
      </c>
      <c r="AF458" s="2">
        <f>IF(Table13[[#This Row],[Gender]]="I",Table13[[#This Row],[Diameter]],NA())</f>
        <v>0.16500000000000001</v>
      </c>
    </row>
    <row r="459" spans="1:32" x14ac:dyDescent="0.2">
      <c r="A459">
        <v>3423</v>
      </c>
      <c r="B459" t="s">
        <v>15</v>
      </c>
      <c r="C459">
        <v>0.61</v>
      </c>
      <c r="D459">
        <v>0.47</v>
      </c>
      <c r="E459">
        <v>0.155</v>
      </c>
      <c r="F459">
        <v>1.0325</v>
      </c>
      <c r="G459">
        <v>0.497</v>
      </c>
      <c r="H459">
        <v>0.2175</v>
      </c>
      <c r="I459">
        <v>0.27850000000000003</v>
      </c>
      <c r="J459">
        <v>9</v>
      </c>
      <c r="K459">
        <v>6</v>
      </c>
      <c r="L459" t="s">
        <v>39</v>
      </c>
      <c r="M459" t="s">
        <v>40</v>
      </c>
      <c r="N459" t="s">
        <v>41</v>
      </c>
      <c r="O459">
        <v>10</v>
      </c>
      <c r="P459" t="s">
        <v>38</v>
      </c>
      <c r="Q459">
        <v>24.1</v>
      </c>
      <c r="R459" t="str" cm="1">
        <f t="array" ref="R4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59" t="e">
        <f>IF(Table13[[#This Row],[Category All]]="Category 1", "Yes",NA())</f>
        <v>#N/A</v>
      </c>
      <c r="T459" t="e">
        <f>IF(Table13[[#This Row],[Category All]]="Category 2", "Yes",NA())</f>
        <v>#N/A</v>
      </c>
      <c r="U459" t="str">
        <f>IF(Table13[[#This Row],[Category All]]="Category 3", "Yes",NA())</f>
        <v>Yes</v>
      </c>
      <c r="V459">
        <f>SUM(1,(1/3)*(Table13[[#This Row],[Length]]-0.5),(1/3)*(Table13[[#This Row],[Diameter]]-0.4),(1/3)*(Table13[[#This Row],[Height]]-0.4)*Table13[[#This Row],[Whole_weight]]*0.5)</f>
        <v>1.0178395833333334</v>
      </c>
      <c r="W459" cm="1">
        <f t="array" ref="W4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1.0178395833333334</v>
      </c>
      <c r="X459" t="e">
        <f>IF(Table13[[#This Row],[Category All]]="Category 1",Table13[[#This Row],[Base Abalone Value]]*1.5,NA())</f>
        <v>#N/A</v>
      </c>
      <c r="Y459" t="e">
        <f>IF(Table13[[#This Row],[Category All]]="Category 2",Table13[[#This Row],[Base Abalone Value]]*0.8,NA())</f>
        <v>#N/A</v>
      </c>
      <c r="Z459">
        <f>IF(Table13[[#This Row],[Category All]]="Category 3",Table13[[#This Row],[Base Abalone Value]],NA())</f>
        <v>1.0178395833333334</v>
      </c>
      <c r="AA459" s="2">
        <f>IF(Table13[[#This Row],[Gender]]="M",Table13[[#This Row],[Whole_weight]],NA())</f>
        <v>1.0325</v>
      </c>
      <c r="AB459" s="2" t="e">
        <f>IF(Table13[[#This Row],[Gender]]="F",Table13[[#This Row],[Whole_weight]],NA())</f>
        <v>#N/A</v>
      </c>
      <c r="AC459" s="2" t="e">
        <f>IF(Table13[[#This Row],[Gender]]="I",Table13[[#This Row],[Whole_weight]],NA())</f>
        <v>#N/A</v>
      </c>
      <c r="AD459" s="2">
        <f>IF(Table13[[#This Row],[Gender]]="M",Table13[[#This Row],[Diameter]],NA())</f>
        <v>0.47</v>
      </c>
      <c r="AE459" s="2" t="e">
        <f>IF(Table13[[#This Row],[Gender]]="F",Table13[[#This Row],[Diameter]],NA())</f>
        <v>#N/A</v>
      </c>
      <c r="AF459" s="2" t="e">
        <f>IF(Table13[[#This Row],[Gender]]="I",Table13[[#This Row],[Diameter]],NA())</f>
        <v>#N/A</v>
      </c>
    </row>
    <row r="460" spans="1:32" x14ac:dyDescent="0.2">
      <c r="A460">
        <v>4042</v>
      </c>
      <c r="B460" t="s">
        <v>11</v>
      </c>
      <c r="C460">
        <v>0.57499999999999996</v>
      </c>
      <c r="D460">
        <v>0.45</v>
      </c>
      <c r="E460">
        <v>0.15</v>
      </c>
      <c r="F460">
        <v>0.85799999999999998</v>
      </c>
      <c r="G460">
        <v>0.44900000000000001</v>
      </c>
      <c r="H460">
        <v>0.16600000000000001</v>
      </c>
      <c r="I460">
        <v>0.215</v>
      </c>
      <c r="J460">
        <v>10</v>
      </c>
      <c r="K460">
        <v>9</v>
      </c>
      <c r="L460" t="s">
        <v>20</v>
      </c>
      <c r="M460" t="s">
        <v>21</v>
      </c>
      <c r="N460" t="s">
        <v>22</v>
      </c>
      <c r="O460">
        <v>4</v>
      </c>
      <c r="P460" t="s">
        <v>10</v>
      </c>
      <c r="Q460">
        <v>6.1</v>
      </c>
      <c r="R460" t="str" cm="1">
        <f t="array" ref="R4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60" t="e">
        <f>IF(Table13[[#This Row],[Category All]]="Category 1", "Yes",NA())</f>
        <v>#N/A</v>
      </c>
      <c r="T460" t="e">
        <f>IF(Table13[[#This Row],[Category All]]="Category 2", "Yes",NA())</f>
        <v>#N/A</v>
      </c>
      <c r="U460" t="str">
        <f>IF(Table13[[#This Row],[Category All]]="Category 3", "Yes",NA())</f>
        <v>Yes</v>
      </c>
      <c r="V460">
        <f>SUM(1,(1/3)*(Table13[[#This Row],[Length]]-0.5),(1/3)*(Table13[[#This Row],[Diameter]]-0.4),(1/3)*(Table13[[#This Row],[Height]]-0.4)*Table13[[#This Row],[Whole_weight]]*0.5)</f>
        <v>1.0059166666666666</v>
      </c>
      <c r="W460" cm="1">
        <f t="array" ref="W4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1.0059166666666666</v>
      </c>
      <c r="X460" t="e">
        <f>IF(Table13[[#This Row],[Category All]]="Category 1",Table13[[#This Row],[Base Abalone Value]]*1.5,NA())</f>
        <v>#N/A</v>
      </c>
      <c r="Y460" t="e">
        <f>IF(Table13[[#This Row],[Category All]]="Category 2",Table13[[#This Row],[Base Abalone Value]]*0.8,NA())</f>
        <v>#N/A</v>
      </c>
      <c r="Z460">
        <f>IF(Table13[[#This Row],[Category All]]="Category 3",Table13[[#This Row],[Base Abalone Value]],NA())</f>
        <v>1.0059166666666666</v>
      </c>
      <c r="AA460" s="2" t="e">
        <f>IF(Table13[[#This Row],[Gender]]="M",Table13[[#This Row],[Whole_weight]],NA())</f>
        <v>#N/A</v>
      </c>
      <c r="AB460" s="2" t="e">
        <f>IF(Table13[[#This Row],[Gender]]="F",Table13[[#This Row],[Whole_weight]],NA())</f>
        <v>#N/A</v>
      </c>
      <c r="AC460" s="2">
        <f>IF(Table13[[#This Row],[Gender]]="I",Table13[[#This Row],[Whole_weight]],NA())</f>
        <v>0.85799999999999998</v>
      </c>
      <c r="AD460" s="2" t="e">
        <f>IF(Table13[[#This Row],[Gender]]="M",Table13[[#This Row],[Diameter]],NA())</f>
        <v>#N/A</v>
      </c>
      <c r="AE460" s="2" t="e">
        <f>IF(Table13[[#This Row],[Gender]]="F",Table13[[#This Row],[Diameter]],NA())</f>
        <v>#N/A</v>
      </c>
      <c r="AF460" s="2">
        <f>IF(Table13[[#This Row],[Gender]]="I",Table13[[#This Row],[Diameter]],NA())</f>
        <v>0.45</v>
      </c>
    </row>
    <row r="461" spans="1:32" x14ac:dyDescent="0.2">
      <c r="A461">
        <v>1107</v>
      </c>
      <c r="B461" t="s">
        <v>11</v>
      </c>
      <c r="C461">
        <v>0.51</v>
      </c>
      <c r="D461">
        <v>0.4</v>
      </c>
      <c r="E461">
        <v>0.125</v>
      </c>
      <c r="F461">
        <v>0.5575</v>
      </c>
      <c r="G461">
        <v>0.26150000000000001</v>
      </c>
      <c r="H461">
        <v>0.1195</v>
      </c>
      <c r="I461">
        <v>0.1525</v>
      </c>
      <c r="J461">
        <v>9</v>
      </c>
      <c r="K461">
        <v>2</v>
      </c>
      <c r="L461" t="s">
        <v>32</v>
      </c>
      <c r="M461" t="s">
        <v>33</v>
      </c>
      <c r="N461" t="s">
        <v>34</v>
      </c>
      <c r="O461">
        <v>1</v>
      </c>
      <c r="P461" t="s">
        <v>4</v>
      </c>
      <c r="Q461">
        <v>22.1</v>
      </c>
      <c r="R461" t="str" cm="1">
        <f t="array" ref="R4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61" t="e">
        <f>IF(Table13[[#This Row],[Category All]]="Category 1", "Yes",NA())</f>
        <v>#N/A</v>
      </c>
      <c r="T461" t="str">
        <f>IF(Table13[[#This Row],[Category All]]="Category 2", "Yes",NA())</f>
        <v>Yes</v>
      </c>
      <c r="U461" t="e">
        <f>IF(Table13[[#This Row],[Category All]]="Category 3", "Yes",NA())</f>
        <v>#N/A</v>
      </c>
      <c r="V461">
        <f>SUM(1,(1/3)*(Table13[[#This Row],[Length]]-0.5),(1/3)*(Table13[[#This Row],[Diameter]]-0.4),(1/3)*(Table13[[#This Row],[Height]]-0.4)*Table13[[#This Row],[Whole_weight]]*0.5)</f>
        <v>0.97778125000000005</v>
      </c>
      <c r="W461" cm="1">
        <f t="array" ref="W4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0.78222500000000006</v>
      </c>
      <c r="X461" t="e">
        <f>IF(Table13[[#This Row],[Category All]]="Category 1",Table13[[#This Row],[Base Abalone Value]]*1.5,NA())</f>
        <v>#N/A</v>
      </c>
      <c r="Y461">
        <f>IF(Table13[[#This Row],[Category All]]="Category 2",Table13[[#This Row],[Base Abalone Value]]*0.8,NA())</f>
        <v>0.78222500000000006</v>
      </c>
      <c r="Z461" t="e">
        <f>IF(Table13[[#This Row],[Category All]]="Category 3",Table13[[#This Row],[Base Abalone Value]],NA())</f>
        <v>#N/A</v>
      </c>
      <c r="AA461" s="2" t="e">
        <f>IF(Table13[[#This Row],[Gender]]="M",Table13[[#This Row],[Whole_weight]],NA())</f>
        <v>#N/A</v>
      </c>
      <c r="AB461" s="2" t="e">
        <f>IF(Table13[[#This Row],[Gender]]="F",Table13[[#This Row],[Whole_weight]],NA())</f>
        <v>#N/A</v>
      </c>
      <c r="AC461" s="2">
        <f>IF(Table13[[#This Row],[Gender]]="I",Table13[[#This Row],[Whole_weight]],NA())</f>
        <v>0.5575</v>
      </c>
      <c r="AD461" s="2" t="e">
        <f>IF(Table13[[#This Row],[Gender]]="M",Table13[[#This Row],[Diameter]],NA())</f>
        <v>#N/A</v>
      </c>
      <c r="AE461" s="2" t="e">
        <f>IF(Table13[[#This Row],[Gender]]="F",Table13[[#This Row],[Diameter]],NA())</f>
        <v>#N/A</v>
      </c>
      <c r="AF461" s="2">
        <f>IF(Table13[[#This Row],[Gender]]="I",Table13[[#This Row],[Diameter]],NA())</f>
        <v>0.4</v>
      </c>
    </row>
    <row r="462" spans="1:32" x14ac:dyDescent="0.2">
      <c r="A462">
        <v>943</v>
      </c>
      <c r="B462" t="s">
        <v>11</v>
      </c>
      <c r="C462">
        <v>0.46500000000000002</v>
      </c>
      <c r="D462">
        <v>0.37</v>
      </c>
      <c r="E462">
        <v>0.115</v>
      </c>
      <c r="F462">
        <v>0.53400000000000003</v>
      </c>
      <c r="G462">
        <v>0.26100000000000001</v>
      </c>
      <c r="H462">
        <v>9.8000000000000004E-2</v>
      </c>
      <c r="I462">
        <v>0.14299999999999999</v>
      </c>
      <c r="J462">
        <v>7</v>
      </c>
      <c r="K462">
        <v>3</v>
      </c>
      <c r="L462" t="s">
        <v>43</v>
      </c>
      <c r="M462" t="s">
        <v>44</v>
      </c>
      <c r="N462" t="s">
        <v>45</v>
      </c>
      <c r="O462">
        <v>5</v>
      </c>
      <c r="P462" t="s">
        <v>14</v>
      </c>
      <c r="Q462">
        <v>12.8</v>
      </c>
      <c r="R462" t="str" cm="1">
        <f t="array" ref="R4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62" t="e">
        <f>IF(Table13[[#This Row],[Category All]]="Category 1", "Yes",NA())</f>
        <v>#N/A</v>
      </c>
      <c r="T462" t="str">
        <f>IF(Table13[[#This Row],[Category All]]="Category 2", "Yes",NA())</f>
        <v>Yes</v>
      </c>
      <c r="U462" t="e">
        <f>IF(Table13[[#This Row],[Category All]]="Category 3", "Yes",NA())</f>
        <v>#N/A</v>
      </c>
      <c r="V462">
        <f>SUM(1,(1/3)*(Table13[[#This Row],[Length]]-0.5),(1/3)*(Table13[[#This Row],[Diameter]]-0.4),(1/3)*(Table13[[#This Row],[Height]]-0.4)*Table13[[#This Row],[Whole_weight]]*0.5)</f>
        <v>0.95296833333333331</v>
      </c>
      <c r="W462" cm="1">
        <f t="array" ref="W4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0.76237466666666664</v>
      </c>
      <c r="X462" t="e">
        <f>IF(Table13[[#This Row],[Category All]]="Category 1",Table13[[#This Row],[Base Abalone Value]]*1.5,NA())</f>
        <v>#N/A</v>
      </c>
      <c r="Y462">
        <f>IF(Table13[[#This Row],[Category All]]="Category 2",Table13[[#This Row],[Base Abalone Value]]*0.8,NA())</f>
        <v>0.76237466666666664</v>
      </c>
      <c r="Z462" t="e">
        <f>IF(Table13[[#This Row],[Category All]]="Category 3",Table13[[#This Row],[Base Abalone Value]],NA())</f>
        <v>#N/A</v>
      </c>
      <c r="AA462" s="2" t="e">
        <f>IF(Table13[[#This Row],[Gender]]="M",Table13[[#This Row],[Whole_weight]],NA())</f>
        <v>#N/A</v>
      </c>
      <c r="AB462" s="2" t="e">
        <f>IF(Table13[[#This Row],[Gender]]="F",Table13[[#This Row],[Whole_weight]],NA())</f>
        <v>#N/A</v>
      </c>
      <c r="AC462" s="2">
        <f>IF(Table13[[#This Row],[Gender]]="I",Table13[[#This Row],[Whole_weight]],NA())</f>
        <v>0.53400000000000003</v>
      </c>
      <c r="AD462" s="2" t="e">
        <f>IF(Table13[[#This Row],[Gender]]="M",Table13[[#This Row],[Diameter]],NA())</f>
        <v>#N/A</v>
      </c>
      <c r="AE462" s="2" t="e">
        <f>IF(Table13[[#This Row],[Gender]]="F",Table13[[#This Row],[Diameter]],NA())</f>
        <v>#N/A</v>
      </c>
      <c r="AF462" s="2">
        <f>IF(Table13[[#This Row],[Gender]]="I",Table13[[#This Row],[Diameter]],NA())</f>
        <v>0.37</v>
      </c>
    </row>
    <row r="463" spans="1:32" x14ac:dyDescent="0.2">
      <c r="A463">
        <v>1712</v>
      </c>
      <c r="B463" t="s">
        <v>15</v>
      </c>
      <c r="C463">
        <v>0.64500000000000002</v>
      </c>
      <c r="D463">
        <v>0.51</v>
      </c>
      <c r="E463">
        <v>0.16</v>
      </c>
      <c r="F463">
        <v>1.33</v>
      </c>
      <c r="G463">
        <v>0.66649999999999998</v>
      </c>
      <c r="H463">
        <v>0.309</v>
      </c>
      <c r="I463">
        <v>0.317</v>
      </c>
      <c r="J463">
        <v>9</v>
      </c>
      <c r="K463">
        <v>1</v>
      </c>
      <c r="L463" t="s">
        <v>8</v>
      </c>
      <c r="M463" t="s">
        <v>9</v>
      </c>
      <c r="N463" t="s">
        <v>3</v>
      </c>
      <c r="O463">
        <v>4</v>
      </c>
      <c r="P463" t="s">
        <v>10</v>
      </c>
      <c r="Q463">
        <v>6.1</v>
      </c>
      <c r="R463" t="str" cm="1">
        <f t="array" ref="R4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63" t="e">
        <f>IF(Table13[[#This Row],[Category All]]="Category 1", "Yes",NA())</f>
        <v>#N/A</v>
      </c>
      <c r="T463" t="e">
        <f>IF(Table13[[#This Row],[Category All]]="Category 2", "Yes",NA())</f>
        <v>#N/A</v>
      </c>
      <c r="U463" t="str">
        <f>IF(Table13[[#This Row],[Category All]]="Category 3", "Yes",NA())</f>
        <v>Yes</v>
      </c>
      <c r="V463">
        <f>SUM(1,(1/3)*(Table13[[#This Row],[Length]]-0.5),(1/3)*(Table13[[#This Row],[Diameter]]-0.4),(1/3)*(Table13[[#This Row],[Height]]-0.4)*Table13[[#This Row],[Whole_weight]]*0.5)</f>
        <v>1.0318000000000001</v>
      </c>
      <c r="W463" cm="1">
        <f t="array" ref="W4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1.0318000000000001</v>
      </c>
      <c r="X463" t="e">
        <f>IF(Table13[[#This Row],[Category All]]="Category 1",Table13[[#This Row],[Base Abalone Value]]*1.5,NA())</f>
        <v>#N/A</v>
      </c>
      <c r="Y463" t="e">
        <f>IF(Table13[[#This Row],[Category All]]="Category 2",Table13[[#This Row],[Base Abalone Value]]*0.8,NA())</f>
        <v>#N/A</v>
      </c>
      <c r="Z463">
        <f>IF(Table13[[#This Row],[Category All]]="Category 3",Table13[[#This Row],[Base Abalone Value]],NA())</f>
        <v>1.0318000000000001</v>
      </c>
      <c r="AA463" s="2">
        <f>IF(Table13[[#This Row],[Gender]]="M",Table13[[#This Row],[Whole_weight]],NA())</f>
        <v>1.33</v>
      </c>
      <c r="AB463" s="2" t="e">
        <f>IF(Table13[[#This Row],[Gender]]="F",Table13[[#This Row],[Whole_weight]],NA())</f>
        <v>#N/A</v>
      </c>
      <c r="AC463" s="2" t="e">
        <f>IF(Table13[[#This Row],[Gender]]="I",Table13[[#This Row],[Whole_weight]],NA())</f>
        <v>#N/A</v>
      </c>
      <c r="AD463" s="2">
        <f>IF(Table13[[#This Row],[Gender]]="M",Table13[[#This Row],[Diameter]],NA())</f>
        <v>0.51</v>
      </c>
      <c r="AE463" s="2" t="e">
        <f>IF(Table13[[#This Row],[Gender]]="F",Table13[[#This Row],[Diameter]],NA())</f>
        <v>#N/A</v>
      </c>
      <c r="AF463" s="2" t="e">
        <f>IF(Table13[[#This Row],[Gender]]="I",Table13[[#This Row],[Diameter]],NA())</f>
        <v>#N/A</v>
      </c>
    </row>
    <row r="464" spans="1:32" x14ac:dyDescent="0.2">
      <c r="A464">
        <v>843</v>
      </c>
      <c r="B464" t="s">
        <v>15</v>
      </c>
      <c r="C464">
        <v>0.5</v>
      </c>
      <c r="D464">
        <v>0.4</v>
      </c>
      <c r="E464">
        <v>0.125</v>
      </c>
      <c r="F464">
        <v>0.59750000000000003</v>
      </c>
      <c r="G464">
        <v>0.27</v>
      </c>
      <c r="H464">
        <v>0.1275</v>
      </c>
      <c r="I464">
        <v>0.16600000000000001</v>
      </c>
      <c r="J464">
        <v>9</v>
      </c>
      <c r="K464">
        <v>4</v>
      </c>
      <c r="L464" t="s">
        <v>52</v>
      </c>
      <c r="M464" t="s">
        <v>53</v>
      </c>
      <c r="N464" t="s">
        <v>54</v>
      </c>
      <c r="O464">
        <v>4</v>
      </c>
      <c r="P464" t="s">
        <v>10</v>
      </c>
      <c r="Q464">
        <v>6.1</v>
      </c>
      <c r="R464" t="str" cm="1">
        <f t="array" ref="R4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64" t="e">
        <f>IF(Table13[[#This Row],[Category All]]="Category 1", "Yes",NA())</f>
        <v>#N/A</v>
      </c>
      <c r="T464" t="str">
        <f>IF(Table13[[#This Row],[Category All]]="Category 2", "Yes",NA())</f>
        <v>Yes</v>
      </c>
      <c r="U464" t="e">
        <f>IF(Table13[[#This Row],[Category All]]="Category 3", "Yes",NA())</f>
        <v>#N/A</v>
      </c>
      <c r="V464">
        <f>SUM(1,(1/3)*(Table13[[#This Row],[Length]]-0.5),(1/3)*(Table13[[#This Row],[Diameter]]-0.4),(1/3)*(Table13[[#This Row],[Height]]-0.4)*Table13[[#This Row],[Whole_weight]]*0.5)</f>
        <v>0.97261458333333328</v>
      </c>
      <c r="W464" cm="1">
        <f t="array" ref="W4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0.77809166666666663</v>
      </c>
      <c r="X464" t="e">
        <f>IF(Table13[[#This Row],[Category All]]="Category 1",Table13[[#This Row],[Base Abalone Value]]*1.5,NA())</f>
        <v>#N/A</v>
      </c>
      <c r="Y464">
        <f>IF(Table13[[#This Row],[Category All]]="Category 2",Table13[[#This Row],[Base Abalone Value]]*0.8,NA())</f>
        <v>0.77809166666666663</v>
      </c>
      <c r="Z464" t="e">
        <f>IF(Table13[[#This Row],[Category All]]="Category 3",Table13[[#This Row],[Base Abalone Value]],NA())</f>
        <v>#N/A</v>
      </c>
      <c r="AA464" s="2">
        <f>IF(Table13[[#This Row],[Gender]]="M",Table13[[#This Row],[Whole_weight]],NA())</f>
        <v>0.59750000000000003</v>
      </c>
      <c r="AB464" s="2" t="e">
        <f>IF(Table13[[#This Row],[Gender]]="F",Table13[[#This Row],[Whole_weight]],NA())</f>
        <v>#N/A</v>
      </c>
      <c r="AC464" s="2" t="e">
        <f>IF(Table13[[#This Row],[Gender]]="I",Table13[[#This Row],[Whole_weight]],NA())</f>
        <v>#N/A</v>
      </c>
      <c r="AD464" s="2">
        <f>IF(Table13[[#This Row],[Gender]]="M",Table13[[#This Row],[Diameter]],NA())</f>
        <v>0.4</v>
      </c>
      <c r="AE464" s="2" t="e">
        <f>IF(Table13[[#This Row],[Gender]]="F",Table13[[#This Row],[Diameter]],NA())</f>
        <v>#N/A</v>
      </c>
      <c r="AF464" s="2" t="e">
        <f>IF(Table13[[#This Row],[Gender]]="I",Table13[[#This Row],[Diameter]],NA())</f>
        <v>#N/A</v>
      </c>
    </row>
    <row r="465" spans="1:32" x14ac:dyDescent="0.2">
      <c r="A465">
        <v>1662</v>
      </c>
      <c r="B465" t="s">
        <v>15</v>
      </c>
      <c r="C465">
        <v>0.6</v>
      </c>
      <c r="D465">
        <v>0.47</v>
      </c>
      <c r="E465">
        <v>0.16</v>
      </c>
      <c r="F465">
        <v>1.194</v>
      </c>
      <c r="G465">
        <v>0.5625</v>
      </c>
      <c r="H465">
        <v>0.30449999999999999</v>
      </c>
      <c r="I465">
        <v>0.26350000000000001</v>
      </c>
      <c r="J465">
        <v>10</v>
      </c>
      <c r="K465">
        <v>11</v>
      </c>
      <c r="L465" t="s">
        <v>5</v>
      </c>
      <c r="M465" t="s">
        <v>6</v>
      </c>
      <c r="N465" t="s">
        <v>3</v>
      </c>
      <c r="O465">
        <v>6</v>
      </c>
      <c r="P465" t="s">
        <v>47</v>
      </c>
      <c r="Q465">
        <v>14.1</v>
      </c>
      <c r="R465" t="str" cm="1">
        <f t="array" ref="R4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65" t="e">
        <f>IF(Table13[[#This Row],[Category All]]="Category 1", "Yes",NA())</f>
        <v>#N/A</v>
      </c>
      <c r="T465" t="e">
        <f>IF(Table13[[#This Row],[Category All]]="Category 2", "Yes",NA())</f>
        <v>#N/A</v>
      </c>
      <c r="U465" t="str">
        <f>IF(Table13[[#This Row],[Category All]]="Category 3", "Yes",NA())</f>
        <v>Yes</v>
      </c>
      <c r="V465">
        <f>SUM(1,(1/3)*(Table13[[#This Row],[Length]]-0.5),(1/3)*(Table13[[#This Row],[Diameter]]-0.4),(1/3)*(Table13[[#This Row],[Height]]-0.4)*Table13[[#This Row],[Whole_weight]]*0.5)</f>
        <v>1.0089066666666666</v>
      </c>
      <c r="W465" cm="1">
        <f t="array" ref="W4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1.0089066666666666</v>
      </c>
      <c r="X465" t="e">
        <f>IF(Table13[[#This Row],[Category All]]="Category 1",Table13[[#This Row],[Base Abalone Value]]*1.5,NA())</f>
        <v>#N/A</v>
      </c>
      <c r="Y465" t="e">
        <f>IF(Table13[[#This Row],[Category All]]="Category 2",Table13[[#This Row],[Base Abalone Value]]*0.8,NA())</f>
        <v>#N/A</v>
      </c>
      <c r="Z465">
        <f>IF(Table13[[#This Row],[Category All]]="Category 3",Table13[[#This Row],[Base Abalone Value]],NA())</f>
        <v>1.0089066666666666</v>
      </c>
      <c r="AA465" s="2">
        <f>IF(Table13[[#This Row],[Gender]]="M",Table13[[#This Row],[Whole_weight]],NA())</f>
        <v>1.194</v>
      </c>
      <c r="AB465" s="2" t="e">
        <f>IF(Table13[[#This Row],[Gender]]="F",Table13[[#This Row],[Whole_weight]],NA())</f>
        <v>#N/A</v>
      </c>
      <c r="AC465" s="2" t="e">
        <f>IF(Table13[[#This Row],[Gender]]="I",Table13[[#This Row],[Whole_weight]],NA())</f>
        <v>#N/A</v>
      </c>
      <c r="AD465" s="2">
        <f>IF(Table13[[#This Row],[Gender]]="M",Table13[[#This Row],[Diameter]],NA())</f>
        <v>0.47</v>
      </c>
      <c r="AE465" s="2" t="e">
        <f>IF(Table13[[#This Row],[Gender]]="F",Table13[[#This Row],[Diameter]],NA())</f>
        <v>#N/A</v>
      </c>
      <c r="AF465" s="2" t="e">
        <f>IF(Table13[[#This Row],[Gender]]="I",Table13[[#This Row],[Diameter]],NA())</f>
        <v>#N/A</v>
      </c>
    </row>
    <row r="466" spans="1:32" x14ac:dyDescent="0.2">
      <c r="A466">
        <v>2758</v>
      </c>
      <c r="B466" t="s">
        <v>11</v>
      </c>
      <c r="C466">
        <v>0.52500000000000002</v>
      </c>
      <c r="D466">
        <v>0.375</v>
      </c>
      <c r="E466">
        <v>0.12</v>
      </c>
      <c r="F466">
        <v>0.63149999999999995</v>
      </c>
      <c r="G466">
        <v>0.30449999999999999</v>
      </c>
      <c r="H466">
        <v>0.114</v>
      </c>
      <c r="I466">
        <v>0.19</v>
      </c>
      <c r="J466">
        <v>9</v>
      </c>
      <c r="K466">
        <v>3</v>
      </c>
      <c r="L466" t="s">
        <v>43</v>
      </c>
      <c r="M466" t="s">
        <v>44</v>
      </c>
      <c r="N466" t="s">
        <v>45</v>
      </c>
      <c r="O466">
        <v>8</v>
      </c>
      <c r="P466" t="s">
        <v>19</v>
      </c>
      <c r="Q466">
        <v>12.3</v>
      </c>
      <c r="R466" t="str" cm="1">
        <f t="array" ref="R4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66" t="e">
        <f>IF(Table13[[#This Row],[Category All]]="Category 1", "Yes",NA())</f>
        <v>#N/A</v>
      </c>
      <c r="T466" t="str">
        <f>IF(Table13[[#This Row],[Category All]]="Category 2", "Yes",NA())</f>
        <v>Yes</v>
      </c>
      <c r="U466" t="e">
        <f>IF(Table13[[#This Row],[Category All]]="Category 3", "Yes",NA())</f>
        <v>#N/A</v>
      </c>
      <c r="V466">
        <f>SUM(1,(1/3)*(Table13[[#This Row],[Length]]-0.5),(1/3)*(Table13[[#This Row],[Diameter]]-0.4),(1/3)*(Table13[[#This Row],[Height]]-0.4)*Table13[[#This Row],[Whole_weight]]*0.5)</f>
        <v>0.97053</v>
      </c>
      <c r="W466" cm="1">
        <f t="array" ref="W4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0.776424</v>
      </c>
      <c r="X466" t="e">
        <f>IF(Table13[[#This Row],[Category All]]="Category 1",Table13[[#This Row],[Base Abalone Value]]*1.5,NA())</f>
        <v>#N/A</v>
      </c>
      <c r="Y466">
        <f>IF(Table13[[#This Row],[Category All]]="Category 2",Table13[[#This Row],[Base Abalone Value]]*0.8,NA())</f>
        <v>0.776424</v>
      </c>
      <c r="Z466" t="e">
        <f>IF(Table13[[#This Row],[Category All]]="Category 3",Table13[[#This Row],[Base Abalone Value]],NA())</f>
        <v>#N/A</v>
      </c>
      <c r="AA466" s="2" t="e">
        <f>IF(Table13[[#This Row],[Gender]]="M",Table13[[#This Row],[Whole_weight]],NA())</f>
        <v>#N/A</v>
      </c>
      <c r="AB466" s="2" t="e">
        <f>IF(Table13[[#This Row],[Gender]]="F",Table13[[#This Row],[Whole_weight]],NA())</f>
        <v>#N/A</v>
      </c>
      <c r="AC466" s="2">
        <f>IF(Table13[[#This Row],[Gender]]="I",Table13[[#This Row],[Whole_weight]],NA())</f>
        <v>0.63149999999999995</v>
      </c>
      <c r="AD466" s="2" t="e">
        <f>IF(Table13[[#This Row],[Gender]]="M",Table13[[#This Row],[Diameter]],NA())</f>
        <v>#N/A</v>
      </c>
      <c r="AE466" s="2" t="e">
        <f>IF(Table13[[#This Row],[Gender]]="F",Table13[[#This Row],[Diameter]],NA())</f>
        <v>#N/A</v>
      </c>
      <c r="AF466" s="2">
        <f>IF(Table13[[#This Row],[Gender]]="I",Table13[[#This Row],[Diameter]],NA())</f>
        <v>0.375</v>
      </c>
    </row>
    <row r="467" spans="1:32" x14ac:dyDescent="0.2">
      <c r="A467">
        <v>614</v>
      </c>
      <c r="B467" t="s">
        <v>11</v>
      </c>
      <c r="C467">
        <v>0.495</v>
      </c>
      <c r="D467">
        <v>0.37</v>
      </c>
      <c r="E467">
        <v>0.125</v>
      </c>
      <c r="F467">
        <v>0.47749999999999998</v>
      </c>
      <c r="G467">
        <v>0.185</v>
      </c>
      <c r="H467">
        <v>7.0499999999999993E-2</v>
      </c>
      <c r="I467">
        <v>0.16900000000000001</v>
      </c>
      <c r="J467">
        <v>18</v>
      </c>
      <c r="K467">
        <v>6</v>
      </c>
      <c r="L467" t="s">
        <v>39</v>
      </c>
      <c r="M467" t="s">
        <v>40</v>
      </c>
      <c r="N467" t="s">
        <v>41</v>
      </c>
      <c r="O467">
        <v>10</v>
      </c>
      <c r="P467" t="s">
        <v>38</v>
      </c>
      <c r="Q467">
        <v>24.1</v>
      </c>
      <c r="R467" t="str" cm="1">
        <f t="array" ref="R4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467" t="str">
        <f>IF(Table13[[#This Row],[Category All]]="Category 1", "Yes",NA())</f>
        <v>Yes</v>
      </c>
      <c r="T467" t="e">
        <f>IF(Table13[[#This Row],[Category All]]="Category 2", "Yes",NA())</f>
        <v>#N/A</v>
      </c>
      <c r="U467" t="e">
        <f>IF(Table13[[#This Row],[Category All]]="Category 3", "Yes",NA())</f>
        <v>#N/A</v>
      </c>
      <c r="V467">
        <f>SUM(1,(1/3)*(Table13[[#This Row],[Length]]-0.5),(1/3)*(Table13[[#This Row],[Diameter]]-0.4),(1/3)*(Table13[[#This Row],[Height]]-0.4)*Table13[[#This Row],[Whole_weight]]*0.5)</f>
        <v>0.96644791666666663</v>
      </c>
      <c r="W467" cm="1">
        <f t="array" ref="W4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1.4496718749999999</v>
      </c>
      <c r="X467">
        <f>IF(Table13[[#This Row],[Category All]]="Category 1",Table13[[#This Row],[Base Abalone Value]]*1.5,NA())</f>
        <v>1.4496718749999999</v>
      </c>
      <c r="Y467" t="e">
        <f>IF(Table13[[#This Row],[Category All]]="Category 2",Table13[[#This Row],[Base Abalone Value]]*0.8,NA())</f>
        <v>#N/A</v>
      </c>
      <c r="Z467" t="e">
        <f>IF(Table13[[#This Row],[Category All]]="Category 3",Table13[[#This Row],[Base Abalone Value]],NA())</f>
        <v>#N/A</v>
      </c>
      <c r="AA467" s="2" t="e">
        <f>IF(Table13[[#This Row],[Gender]]="M",Table13[[#This Row],[Whole_weight]],NA())</f>
        <v>#N/A</v>
      </c>
      <c r="AB467" s="2" t="e">
        <f>IF(Table13[[#This Row],[Gender]]="F",Table13[[#This Row],[Whole_weight]],NA())</f>
        <v>#N/A</v>
      </c>
      <c r="AC467" s="2">
        <f>IF(Table13[[#This Row],[Gender]]="I",Table13[[#This Row],[Whole_weight]],NA())</f>
        <v>0.47749999999999998</v>
      </c>
      <c r="AD467" s="2" t="e">
        <f>IF(Table13[[#This Row],[Gender]]="M",Table13[[#This Row],[Diameter]],NA())</f>
        <v>#N/A</v>
      </c>
      <c r="AE467" s="2" t="e">
        <f>IF(Table13[[#This Row],[Gender]]="F",Table13[[#This Row],[Diameter]],NA())</f>
        <v>#N/A</v>
      </c>
      <c r="AF467" s="2">
        <f>IF(Table13[[#This Row],[Gender]]="I",Table13[[#This Row],[Diameter]],NA())</f>
        <v>0.37</v>
      </c>
    </row>
    <row r="468" spans="1:32" x14ac:dyDescent="0.2">
      <c r="A468">
        <v>57</v>
      </c>
      <c r="B468" t="s">
        <v>15</v>
      </c>
      <c r="C468">
        <v>0.44500000000000001</v>
      </c>
      <c r="D468">
        <v>0.35</v>
      </c>
      <c r="E468">
        <v>0.12</v>
      </c>
      <c r="F468">
        <v>0.4425</v>
      </c>
      <c r="G468">
        <v>0.192</v>
      </c>
      <c r="H468">
        <v>9.5500000000000002E-2</v>
      </c>
      <c r="I468">
        <v>0.13500000000000001</v>
      </c>
      <c r="J468">
        <v>8</v>
      </c>
      <c r="K468">
        <v>8</v>
      </c>
      <c r="L468" t="s">
        <v>29</v>
      </c>
      <c r="M468" t="s">
        <v>30</v>
      </c>
      <c r="N468" t="s">
        <v>31</v>
      </c>
      <c r="O468">
        <v>6</v>
      </c>
      <c r="P468" t="s">
        <v>47</v>
      </c>
      <c r="Q468">
        <v>14.1</v>
      </c>
      <c r="R468" t="str" cm="1">
        <f t="array" ref="R4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68" t="e">
        <f>IF(Table13[[#This Row],[Category All]]="Category 1", "Yes",NA())</f>
        <v>#N/A</v>
      </c>
      <c r="T468" t="str">
        <f>IF(Table13[[#This Row],[Category All]]="Category 2", "Yes",NA())</f>
        <v>Yes</v>
      </c>
      <c r="U468" t="e">
        <f>IF(Table13[[#This Row],[Category All]]="Category 3", "Yes",NA())</f>
        <v>#N/A</v>
      </c>
      <c r="V468">
        <f>SUM(1,(1/3)*(Table13[[#This Row],[Length]]-0.5),(1/3)*(Table13[[#This Row],[Diameter]]-0.4),(1/3)*(Table13[[#This Row],[Height]]-0.4)*Table13[[#This Row],[Whole_weight]]*0.5)</f>
        <v>0.94435000000000002</v>
      </c>
      <c r="W468" cm="1">
        <f t="array" ref="W4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0.75548000000000004</v>
      </c>
      <c r="X468" t="e">
        <f>IF(Table13[[#This Row],[Category All]]="Category 1",Table13[[#This Row],[Base Abalone Value]]*1.5,NA())</f>
        <v>#N/A</v>
      </c>
      <c r="Y468">
        <f>IF(Table13[[#This Row],[Category All]]="Category 2",Table13[[#This Row],[Base Abalone Value]]*0.8,NA())</f>
        <v>0.75548000000000004</v>
      </c>
      <c r="Z468" t="e">
        <f>IF(Table13[[#This Row],[Category All]]="Category 3",Table13[[#This Row],[Base Abalone Value]],NA())</f>
        <v>#N/A</v>
      </c>
      <c r="AA468" s="2">
        <f>IF(Table13[[#This Row],[Gender]]="M",Table13[[#This Row],[Whole_weight]],NA())</f>
        <v>0.4425</v>
      </c>
      <c r="AB468" s="2" t="e">
        <f>IF(Table13[[#This Row],[Gender]]="F",Table13[[#This Row],[Whole_weight]],NA())</f>
        <v>#N/A</v>
      </c>
      <c r="AC468" s="2" t="e">
        <f>IF(Table13[[#This Row],[Gender]]="I",Table13[[#This Row],[Whole_weight]],NA())</f>
        <v>#N/A</v>
      </c>
      <c r="AD468" s="2">
        <f>IF(Table13[[#This Row],[Gender]]="M",Table13[[#This Row],[Diameter]],NA())</f>
        <v>0.35</v>
      </c>
      <c r="AE468" s="2" t="e">
        <f>IF(Table13[[#This Row],[Gender]]="F",Table13[[#This Row],[Diameter]],NA())</f>
        <v>#N/A</v>
      </c>
      <c r="AF468" s="2" t="e">
        <f>IF(Table13[[#This Row],[Gender]]="I",Table13[[#This Row],[Diameter]],NA())</f>
        <v>#N/A</v>
      </c>
    </row>
    <row r="469" spans="1:32" x14ac:dyDescent="0.2">
      <c r="A469">
        <v>4096</v>
      </c>
      <c r="B469" t="s">
        <v>0</v>
      </c>
      <c r="C469">
        <v>0.63500000000000001</v>
      </c>
      <c r="D469">
        <v>0.48499999999999999</v>
      </c>
      <c r="E469">
        <v>0.155</v>
      </c>
      <c r="F469">
        <v>1.073</v>
      </c>
      <c r="G469">
        <v>0.46700000000000003</v>
      </c>
      <c r="H469">
        <v>0.19750000000000001</v>
      </c>
      <c r="I469">
        <v>0.35</v>
      </c>
      <c r="J469">
        <v>11</v>
      </c>
      <c r="K469">
        <v>11</v>
      </c>
      <c r="L469" t="s">
        <v>5</v>
      </c>
      <c r="M469" t="s">
        <v>6</v>
      </c>
      <c r="N469" t="s">
        <v>3</v>
      </c>
      <c r="O469">
        <v>9</v>
      </c>
      <c r="P469" t="s">
        <v>46</v>
      </c>
      <c r="Q469">
        <v>1.9</v>
      </c>
      <c r="R469" t="str" cm="1">
        <f t="array" ref="R4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69" t="e">
        <f>IF(Table13[[#This Row],[Category All]]="Category 1", "Yes",NA())</f>
        <v>#N/A</v>
      </c>
      <c r="T469" t="e">
        <f>IF(Table13[[#This Row],[Category All]]="Category 2", "Yes",NA())</f>
        <v>#N/A</v>
      </c>
      <c r="U469" t="str">
        <f>IF(Table13[[#This Row],[Category All]]="Category 3", "Yes",NA())</f>
        <v>Yes</v>
      </c>
      <c r="V469">
        <f>SUM(1,(1/3)*(Table13[[#This Row],[Length]]-0.5),(1/3)*(Table13[[#This Row],[Diameter]]-0.4),(1/3)*(Table13[[#This Row],[Height]]-0.4)*Table13[[#This Row],[Whole_weight]]*0.5)</f>
        <v>1.0295191666666665</v>
      </c>
      <c r="W469" cm="1">
        <f t="array" ref="W4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1.0295191666666665</v>
      </c>
      <c r="X469" t="e">
        <f>IF(Table13[[#This Row],[Category All]]="Category 1",Table13[[#This Row],[Base Abalone Value]]*1.5,NA())</f>
        <v>#N/A</v>
      </c>
      <c r="Y469" t="e">
        <f>IF(Table13[[#This Row],[Category All]]="Category 2",Table13[[#This Row],[Base Abalone Value]]*0.8,NA())</f>
        <v>#N/A</v>
      </c>
      <c r="Z469">
        <f>IF(Table13[[#This Row],[Category All]]="Category 3",Table13[[#This Row],[Base Abalone Value]],NA())</f>
        <v>1.0295191666666665</v>
      </c>
      <c r="AA469" s="2" t="e">
        <f>IF(Table13[[#This Row],[Gender]]="M",Table13[[#This Row],[Whole_weight]],NA())</f>
        <v>#N/A</v>
      </c>
      <c r="AB469" s="2">
        <f>IF(Table13[[#This Row],[Gender]]="F",Table13[[#This Row],[Whole_weight]],NA())</f>
        <v>1.073</v>
      </c>
      <c r="AC469" s="2" t="e">
        <f>IF(Table13[[#This Row],[Gender]]="I",Table13[[#This Row],[Whole_weight]],NA())</f>
        <v>#N/A</v>
      </c>
      <c r="AD469" s="2" t="e">
        <f>IF(Table13[[#This Row],[Gender]]="M",Table13[[#This Row],[Diameter]],NA())</f>
        <v>#N/A</v>
      </c>
      <c r="AE469" s="2">
        <f>IF(Table13[[#This Row],[Gender]]="F",Table13[[#This Row],[Diameter]],NA())</f>
        <v>0.48499999999999999</v>
      </c>
      <c r="AF469" s="2" t="e">
        <f>IF(Table13[[#This Row],[Gender]]="I",Table13[[#This Row],[Diameter]],NA())</f>
        <v>#N/A</v>
      </c>
    </row>
    <row r="470" spans="1:32" x14ac:dyDescent="0.2">
      <c r="A470">
        <v>1779</v>
      </c>
      <c r="B470" t="s">
        <v>0</v>
      </c>
      <c r="C470">
        <v>0.49</v>
      </c>
      <c r="D470">
        <v>0.35499999999999998</v>
      </c>
      <c r="E470">
        <v>0.16</v>
      </c>
      <c r="F470">
        <v>0.87949999999999995</v>
      </c>
      <c r="G470">
        <v>0.34849999999999998</v>
      </c>
      <c r="H470">
        <v>0.215</v>
      </c>
      <c r="I470">
        <v>0.28249999999999997</v>
      </c>
      <c r="J470">
        <v>8</v>
      </c>
      <c r="K470">
        <v>3</v>
      </c>
      <c r="L470" t="s">
        <v>43</v>
      </c>
      <c r="M470" t="s">
        <v>44</v>
      </c>
      <c r="N470" t="s">
        <v>45</v>
      </c>
      <c r="O470">
        <v>10</v>
      </c>
      <c r="P470" t="s">
        <v>38</v>
      </c>
      <c r="Q470">
        <v>24.1</v>
      </c>
      <c r="R470" t="str" cm="1">
        <f t="array" ref="R4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70" t="e">
        <f>IF(Table13[[#This Row],[Category All]]="Category 1", "Yes",NA())</f>
        <v>#N/A</v>
      </c>
      <c r="T470" t="str">
        <f>IF(Table13[[#This Row],[Category All]]="Category 2", "Yes",NA())</f>
        <v>Yes</v>
      </c>
      <c r="U470" t="e">
        <f>IF(Table13[[#This Row],[Category All]]="Category 3", "Yes",NA())</f>
        <v>#N/A</v>
      </c>
      <c r="V470">
        <f>SUM(1,(1/3)*(Table13[[#This Row],[Length]]-0.5),(1/3)*(Table13[[#This Row],[Diameter]]-0.4),(1/3)*(Table13[[#This Row],[Height]]-0.4)*Table13[[#This Row],[Whole_weight]]*0.5)</f>
        <v>0.9464866666666667</v>
      </c>
      <c r="W470" cm="1">
        <f t="array" ref="W4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0.75718933333333338</v>
      </c>
      <c r="X470" t="e">
        <f>IF(Table13[[#This Row],[Category All]]="Category 1",Table13[[#This Row],[Base Abalone Value]]*1.5,NA())</f>
        <v>#N/A</v>
      </c>
      <c r="Y470">
        <f>IF(Table13[[#This Row],[Category All]]="Category 2",Table13[[#This Row],[Base Abalone Value]]*0.8,NA())</f>
        <v>0.75718933333333338</v>
      </c>
      <c r="Z470" t="e">
        <f>IF(Table13[[#This Row],[Category All]]="Category 3",Table13[[#This Row],[Base Abalone Value]],NA())</f>
        <v>#N/A</v>
      </c>
      <c r="AA470" s="2" t="e">
        <f>IF(Table13[[#This Row],[Gender]]="M",Table13[[#This Row],[Whole_weight]],NA())</f>
        <v>#N/A</v>
      </c>
      <c r="AB470" s="2">
        <f>IF(Table13[[#This Row],[Gender]]="F",Table13[[#This Row],[Whole_weight]],NA())</f>
        <v>0.87949999999999995</v>
      </c>
      <c r="AC470" s="2" t="e">
        <f>IF(Table13[[#This Row],[Gender]]="I",Table13[[#This Row],[Whole_weight]],NA())</f>
        <v>#N/A</v>
      </c>
      <c r="AD470" s="2" t="e">
        <f>IF(Table13[[#This Row],[Gender]]="M",Table13[[#This Row],[Diameter]],NA())</f>
        <v>#N/A</v>
      </c>
      <c r="AE470" s="2">
        <f>IF(Table13[[#This Row],[Gender]]="F",Table13[[#This Row],[Diameter]],NA())</f>
        <v>0.35499999999999998</v>
      </c>
      <c r="AF470" s="2" t="e">
        <f>IF(Table13[[#This Row],[Gender]]="I",Table13[[#This Row],[Diameter]],NA())</f>
        <v>#N/A</v>
      </c>
    </row>
    <row r="471" spans="1:32" x14ac:dyDescent="0.2">
      <c r="A471">
        <v>2336</v>
      </c>
      <c r="B471" t="s">
        <v>15</v>
      </c>
      <c r="C471">
        <v>0.61</v>
      </c>
      <c r="D471">
        <v>0.49</v>
      </c>
      <c r="E471">
        <v>0.15</v>
      </c>
      <c r="F471">
        <v>1.103</v>
      </c>
      <c r="G471">
        <v>0.42499999999999999</v>
      </c>
      <c r="H471">
        <v>0.20250000000000001</v>
      </c>
      <c r="I471">
        <v>0.36</v>
      </c>
      <c r="J471">
        <v>23</v>
      </c>
      <c r="K471">
        <v>3</v>
      </c>
      <c r="L471" t="s">
        <v>43</v>
      </c>
      <c r="M471" t="s">
        <v>44</v>
      </c>
      <c r="N471" t="s">
        <v>45</v>
      </c>
      <c r="O471">
        <v>8</v>
      </c>
      <c r="P471" t="s">
        <v>19</v>
      </c>
      <c r="Q471">
        <v>12.3</v>
      </c>
      <c r="R471" t="str" cm="1">
        <f t="array" ref="R4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71" t="e">
        <f>IF(Table13[[#This Row],[Category All]]="Category 1", "Yes",NA())</f>
        <v>#N/A</v>
      </c>
      <c r="T471" t="str">
        <f>IF(Table13[[#This Row],[Category All]]="Category 2", "Yes",NA())</f>
        <v>Yes</v>
      </c>
      <c r="U471" t="e">
        <f>IF(Table13[[#This Row],[Category All]]="Category 3", "Yes",NA())</f>
        <v>#N/A</v>
      </c>
      <c r="V471">
        <f>SUM(1,(1/3)*(Table13[[#This Row],[Length]]-0.5),(1/3)*(Table13[[#This Row],[Diameter]]-0.4),(1/3)*(Table13[[#This Row],[Height]]-0.4)*Table13[[#This Row],[Whole_weight]]*0.5)</f>
        <v>1.0207083333333333</v>
      </c>
      <c r="W471" cm="1">
        <f t="array" ref="W4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0.81656666666666666</v>
      </c>
      <c r="X471" t="e">
        <f>IF(Table13[[#This Row],[Category All]]="Category 1",Table13[[#This Row],[Base Abalone Value]]*1.5,NA())</f>
        <v>#N/A</v>
      </c>
      <c r="Y471">
        <f>IF(Table13[[#This Row],[Category All]]="Category 2",Table13[[#This Row],[Base Abalone Value]]*0.8,NA())</f>
        <v>0.81656666666666666</v>
      </c>
      <c r="Z471" t="e">
        <f>IF(Table13[[#This Row],[Category All]]="Category 3",Table13[[#This Row],[Base Abalone Value]],NA())</f>
        <v>#N/A</v>
      </c>
      <c r="AA471" s="2">
        <f>IF(Table13[[#This Row],[Gender]]="M",Table13[[#This Row],[Whole_weight]],NA())</f>
        <v>1.103</v>
      </c>
      <c r="AB471" s="2" t="e">
        <f>IF(Table13[[#This Row],[Gender]]="F",Table13[[#This Row],[Whole_weight]],NA())</f>
        <v>#N/A</v>
      </c>
      <c r="AC471" s="2" t="e">
        <f>IF(Table13[[#This Row],[Gender]]="I",Table13[[#This Row],[Whole_weight]],NA())</f>
        <v>#N/A</v>
      </c>
      <c r="AD471" s="2">
        <f>IF(Table13[[#This Row],[Gender]]="M",Table13[[#This Row],[Diameter]],NA())</f>
        <v>0.49</v>
      </c>
      <c r="AE471" s="2" t="e">
        <f>IF(Table13[[#This Row],[Gender]]="F",Table13[[#This Row],[Diameter]],NA())</f>
        <v>#N/A</v>
      </c>
      <c r="AF471" s="2" t="e">
        <f>IF(Table13[[#This Row],[Gender]]="I",Table13[[#This Row],[Diameter]],NA())</f>
        <v>#N/A</v>
      </c>
    </row>
    <row r="472" spans="1:32" x14ac:dyDescent="0.2">
      <c r="A472">
        <v>2817</v>
      </c>
      <c r="B472" t="s">
        <v>11</v>
      </c>
      <c r="C472">
        <v>0.32500000000000001</v>
      </c>
      <c r="D472">
        <v>0.24</v>
      </c>
      <c r="E472">
        <v>7.4999999999999997E-2</v>
      </c>
      <c r="F472">
        <v>0.1525</v>
      </c>
      <c r="G472">
        <v>7.1999999999999995E-2</v>
      </c>
      <c r="H472">
        <v>6.4500000000000002E-2</v>
      </c>
      <c r="I472">
        <v>4.2999999999999997E-2</v>
      </c>
      <c r="J472">
        <v>6</v>
      </c>
      <c r="K472">
        <v>8</v>
      </c>
      <c r="L472" t="s">
        <v>29</v>
      </c>
      <c r="M472" t="s">
        <v>30</v>
      </c>
      <c r="N472" t="s">
        <v>31</v>
      </c>
      <c r="O472">
        <v>10</v>
      </c>
      <c r="P472" t="s">
        <v>38</v>
      </c>
      <c r="Q472">
        <v>24.1</v>
      </c>
      <c r="R472" t="str" cm="1">
        <f t="array" ref="R4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72" t="e">
        <f>IF(Table13[[#This Row],[Category All]]="Category 1", "Yes",NA())</f>
        <v>#N/A</v>
      </c>
      <c r="T472" t="str">
        <f>IF(Table13[[#This Row],[Category All]]="Category 2", "Yes",NA())</f>
        <v>Yes</v>
      </c>
      <c r="U472" t="e">
        <f>IF(Table13[[#This Row],[Category All]]="Category 3", "Yes",NA())</f>
        <v>#N/A</v>
      </c>
      <c r="V472">
        <f>SUM(1,(1/3)*(Table13[[#This Row],[Length]]-0.5),(1/3)*(Table13[[#This Row],[Diameter]]-0.4),(1/3)*(Table13[[#This Row],[Height]]-0.4)*Table13[[#This Row],[Whole_weight]]*0.5)</f>
        <v>0.88007291666666665</v>
      </c>
      <c r="W472" cm="1">
        <f t="array" ref="W4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0.70405833333333334</v>
      </c>
      <c r="X472" t="e">
        <f>IF(Table13[[#This Row],[Category All]]="Category 1",Table13[[#This Row],[Base Abalone Value]]*1.5,NA())</f>
        <v>#N/A</v>
      </c>
      <c r="Y472">
        <f>IF(Table13[[#This Row],[Category All]]="Category 2",Table13[[#This Row],[Base Abalone Value]]*0.8,NA())</f>
        <v>0.70405833333333334</v>
      </c>
      <c r="Z472" t="e">
        <f>IF(Table13[[#This Row],[Category All]]="Category 3",Table13[[#This Row],[Base Abalone Value]],NA())</f>
        <v>#N/A</v>
      </c>
      <c r="AA472" s="2" t="e">
        <f>IF(Table13[[#This Row],[Gender]]="M",Table13[[#This Row],[Whole_weight]],NA())</f>
        <v>#N/A</v>
      </c>
      <c r="AB472" s="2" t="e">
        <f>IF(Table13[[#This Row],[Gender]]="F",Table13[[#This Row],[Whole_weight]],NA())</f>
        <v>#N/A</v>
      </c>
      <c r="AC472" s="2">
        <f>IF(Table13[[#This Row],[Gender]]="I",Table13[[#This Row],[Whole_weight]],NA())</f>
        <v>0.1525</v>
      </c>
      <c r="AD472" s="2" t="e">
        <f>IF(Table13[[#This Row],[Gender]]="M",Table13[[#This Row],[Diameter]],NA())</f>
        <v>#N/A</v>
      </c>
      <c r="AE472" s="2" t="e">
        <f>IF(Table13[[#This Row],[Gender]]="F",Table13[[#This Row],[Diameter]],NA())</f>
        <v>#N/A</v>
      </c>
      <c r="AF472" s="2">
        <f>IF(Table13[[#This Row],[Gender]]="I",Table13[[#This Row],[Diameter]],NA())</f>
        <v>0.24</v>
      </c>
    </row>
    <row r="473" spans="1:32" x14ac:dyDescent="0.2">
      <c r="A473">
        <v>2498</v>
      </c>
      <c r="B473" t="s">
        <v>15</v>
      </c>
      <c r="C473">
        <v>0.505</v>
      </c>
      <c r="D473">
        <v>0.4</v>
      </c>
      <c r="E473">
        <v>0.155</v>
      </c>
      <c r="F473">
        <v>0.84150000000000003</v>
      </c>
      <c r="G473">
        <v>0.27150000000000002</v>
      </c>
      <c r="H473">
        <v>0.17749999999999999</v>
      </c>
      <c r="I473">
        <v>0.28499999999999998</v>
      </c>
      <c r="J473">
        <v>12</v>
      </c>
      <c r="K473">
        <v>11</v>
      </c>
      <c r="L473" t="s">
        <v>5</v>
      </c>
      <c r="M473" t="s">
        <v>6</v>
      </c>
      <c r="N473" t="s">
        <v>3</v>
      </c>
      <c r="O473">
        <v>10</v>
      </c>
      <c r="P473" t="s">
        <v>38</v>
      </c>
      <c r="Q473">
        <v>24.1</v>
      </c>
      <c r="R473" t="str" cm="1">
        <f t="array" ref="R4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73" t="e">
        <f>IF(Table13[[#This Row],[Category All]]="Category 1", "Yes",NA())</f>
        <v>#N/A</v>
      </c>
      <c r="T473" t="str">
        <f>IF(Table13[[#This Row],[Category All]]="Category 2", "Yes",NA())</f>
        <v>Yes</v>
      </c>
      <c r="U473" t="e">
        <f>IF(Table13[[#This Row],[Category All]]="Category 3", "Yes",NA())</f>
        <v>#N/A</v>
      </c>
      <c r="V473">
        <f>SUM(1,(1/3)*(Table13[[#This Row],[Length]]-0.5),(1/3)*(Table13[[#This Row],[Diameter]]-0.4),(1/3)*(Table13[[#This Row],[Height]]-0.4)*Table13[[#This Row],[Whole_weight]]*0.5)</f>
        <v>0.9673054166666667</v>
      </c>
      <c r="W473" cm="1">
        <f t="array" ref="W4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0.77384433333333336</v>
      </c>
      <c r="X473" t="e">
        <f>IF(Table13[[#This Row],[Category All]]="Category 1",Table13[[#This Row],[Base Abalone Value]]*1.5,NA())</f>
        <v>#N/A</v>
      </c>
      <c r="Y473">
        <f>IF(Table13[[#This Row],[Category All]]="Category 2",Table13[[#This Row],[Base Abalone Value]]*0.8,NA())</f>
        <v>0.77384433333333336</v>
      </c>
      <c r="Z473" t="e">
        <f>IF(Table13[[#This Row],[Category All]]="Category 3",Table13[[#This Row],[Base Abalone Value]],NA())</f>
        <v>#N/A</v>
      </c>
      <c r="AA473" s="2">
        <f>IF(Table13[[#This Row],[Gender]]="M",Table13[[#This Row],[Whole_weight]],NA())</f>
        <v>0.84150000000000003</v>
      </c>
      <c r="AB473" s="2" t="e">
        <f>IF(Table13[[#This Row],[Gender]]="F",Table13[[#This Row],[Whole_weight]],NA())</f>
        <v>#N/A</v>
      </c>
      <c r="AC473" s="2" t="e">
        <f>IF(Table13[[#This Row],[Gender]]="I",Table13[[#This Row],[Whole_weight]],NA())</f>
        <v>#N/A</v>
      </c>
      <c r="AD473" s="2">
        <f>IF(Table13[[#This Row],[Gender]]="M",Table13[[#This Row],[Diameter]],NA())</f>
        <v>0.4</v>
      </c>
      <c r="AE473" s="2" t="e">
        <f>IF(Table13[[#This Row],[Gender]]="F",Table13[[#This Row],[Diameter]],NA())</f>
        <v>#N/A</v>
      </c>
      <c r="AF473" s="2" t="e">
        <f>IF(Table13[[#This Row],[Gender]]="I",Table13[[#This Row],[Diameter]],NA())</f>
        <v>#N/A</v>
      </c>
    </row>
    <row r="474" spans="1:32" x14ac:dyDescent="0.2">
      <c r="A474">
        <v>2752</v>
      </c>
      <c r="B474" t="s">
        <v>0</v>
      </c>
      <c r="C474">
        <v>0.51500000000000001</v>
      </c>
      <c r="D474">
        <v>0.39500000000000002</v>
      </c>
      <c r="E474">
        <v>0.13500000000000001</v>
      </c>
      <c r="F474">
        <v>0.51600000000000001</v>
      </c>
      <c r="G474">
        <v>0.20150000000000001</v>
      </c>
      <c r="H474">
        <v>0.13200000000000001</v>
      </c>
      <c r="I474">
        <v>0.16200000000000001</v>
      </c>
      <c r="J474">
        <v>9</v>
      </c>
      <c r="K474">
        <v>11</v>
      </c>
      <c r="L474" t="s">
        <v>5</v>
      </c>
      <c r="M474" t="s">
        <v>6</v>
      </c>
      <c r="N474" t="s">
        <v>3</v>
      </c>
      <c r="O474">
        <v>1</v>
      </c>
      <c r="P474" t="s">
        <v>4</v>
      </c>
      <c r="Q474">
        <v>22.1</v>
      </c>
      <c r="R474" t="str" cm="1">
        <f t="array" ref="R4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74" t="e">
        <f>IF(Table13[[#This Row],[Category All]]="Category 1", "Yes",NA())</f>
        <v>#N/A</v>
      </c>
      <c r="T474" t="str">
        <f>IF(Table13[[#This Row],[Category All]]="Category 2", "Yes",NA())</f>
        <v>Yes</v>
      </c>
      <c r="U474" t="e">
        <f>IF(Table13[[#This Row],[Category All]]="Category 3", "Yes",NA())</f>
        <v>#N/A</v>
      </c>
      <c r="V474">
        <f>SUM(1,(1/3)*(Table13[[#This Row],[Length]]-0.5),(1/3)*(Table13[[#This Row],[Diameter]]-0.4),(1/3)*(Table13[[#This Row],[Height]]-0.4)*Table13[[#This Row],[Whole_weight]]*0.5)</f>
        <v>0.98054333333333321</v>
      </c>
      <c r="W474" cm="1">
        <f t="array" ref="W4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0.78443466666666661</v>
      </c>
      <c r="X474" t="e">
        <f>IF(Table13[[#This Row],[Category All]]="Category 1",Table13[[#This Row],[Base Abalone Value]]*1.5,NA())</f>
        <v>#N/A</v>
      </c>
      <c r="Y474">
        <f>IF(Table13[[#This Row],[Category All]]="Category 2",Table13[[#This Row],[Base Abalone Value]]*0.8,NA())</f>
        <v>0.78443466666666661</v>
      </c>
      <c r="Z474" t="e">
        <f>IF(Table13[[#This Row],[Category All]]="Category 3",Table13[[#This Row],[Base Abalone Value]],NA())</f>
        <v>#N/A</v>
      </c>
      <c r="AA474" s="2" t="e">
        <f>IF(Table13[[#This Row],[Gender]]="M",Table13[[#This Row],[Whole_weight]],NA())</f>
        <v>#N/A</v>
      </c>
      <c r="AB474" s="2">
        <f>IF(Table13[[#This Row],[Gender]]="F",Table13[[#This Row],[Whole_weight]],NA())</f>
        <v>0.51600000000000001</v>
      </c>
      <c r="AC474" s="2" t="e">
        <f>IF(Table13[[#This Row],[Gender]]="I",Table13[[#This Row],[Whole_weight]],NA())</f>
        <v>#N/A</v>
      </c>
      <c r="AD474" s="2" t="e">
        <f>IF(Table13[[#This Row],[Gender]]="M",Table13[[#This Row],[Diameter]],NA())</f>
        <v>#N/A</v>
      </c>
      <c r="AE474" s="2">
        <f>IF(Table13[[#This Row],[Gender]]="F",Table13[[#This Row],[Diameter]],NA())</f>
        <v>0.39500000000000002</v>
      </c>
      <c r="AF474" s="2" t="e">
        <f>IF(Table13[[#This Row],[Gender]]="I",Table13[[#This Row],[Diameter]],NA())</f>
        <v>#N/A</v>
      </c>
    </row>
    <row r="475" spans="1:32" x14ac:dyDescent="0.2">
      <c r="A475">
        <v>3195</v>
      </c>
      <c r="B475" t="s">
        <v>0</v>
      </c>
      <c r="C475">
        <v>0.61</v>
      </c>
      <c r="D475">
        <v>0.47</v>
      </c>
      <c r="E475">
        <v>0.16</v>
      </c>
      <c r="F475">
        <v>1.0169999999999999</v>
      </c>
      <c r="G475">
        <v>0.42599999999999999</v>
      </c>
      <c r="H475">
        <v>0.22550000000000001</v>
      </c>
      <c r="I475">
        <v>0.32</v>
      </c>
      <c r="J475">
        <v>12</v>
      </c>
      <c r="K475">
        <v>3</v>
      </c>
      <c r="L475" t="s">
        <v>43</v>
      </c>
      <c r="M475" t="s">
        <v>44</v>
      </c>
      <c r="N475" t="s">
        <v>45</v>
      </c>
      <c r="O475">
        <v>9</v>
      </c>
      <c r="P475" t="s">
        <v>46</v>
      </c>
      <c r="Q475">
        <v>1.9</v>
      </c>
      <c r="R475" t="str" cm="1">
        <f t="array" ref="R4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75" t="e">
        <f>IF(Table13[[#This Row],[Category All]]="Category 1", "Yes",NA())</f>
        <v>#N/A</v>
      </c>
      <c r="T475" t="e">
        <f>IF(Table13[[#This Row],[Category All]]="Category 2", "Yes",NA())</f>
        <v>#N/A</v>
      </c>
      <c r="U475" t="str">
        <f>IF(Table13[[#This Row],[Category All]]="Category 3", "Yes",NA())</f>
        <v>Yes</v>
      </c>
      <c r="V475">
        <f>SUM(1,(1/3)*(Table13[[#This Row],[Length]]-0.5),(1/3)*(Table13[[#This Row],[Diameter]]-0.4),(1/3)*(Table13[[#This Row],[Height]]-0.4)*Table13[[#This Row],[Whole_weight]]*0.5)</f>
        <v>1.01932</v>
      </c>
      <c r="W475" cm="1">
        <f t="array" ref="W4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1.01932</v>
      </c>
      <c r="X475" t="e">
        <f>IF(Table13[[#This Row],[Category All]]="Category 1",Table13[[#This Row],[Base Abalone Value]]*1.5,NA())</f>
        <v>#N/A</v>
      </c>
      <c r="Y475" t="e">
        <f>IF(Table13[[#This Row],[Category All]]="Category 2",Table13[[#This Row],[Base Abalone Value]]*0.8,NA())</f>
        <v>#N/A</v>
      </c>
      <c r="Z475">
        <f>IF(Table13[[#This Row],[Category All]]="Category 3",Table13[[#This Row],[Base Abalone Value]],NA())</f>
        <v>1.01932</v>
      </c>
      <c r="AA475" s="2" t="e">
        <f>IF(Table13[[#This Row],[Gender]]="M",Table13[[#This Row],[Whole_weight]],NA())</f>
        <v>#N/A</v>
      </c>
      <c r="AB475" s="2">
        <f>IF(Table13[[#This Row],[Gender]]="F",Table13[[#This Row],[Whole_weight]],NA())</f>
        <v>1.0169999999999999</v>
      </c>
      <c r="AC475" s="2" t="e">
        <f>IF(Table13[[#This Row],[Gender]]="I",Table13[[#This Row],[Whole_weight]],NA())</f>
        <v>#N/A</v>
      </c>
      <c r="AD475" s="2" t="e">
        <f>IF(Table13[[#This Row],[Gender]]="M",Table13[[#This Row],[Diameter]],NA())</f>
        <v>#N/A</v>
      </c>
      <c r="AE475" s="2">
        <f>IF(Table13[[#This Row],[Gender]]="F",Table13[[#This Row],[Diameter]],NA())</f>
        <v>0.47</v>
      </c>
      <c r="AF475" s="2" t="e">
        <f>IF(Table13[[#This Row],[Gender]]="I",Table13[[#This Row],[Diameter]],NA())</f>
        <v>#N/A</v>
      </c>
    </row>
    <row r="476" spans="1:32" x14ac:dyDescent="0.2">
      <c r="A476">
        <v>778</v>
      </c>
      <c r="B476" t="s">
        <v>15</v>
      </c>
      <c r="C476">
        <v>0.49</v>
      </c>
      <c r="D476">
        <v>0.38</v>
      </c>
      <c r="E476">
        <v>0.14000000000000001</v>
      </c>
      <c r="F476">
        <v>0.63849999999999996</v>
      </c>
      <c r="G476">
        <v>0.23050000000000001</v>
      </c>
      <c r="H476">
        <v>0.14199999999999999</v>
      </c>
      <c r="I476">
        <v>0.19500000000000001</v>
      </c>
      <c r="J476">
        <v>13</v>
      </c>
      <c r="K476">
        <v>10</v>
      </c>
      <c r="L476" t="s">
        <v>16</v>
      </c>
      <c r="M476" t="s">
        <v>17</v>
      </c>
      <c r="N476" t="s">
        <v>18</v>
      </c>
      <c r="O476">
        <v>5</v>
      </c>
      <c r="P476" t="s">
        <v>14</v>
      </c>
      <c r="Q476">
        <v>12.8</v>
      </c>
      <c r="R476" t="str" cm="1">
        <f t="array" ref="R4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76" t="e">
        <f>IF(Table13[[#This Row],[Category All]]="Category 1", "Yes",NA())</f>
        <v>#N/A</v>
      </c>
      <c r="T476" t="str">
        <f>IF(Table13[[#This Row],[Category All]]="Category 2", "Yes",NA())</f>
        <v>Yes</v>
      </c>
      <c r="U476" t="e">
        <f>IF(Table13[[#This Row],[Category All]]="Category 3", "Yes",NA())</f>
        <v>#N/A</v>
      </c>
      <c r="V476">
        <f>SUM(1,(1/3)*(Table13[[#This Row],[Length]]-0.5),(1/3)*(Table13[[#This Row],[Diameter]]-0.4),(1/3)*(Table13[[#This Row],[Height]]-0.4)*Table13[[#This Row],[Whole_weight]]*0.5)</f>
        <v>0.9623316666666667</v>
      </c>
      <c r="W476" cm="1">
        <f t="array" ref="W4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0.7698653333333334</v>
      </c>
      <c r="X476" t="e">
        <f>IF(Table13[[#This Row],[Category All]]="Category 1",Table13[[#This Row],[Base Abalone Value]]*1.5,NA())</f>
        <v>#N/A</v>
      </c>
      <c r="Y476">
        <f>IF(Table13[[#This Row],[Category All]]="Category 2",Table13[[#This Row],[Base Abalone Value]]*0.8,NA())</f>
        <v>0.7698653333333334</v>
      </c>
      <c r="Z476" t="e">
        <f>IF(Table13[[#This Row],[Category All]]="Category 3",Table13[[#This Row],[Base Abalone Value]],NA())</f>
        <v>#N/A</v>
      </c>
      <c r="AA476" s="2">
        <f>IF(Table13[[#This Row],[Gender]]="M",Table13[[#This Row],[Whole_weight]],NA())</f>
        <v>0.63849999999999996</v>
      </c>
      <c r="AB476" s="2" t="e">
        <f>IF(Table13[[#This Row],[Gender]]="F",Table13[[#This Row],[Whole_weight]],NA())</f>
        <v>#N/A</v>
      </c>
      <c r="AC476" s="2" t="e">
        <f>IF(Table13[[#This Row],[Gender]]="I",Table13[[#This Row],[Whole_weight]],NA())</f>
        <v>#N/A</v>
      </c>
      <c r="AD476" s="2">
        <f>IF(Table13[[#This Row],[Gender]]="M",Table13[[#This Row],[Diameter]],NA())</f>
        <v>0.38</v>
      </c>
      <c r="AE476" s="2" t="e">
        <f>IF(Table13[[#This Row],[Gender]]="F",Table13[[#This Row],[Diameter]],NA())</f>
        <v>#N/A</v>
      </c>
      <c r="AF476" s="2" t="e">
        <f>IF(Table13[[#This Row],[Gender]]="I",Table13[[#This Row],[Diameter]],NA())</f>
        <v>#N/A</v>
      </c>
    </row>
    <row r="477" spans="1:32" x14ac:dyDescent="0.2">
      <c r="A477">
        <v>1930</v>
      </c>
      <c r="B477" t="s">
        <v>15</v>
      </c>
      <c r="C477">
        <v>0.61499999999999999</v>
      </c>
      <c r="D477">
        <v>0.495</v>
      </c>
      <c r="E477">
        <v>0.2</v>
      </c>
      <c r="F477">
        <v>1.2190000000000001</v>
      </c>
      <c r="G477">
        <v>0.56399999999999995</v>
      </c>
      <c r="H477">
        <v>0.22700000000000001</v>
      </c>
      <c r="I477">
        <v>0.38850000000000001</v>
      </c>
      <c r="J477">
        <v>10</v>
      </c>
      <c r="K477">
        <v>12</v>
      </c>
      <c r="L477" t="s">
        <v>1</v>
      </c>
      <c r="M477" t="s">
        <v>2</v>
      </c>
      <c r="N477" t="s">
        <v>3</v>
      </c>
      <c r="O477">
        <v>6</v>
      </c>
      <c r="P477" t="s">
        <v>47</v>
      </c>
      <c r="Q477">
        <v>14.1</v>
      </c>
      <c r="R477" t="str" cm="1">
        <f t="array" ref="R4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77" t="e">
        <f>IF(Table13[[#This Row],[Category All]]="Category 1", "Yes",NA())</f>
        <v>#N/A</v>
      </c>
      <c r="T477" t="e">
        <f>IF(Table13[[#This Row],[Category All]]="Category 2", "Yes",NA())</f>
        <v>#N/A</v>
      </c>
      <c r="U477" t="str">
        <f>IF(Table13[[#This Row],[Category All]]="Category 3", "Yes",NA())</f>
        <v>Yes</v>
      </c>
      <c r="V477">
        <f>SUM(1,(1/3)*(Table13[[#This Row],[Length]]-0.5),(1/3)*(Table13[[#This Row],[Diameter]]-0.4),(1/3)*(Table13[[#This Row],[Height]]-0.4)*Table13[[#This Row],[Whole_weight]]*0.5)</f>
        <v>1.0293666666666668</v>
      </c>
      <c r="W477" cm="1">
        <f t="array" ref="W4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1.0293666666666668</v>
      </c>
      <c r="X477" t="e">
        <f>IF(Table13[[#This Row],[Category All]]="Category 1",Table13[[#This Row],[Base Abalone Value]]*1.5,NA())</f>
        <v>#N/A</v>
      </c>
      <c r="Y477" t="e">
        <f>IF(Table13[[#This Row],[Category All]]="Category 2",Table13[[#This Row],[Base Abalone Value]]*0.8,NA())</f>
        <v>#N/A</v>
      </c>
      <c r="Z477">
        <f>IF(Table13[[#This Row],[Category All]]="Category 3",Table13[[#This Row],[Base Abalone Value]],NA())</f>
        <v>1.0293666666666668</v>
      </c>
      <c r="AA477" s="2">
        <f>IF(Table13[[#This Row],[Gender]]="M",Table13[[#This Row],[Whole_weight]],NA())</f>
        <v>1.2190000000000001</v>
      </c>
      <c r="AB477" s="2" t="e">
        <f>IF(Table13[[#This Row],[Gender]]="F",Table13[[#This Row],[Whole_weight]],NA())</f>
        <v>#N/A</v>
      </c>
      <c r="AC477" s="2" t="e">
        <f>IF(Table13[[#This Row],[Gender]]="I",Table13[[#This Row],[Whole_weight]],NA())</f>
        <v>#N/A</v>
      </c>
      <c r="AD477" s="2">
        <f>IF(Table13[[#This Row],[Gender]]="M",Table13[[#This Row],[Diameter]],NA())</f>
        <v>0.495</v>
      </c>
      <c r="AE477" s="2" t="e">
        <f>IF(Table13[[#This Row],[Gender]]="F",Table13[[#This Row],[Diameter]],NA())</f>
        <v>#N/A</v>
      </c>
      <c r="AF477" s="2" t="e">
        <f>IF(Table13[[#This Row],[Gender]]="I",Table13[[#This Row],[Diameter]],NA())</f>
        <v>#N/A</v>
      </c>
    </row>
    <row r="478" spans="1:32" x14ac:dyDescent="0.2">
      <c r="A478">
        <v>4161</v>
      </c>
      <c r="B478" t="s">
        <v>0</v>
      </c>
      <c r="C478">
        <v>0.58499999999999996</v>
      </c>
      <c r="D478">
        <v>0.47499999999999998</v>
      </c>
      <c r="E478">
        <v>0.16500000000000001</v>
      </c>
      <c r="F478">
        <v>1.0529999999999999</v>
      </c>
      <c r="G478">
        <v>0.45800000000000002</v>
      </c>
      <c r="H478">
        <v>0.217</v>
      </c>
      <c r="I478">
        <v>0.3</v>
      </c>
      <c r="J478">
        <v>11</v>
      </c>
      <c r="K478">
        <v>10</v>
      </c>
      <c r="L478" t="s">
        <v>16</v>
      </c>
      <c r="M478" t="s">
        <v>17</v>
      </c>
      <c r="N478" t="s">
        <v>18</v>
      </c>
      <c r="O478">
        <v>10</v>
      </c>
      <c r="P478" t="s">
        <v>38</v>
      </c>
      <c r="Q478">
        <v>24.1</v>
      </c>
      <c r="R478" t="str" cm="1">
        <f t="array" ref="R4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78" t="e">
        <f>IF(Table13[[#This Row],[Category All]]="Category 1", "Yes",NA())</f>
        <v>#N/A</v>
      </c>
      <c r="T478" t="e">
        <f>IF(Table13[[#This Row],[Category All]]="Category 2", "Yes",NA())</f>
        <v>#N/A</v>
      </c>
      <c r="U478" t="str">
        <f>IF(Table13[[#This Row],[Category All]]="Category 3", "Yes",NA())</f>
        <v>Yes</v>
      </c>
      <c r="V478">
        <f>SUM(1,(1/3)*(Table13[[#This Row],[Length]]-0.5),(1/3)*(Table13[[#This Row],[Diameter]]-0.4),(1/3)*(Table13[[#This Row],[Height]]-0.4)*Table13[[#This Row],[Whole_weight]]*0.5)</f>
        <v>1.0120908333333332</v>
      </c>
      <c r="W478" cm="1">
        <f t="array" ref="W4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1.0120908333333332</v>
      </c>
      <c r="X478" t="e">
        <f>IF(Table13[[#This Row],[Category All]]="Category 1",Table13[[#This Row],[Base Abalone Value]]*1.5,NA())</f>
        <v>#N/A</v>
      </c>
      <c r="Y478" t="e">
        <f>IF(Table13[[#This Row],[Category All]]="Category 2",Table13[[#This Row],[Base Abalone Value]]*0.8,NA())</f>
        <v>#N/A</v>
      </c>
      <c r="Z478">
        <f>IF(Table13[[#This Row],[Category All]]="Category 3",Table13[[#This Row],[Base Abalone Value]],NA())</f>
        <v>1.0120908333333332</v>
      </c>
      <c r="AA478" s="2" t="e">
        <f>IF(Table13[[#This Row],[Gender]]="M",Table13[[#This Row],[Whole_weight]],NA())</f>
        <v>#N/A</v>
      </c>
      <c r="AB478" s="2">
        <f>IF(Table13[[#This Row],[Gender]]="F",Table13[[#This Row],[Whole_weight]],NA())</f>
        <v>1.0529999999999999</v>
      </c>
      <c r="AC478" s="2" t="e">
        <f>IF(Table13[[#This Row],[Gender]]="I",Table13[[#This Row],[Whole_weight]],NA())</f>
        <v>#N/A</v>
      </c>
      <c r="AD478" s="2" t="e">
        <f>IF(Table13[[#This Row],[Gender]]="M",Table13[[#This Row],[Diameter]],NA())</f>
        <v>#N/A</v>
      </c>
      <c r="AE478" s="2">
        <f>IF(Table13[[#This Row],[Gender]]="F",Table13[[#This Row],[Diameter]],NA())</f>
        <v>0.47499999999999998</v>
      </c>
      <c r="AF478" s="2" t="e">
        <f>IF(Table13[[#This Row],[Gender]]="I",Table13[[#This Row],[Diameter]],NA())</f>
        <v>#N/A</v>
      </c>
    </row>
    <row r="479" spans="1:32" x14ac:dyDescent="0.2">
      <c r="A479">
        <v>28</v>
      </c>
      <c r="B479" t="s">
        <v>15</v>
      </c>
      <c r="C479">
        <v>0.59</v>
      </c>
      <c r="D479">
        <v>0.44500000000000001</v>
      </c>
      <c r="E479">
        <v>0.14000000000000001</v>
      </c>
      <c r="F479">
        <v>0.93100000000000005</v>
      </c>
      <c r="G479">
        <v>0.35599999999999998</v>
      </c>
      <c r="H479">
        <v>0.23400000000000001</v>
      </c>
      <c r="I479">
        <v>0.28000000000000003</v>
      </c>
      <c r="J479">
        <v>12</v>
      </c>
      <c r="K479">
        <v>14</v>
      </c>
      <c r="L479" t="s">
        <v>23</v>
      </c>
      <c r="M479" t="s">
        <v>24</v>
      </c>
      <c r="N479" t="s">
        <v>25</v>
      </c>
      <c r="O479">
        <v>3</v>
      </c>
      <c r="P479" t="s">
        <v>48</v>
      </c>
      <c r="Q479">
        <v>3.6</v>
      </c>
      <c r="R479" t="str" cm="1">
        <f t="array" ref="R4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79" t="e">
        <f>IF(Table13[[#This Row],[Category All]]="Category 1", "Yes",NA())</f>
        <v>#N/A</v>
      </c>
      <c r="T479" t="str">
        <f>IF(Table13[[#This Row],[Category All]]="Category 2", "Yes",NA())</f>
        <v>Yes</v>
      </c>
      <c r="U479" t="e">
        <f>IF(Table13[[#This Row],[Category All]]="Category 3", "Yes",NA())</f>
        <v>#N/A</v>
      </c>
      <c r="V479">
        <f>SUM(1,(1/3)*(Table13[[#This Row],[Length]]-0.5),(1/3)*(Table13[[#This Row],[Diameter]]-0.4),(1/3)*(Table13[[#This Row],[Height]]-0.4)*Table13[[#This Row],[Whole_weight]]*0.5)</f>
        <v>1.0046566666666665</v>
      </c>
      <c r="W479" cm="1">
        <f t="array" ref="W4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0.80372533333333329</v>
      </c>
      <c r="X479" t="e">
        <f>IF(Table13[[#This Row],[Category All]]="Category 1",Table13[[#This Row],[Base Abalone Value]]*1.5,NA())</f>
        <v>#N/A</v>
      </c>
      <c r="Y479">
        <f>IF(Table13[[#This Row],[Category All]]="Category 2",Table13[[#This Row],[Base Abalone Value]]*0.8,NA())</f>
        <v>0.80372533333333329</v>
      </c>
      <c r="Z479" t="e">
        <f>IF(Table13[[#This Row],[Category All]]="Category 3",Table13[[#This Row],[Base Abalone Value]],NA())</f>
        <v>#N/A</v>
      </c>
      <c r="AA479" s="2">
        <f>IF(Table13[[#This Row],[Gender]]="M",Table13[[#This Row],[Whole_weight]],NA())</f>
        <v>0.93100000000000005</v>
      </c>
      <c r="AB479" s="2" t="e">
        <f>IF(Table13[[#This Row],[Gender]]="F",Table13[[#This Row],[Whole_weight]],NA())</f>
        <v>#N/A</v>
      </c>
      <c r="AC479" s="2" t="e">
        <f>IF(Table13[[#This Row],[Gender]]="I",Table13[[#This Row],[Whole_weight]],NA())</f>
        <v>#N/A</v>
      </c>
      <c r="AD479" s="2">
        <f>IF(Table13[[#This Row],[Gender]]="M",Table13[[#This Row],[Diameter]],NA())</f>
        <v>0.44500000000000001</v>
      </c>
      <c r="AE479" s="2" t="e">
        <f>IF(Table13[[#This Row],[Gender]]="F",Table13[[#This Row],[Diameter]],NA())</f>
        <v>#N/A</v>
      </c>
      <c r="AF479" s="2" t="e">
        <f>IF(Table13[[#This Row],[Gender]]="I",Table13[[#This Row],[Diameter]],NA())</f>
        <v>#N/A</v>
      </c>
    </row>
    <row r="480" spans="1:32" x14ac:dyDescent="0.2">
      <c r="A480">
        <v>2807</v>
      </c>
      <c r="B480" t="s">
        <v>0</v>
      </c>
      <c r="C480">
        <v>0.67500000000000004</v>
      </c>
      <c r="D480">
        <v>0.52500000000000002</v>
      </c>
      <c r="E480">
        <v>0.17</v>
      </c>
      <c r="F480">
        <v>1.7110000000000001</v>
      </c>
      <c r="G480">
        <v>0.83650000000000002</v>
      </c>
      <c r="H480">
        <v>0.35199999999999998</v>
      </c>
      <c r="I480">
        <v>0.47499999999999998</v>
      </c>
      <c r="J480">
        <v>9</v>
      </c>
      <c r="K480">
        <v>15</v>
      </c>
      <c r="L480" t="s">
        <v>49</v>
      </c>
      <c r="M480" t="s">
        <v>50</v>
      </c>
      <c r="N480" t="s">
        <v>3</v>
      </c>
      <c r="O480">
        <v>10</v>
      </c>
      <c r="P480" t="s">
        <v>38</v>
      </c>
      <c r="Q480">
        <v>24.1</v>
      </c>
      <c r="R480" t="str" cm="1">
        <f t="array" ref="R4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80" t="e">
        <f>IF(Table13[[#This Row],[Category All]]="Category 1", "Yes",NA())</f>
        <v>#N/A</v>
      </c>
      <c r="T480" t="e">
        <f>IF(Table13[[#This Row],[Category All]]="Category 2", "Yes",NA())</f>
        <v>#N/A</v>
      </c>
      <c r="U480" t="str">
        <f>IF(Table13[[#This Row],[Category All]]="Category 3", "Yes",NA())</f>
        <v>Yes</v>
      </c>
      <c r="V480">
        <f>SUM(1,(1/3)*(Table13[[#This Row],[Length]]-0.5),(1/3)*(Table13[[#This Row],[Diameter]]-0.4),(1/3)*(Table13[[#This Row],[Height]]-0.4)*Table13[[#This Row],[Whole_weight]]*0.5)</f>
        <v>1.0344116666666667</v>
      </c>
      <c r="W480" cm="1">
        <f t="array" ref="W4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1.0344116666666667</v>
      </c>
      <c r="X480" t="e">
        <f>IF(Table13[[#This Row],[Category All]]="Category 1",Table13[[#This Row],[Base Abalone Value]]*1.5,NA())</f>
        <v>#N/A</v>
      </c>
      <c r="Y480" t="e">
        <f>IF(Table13[[#This Row],[Category All]]="Category 2",Table13[[#This Row],[Base Abalone Value]]*0.8,NA())</f>
        <v>#N/A</v>
      </c>
      <c r="Z480">
        <f>IF(Table13[[#This Row],[Category All]]="Category 3",Table13[[#This Row],[Base Abalone Value]],NA())</f>
        <v>1.0344116666666667</v>
      </c>
      <c r="AA480" s="2" t="e">
        <f>IF(Table13[[#This Row],[Gender]]="M",Table13[[#This Row],[Whole_weight]],NA())</f>
        <v>#N/A</v>
      </c>
      <c r="AB480" s="2">
        <f>IF(Table13[[#This Row],[Gender]]="F",Table13[[#This Row],[Whole_weight]],NA())</f>
        <v>1.7110000000000001</v>
      </c>
      <c r="AC480" s="2" t="e">
        <f>IF(Table13[[#This Row],[Gender]]="I",Table13[[#This Row],[Whole_weight]],NA())</f>
        <v>#N/A</v>
      </c>
      <c r="AD480" s="2" t="e">
        <f>IF(Table13[[#This Row],[Gender]]="M",Table13[[#This Row],[Diameter]],NA())</f>
        <v>#N/A</v>
      </c>
      <c r="AE480" s="2">
        <f>IF(Table13[[#This Row],[Gender]]="F",Table13[[#This Row],[Diameter]],NA())</f>
        <v>0.52500000000000002</v>
      </c>
      <c r="AF480" s="2" t="e">
        <f>IF(Table13[[#This Row],[Gender]]="I",Table13[[#This Row],[Diameter]],NA())</f>
        <v>#N/A</v>
      </c>
    </row>
    <row r="481" spans="1:32" x14ac:dyDescent="0.2">
      <c r="A481">
        <v>1832</v>
      </c>
      <c r="B481" t="s">
        <v>11</v>
      </c>
      <c r="C481">
        <v>0.36499999999999999</v>
      </c>
      <c r="D481">
        <v>0.27</v>
      </c>
      <c r="E481">
        <v>7.4999999999999997E-2</v>
      </c>
      <c r="F481">
        <v>0.2215</v>
      </c>
      <c r="G481">
        <v>9.5000000000000001E-2</v>
      </c>
      <c r="H481">
        <v>4.4499999999999998E-2</v>
      </c>
      <c r="I481">
        <v>7.0000000000000007E-2</v>
      </c>
      <c r="J481">
        <v>6</v>
      </c>
      <c r="K481">
        <v>13</v>
      </c>
      <c r="L481" t="s">
        <v>12</v>
      </c>
      <c r="M481" t="s">
        <v>13</v>
      </c>
      <c r="N481" t="s">
        <v>3</v>
      </c>
      <c r="O481">
        <v>7</v>
      </c>
      <c r="P481" t="s">
        <v>42</v>
      </c>
      <c r="Q481">
        <v>2.5</v>
      </c>
      <c r="R481" t="str" cm="1">
        <f t="array" ref="R4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81" t="e">
        <f>IF(Table13[[#This Row],[Category All]]="Category 1", "Yes",NA())</f>
        <v>#N/A</v>
      </c>
      <c r="T481" t="str">
        <f>IF(Table13[[#This Row],[Category All]]="Category 2", "Yes",NA())</f>
        <v>Yes</v>
      </c>
      <c r="U481" t="e">
        <f>IF(Table13[[#This Row],[Category All]]="Category 3", "Yes",NA())</f>
        <v>#N/A</v>
      </c>
      <c r="V481">
        <f>SUM(1,(1/3)*(Table13[[#This Row],[Length]]-0.5),(1/3)*(Table13[[#This Row],[Diameter]]-0.4),(1/3)*(Table13[[#This Row],[Height]]-0.4)*Table13[[#This Row],[Whole_weight]]*0.5)</f>
        <v>0.89966874999999991</v>
      </c>
      <c r="W481" cm="1">
        <f t="array" ref="W4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0.71973500000000001</v>
      </c>
      <c r="X481" t="e">
        <f>IF(Table13[[#This Row],[Category All]]="Category 1",Table13[[#This Row],[Base Abalone Value]]*1.5,NA())</f>
        <v>#N/A</v>
      </c>
      <c r="Y481">
        <f>IF(Table13[[#This Row],[Category All]]="Category 2",Table13[[#This Row],[Base Abalone Value]]*0.8,NA())</f>
        <v>0.71973500000000001</v>
      </c>
      <c r="Z481" t="e">
        <f>IF(Table13[[#This Row],[Category All]]="Category 3",Table13[[#This Row],[Base Abalone Value]],NA())</f>
        <v>#N/A</v>
      </c>
      <c r="AA481" s="2" t="e">
        <f>IF(Table13[[#This Row],[Gender]]="M",Table13[[#This Row],[Whole_weight]],NA())</f>
        <v>#N/A</v>
      </c>
      <c r="AB481" s="2" t="e">
        <f>IF(Table13[[#This Row],[Gender]]="F",Table13[[#This Row],[Whole_weight]],NA())</f>
        <v>#N/A</v>
      </c>
      <c r="AC481" s="2">
        <f>IF(Table13[[#This Row],[Gender]]="I",Table13[[#This Row],[Whole_weight]],NA())</f>
        <v>0.2215</v>
      </c>
      <c r="AD481" s="2" t="e">
        <f>IF(Table13[[#This Row],[Gender]]="M",Table13[[#This Row],[Diameter]],NA())</f>
        <v>#N/A</v>
      </c>
      <c r="AE481" s="2" t="e">
        <f>IF(Table13[[#This Row],[Gender]]="F",Table13[[#This Row],[Diameter]],NA())</f>
        <v>#N/A</v>
      </c>
      <c r="AF481" s="2">
        <f>IF(Table13[[#This Row],[Gender]]="I",Table13[[#This Row],[Diameter]],NA())</f>
        <v>0.27</v>
      </c>
    </row>
    <row r="482" spans="1:32" x14ac:dyDescent="0.2">
      <c r="A482">
        <v>474</v>
      </c>
      <c r="B482" t="s">
        <v>0</v>
      </c>
      <c r="C482">
        <v>0.52</v>
      </c>
      <c r="D482">
        <v>0.40500000000000003</v>
      </c>
      <c r="E482">
        <v>0.12</v>
      </c>
      <c r="F482">
        <v>0.627</v>
      </c>
      <c r="G482">
        <v>0.26450000000000001</v>
      </c>
      <c r="H482">
        <v>0.14149999999999999</v>
      </c>
      <c r="I482">
        <v>0.18099999999999999</v>
      </c>
      <c r="J482">
        <v>11</v>
      </c>
      <c r="K482">
        <v>4</v>
      </c>
      <c r="L482" t="s">
        <v>52</v>
      </c>
      <c r="M482" t="s">
        <v>53</v>
      </c>
      <c r="N482" t="s">
        <v>54</v>
      </c>
      <c r="O482">
        <v>9</v>
      </c>
      <c r="P482" t="s">
        <v>46</v>
      </c>
      <c r="Q482">
        <v>1.9</v>
      </c>
      <c r="R482" t="str" cm="1">
        <f t="array" ref="R4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82" t="e">
        <f>IF(Table13[[#This Row],[Category All]]="Category 1", "Yes",NA())</f>
        <v>#N/A</v>
      </c>
      <c r="T482" t="str">
        <f>IF(Table13[[#This Row],[Category All]]="Category 2", "Yes",NA())</f>
        <v>Yes</v>
      </c>
      <c r="U482" t="e">
        <f>IF(Table13[[#This Row],[Category All]]="Category 3", "Yes",NA())</f>
        <v>#N/A</v>
      </c>
      <c r="V482">
        <f>SUM(1,(1/3)*(Table13[[#This Row],[Length]]-0.5),(1/3)*(Table13[[#This Row],[Diameter]]-0.4),(1/3)*(Table13[[#This Row],[Height]]-0.4)*Table13[[#This Row],[Whole_weight]]*0.5)</f>
        <v>0.97907333333333335</v>
      </c>
      <c r="W482" cm="1">
        <f t="array" ref="W4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0.78325866666666677</v>
      </c>
      <c r="X482" t="e">
        <f>IF(Table13[[#This Row],[Category All]]="Category 1",Table13[[#This Row],[Base Abalone Value]]*1.5,NA())</f>
        <v>#N/A</v>
      </c>
      <c r="Y482">
        <f>IF(Table13[[#This Row],[Category All]]="Category 2",Table13[[#This Row],[Base Abalone Value]]*0.8,NA())</f>
        <v>0.78325866666666677</v>
      </c>
      <c r="Z482" t="e">
        <f>IF(Table13[[#This Row],[Category All]]="Category 3",Table13[[#This Row],[Base Abalone Value]],NA())</f>
        <v>#N/A</v>
      </c>
      <c r="AA482" s="2" t="e">
        <f>IF(Table13[[#This Row],[Gender]]="M",Table13[[#This Row],[Whole_weight]],NA())</f>
        <v>#N/A</v>
      </c>
      <c r="AB482" s="2">
        <f>IF(Table13[[#This Row],[Gender]]="F",Table13[[#This Row],[Whole_weight]],NA())</f>
        <v>0.627</v>
      </c>
      <c r="AC482" s="2" t="e">
        <f>IF(Table13[[#This Row],[Gender]]="I",Table13[[#This Row],[Whole_weight]],NA())</f>
        <v>#N/A</v>
      </c>
      <c r="AD482" s="2" t="e">
        <f>IF(Table13[[#This Row],[Gender]]="M",Table13[[#This Row],[Diameter]],NA())</f>
        <v>#N/A</v>
      </c>
      <c r="AE482" s="2">
        <f>IF(Table13[[#This Row],[Gender]]="F",Table13[[#This Row],[Diameter]],NA())</f>
        <v>0.40500000000000003</v>
      </c>
      <c r="AF482" s="2" t="e">
        <f>IF(Table13[[#This Row],[Gender]]="I",Table13[[#This Row],[Diameter]],NA())</f>
        <v>#N/A</v>
      </c>
    </row>
    <row r="483" spans="1:32" x14ac:dyDescent="0.2">
      <c r="A483">
        <v>856</v>
      </c>
      <c r="B483" t="s">
        <v>0</v>
      </c>
      <c r="C483">
        <v>0.57499999999999996</v>
      </c>
      <c r="D483">
        <v>0.46500000000000002</v>
      </c>
      <c r="E483">
        <v>0.14000000000000001</v>
      </c>
      <c r="F483">
        <v>0.95799999999999996</v>
      </c>
      <c r="G483">
        <v>0.442</v>
      </c>
      <c r="H483">
        <v>0.18149999999999999</v>
      </c>
      <c r="I483">
        <v>0.27050000000000002</v>
      </c>
      <c r="J483">
        <v>9</v>
      </c>
      <c r="K483">
        <v>5</v>
      </c>
      <c r="L483" t="s">
        <v>26</v>
      </c>
      <c r="M483" t="s">
        <v>27</v>
      </c>
      <c r="N483" t="s">
        <v>28</v>
      </c>
      <c r="O483">
        <v>4</v>
      </c>
      <c r="P483" t="s">
        <v>10</v>
      </c>
      <c r="Q483">
        <v>6.1</v>
      </c>
      <c r="R483" t="str" cm="1">
        <f t="array" ref="R4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83" t="e">
        <f>IF(Table13[[#This Row],[Category All]]="Category 1", "Yes",NA())</f>
        <v>#N/A</v>
      </c>
      <c r="T483" t="e">
        <f>IF(Table13[[#This Row],[Category All]]="Category 2", "Yes",NA())</f>
        <v>#N/A</v>
      </c>
      <c r="U483" t="str">
        <f>IF(Table13[[#This Row],[Category All]]="Category 3", "Yes",NA())</f>
        <v>Yes</v>
      </c>
      <c r="V483">
        <f>SUM(1,(1/3)*(Table13[[#This Row],[Length]]-0.5),(1/3)*(Table13[[#This Row],[Diameter]]-0.4),(1/3)*(Table13[[#This Row],[Height]]-0.4)*Table13[[#This Row],[Whole_weight]]*0.5)</f>
        <v>1.0051533333333333</v>
      </c>
      <c r="W483" cm="1">
        <f t="array" ref="W4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1.0051533333333333</v>
      </c>
      <c r="X483" t="e">
        <f>IF(Table13[[#This Row],[Category All]]="Category 1",Table13[[#This Row],[Base Abalone Value]]*1.5,NA())</f>
        <v>#N/A</v>
      </c>
      <c r="Y483" t="e">
        <f>IF(Table13[[#This Row],[Category All]]="Category 2",Table13[[#This Row],[Base Abalone Value]]*0.8,NA())</f>
        <v>#N/A</v>
      </c>
      <c r="Z483">
        <f>IF(Table13[[#This Row],[Category All]]="Category 3",Table13[[#This Row],[Base Abalone Value]],NA())</f>
        <v>1.0051533333333333</v>
      </c>
      <c r="AA483" s="2" t="e">
        <f>IF(Table13[[#This Row],[Gender]]="M",Table13[[#This Row],[Whole_weight]],NA())</f>
        <v>#N/A</v>
      </c>
      <c r="AB483" s="2">
        <f>IF(Table13[[#This Row],[Gender]]="F",Table13[[#This Row],[Whole_weight]],NA())</f>
        <v>0.95799999999999996</v>
      </c>
      <c r="AC483" s="2" t="e">
        <f>IF(Table13[[#This Row],[Gender]]="I",Table13[[#This Row],[Whole_weight]],NA())</f>
        <v>#N/A</v>
      </c>
      <c r="AD483" s="2" t="e">
        <f>IF(Table13[[#This Row],[Gender]]="M",Table13[[#This Row],[Diameter]],NA())</f>
        <v>#N/A</v>
      </c>
      <c r="AE483" s="2">
        <f>IF(Table13[[#This Row],[Gender]]="F",Table13[[#This Row],[Diameter]],NA())</f>
        <v>0.46500000000000002</v>
      </c>
      <c r="AF483" s="2" t="e">
        <f>IF(Table13[[#This Row],[Gender]]="I",Table13[[#This Row],[Diameter]],NA())</f>
        <v>#N/A</v>
      </c>
    </row>
    <row r="484" spans="1:32" x14ac:dyDescent="0.2">
      <c r="A484">
        <v>3358</v>
      </c>
      <c r="B484" t="s">
        <v>11</v>
      </c>
      <c r="C484">
        <v>0.375</v>
      </c>
      <c r="D484">
        <v>0.28499999999999998</v>
      </c>
      <c r="E484">
        <v>0.1</v>
      </c>
      <c r="F484">
        <v>0.23899999999999999</v>
      </c>
      <c r="G484">
        <v>0.105</v>
      </c>
      <c r="H484">
        <v>5.5500000000000001E-2</v>
      </c>
      <c r="I484">
        <v>7.0000000000000007E-2</v>
      </c>
      <c r="J484">
        <v>8</v>
      </c>
      <c r="K484">
        <v>5</v>
      </c>
      <c r="L484" t="s">
        <v>26</v>
      </c>
      <c r="M484" t="s">
        <v>27</v>
      </c>
      <c r="N484" t="s">
        <v>28</v>
      </c>
      <c r="O484">
        <v>9</v>
      </c>
      <c r="P484" t="s">
        <v>46</v>
      </c>
      <c r="Q484">
        <v>1.9</v>
      </c>
      <c r="R484" t="str" cm="1">
        <f t="array" ref="R4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84" t="e">
        <f>IF(Table13[[#This Row],[Category All]]="Category 1", "Yes",NA())</f>
        <v>#N/A</v>
      </c>
      <c r="T484" t="str">
        <f>IF(Table13[[#This Row],[Category All]]="Category 2", "Yes",NA())</f>
        <v>Yes</v>
      </c>
      <c r="U484" t="e">
        <f>IF(Table13[[#This Row],[Category All]]="Category 3", "Yes",NA())</f>
        <v>#N/A</v>
      </c>
      <c r="V484">
        <f>SUM(1,(1/3)*(Table13[[#This Row],[Length]]-0.5),(1/3)*(Table13[[#This Row],[Diameter]]-0.4),(1/3)*(Table13[[#This Row],[Height]]-0.4)*Table13[[#This Row],[Whole_weight]]*0.5)</f>
        <v>0.90805000000000002</v>
      </c>
      <c r="W484" cm="1">
        <f t="array" ref="W4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0.72644000000000009</v>
      </c>
      <c r="X484" t="e">
        <f>IF(Table13[[#This Row],[Category All]]="Category 1",Table13[[#This Row],[Base Abalone Value]]*1.5,NA())</f>
        <v>#N/A</v>
      </c>
      <c r="Y484">
        <f>IF(Table13[[#This Row],[Category All]]="Category 2",Table13[[#This Row],[Base Abalone Value]]*0.8,NA())</f>
        <v>0.72644000000000009</v>
      </c>
      <c r="Z484" t="e">
        <f>IF(Table13[[#This Row],[Category All]]="Category 3",Table13[[#This Row],[Base Abalone Value]],NA())</f>
        <v>#N/A</v>
      </c>
      <c r="AA484" s="2" t="e">
        <f>IF(Table13[[#This Row],[Gender]]="M",Table13[[#This Row],[Whole_weight]],NA())</f>
        <v>#N/A</v>
      </c>
      <c r="AB484" s="2" t="e">
        <f>IF(Table13[[#This Row],[Gender]]="F",Table13[[#This Row],[Whole_weight]],NA())</f>
        <v>#N/A</v>
      </c>
      <c r="AC484" s="2">
        <f>IF(Table13[[#This Row],[Gender]]="I",Table13[[#This Row],[Whole_weight]],NA())</f>
        <v>0.23899999999999999</v>
      </c>
      <c r="AD484" s="2" t="e">
        <f>IF(Table13[[#This Row],[Gender]]="M",Table13[[#This Row],[Diameter]],NA())</f>
        <v>#N/A</v>
      </c>
      <c r="AE484" s="2" t="e">
        <f>IF(Table13[[#This Row],[Gender]]="F",Table13[[#This Row],[Diameter]],NA())</f>
        <v>#N/A</v>
      </c>
      <c r="AF484" s="2">
        <f>IF(Table13[[#This Row],[Gender]]="I",Table13[[#This Row],[Diameter]],NA())</f>
        <v>0.28499999999999998</v>
      </c>
    </row>
    <row r="485" spans="1:32" x14ac:dyDescent="0.2">
      <c r="A485">
        <v>1486</v>
      </c>
      <c r="B485" t="s">
        <v>0</v>
      </c>
      <c r="C485">
        <v>0.59</v>
      </c>
      <c r="D485">
        <v>0.46</v>
      </c>
      <c r="E485">
        <v>0.14499999999999999</v>
      </c>
      <c r="F485">
        <v>0.99050000000000005</v>
      </c>
      <c r="G485">
        <v>0.45300000000000001</v>
      </c>
      <c r="H485">
        <v>0.2205</v>
      </c>
      <c r="I485">
        <v>0.27500000000000002</v>
      </c>
      <c r="J485">
        <v>8</v>
      </c>
      <c r="K485">
        <v>6</v>
      </c>
      <c r="L485" t="s">
        <v>39</v>
      </c>
      <c r="M485" t="s">
        <v>40</v>
      </c>
      <c r="N485" t="s">
        <v>41</v>
      </c>
      <c r="O485">
        <v>6</v>
      </c>
      <c r="P485" t="s">
        <v>47</v>
      </c>
      <c r="Q485">
        <v>14.1</v>
      </c>
      <c r="R485" t="str" cm="1">
        <f t="array" ref="R4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85" t="e">
        <f>IF(Table13[[#This Row],[Category All]]="Category 1", "Yes",NA())</f>
        <v>#N/A</v>
      </c>
      <c r="T485" t="e">
        <f>IF(Table13[[#This Row],[Category All]]="Category 2", "Yes",NA())</f>
        <v>#N/A</v>
      </c>
      <c r="U485" t="str">
        <f>IF(Table13[[#This Row],[Category All]]="Category 3", "Yes",NA())</f>
        <v>Yes</v>
      </c>
      <c r="V485">
        <f>SUM(1,(1/3)*(Table13[[#This Row],[Length]]-0.5),(1/3)*(Table13[[#This Row],[Diameter]]-0.4),(1/3)*(Table13[[#This Row],[Height]]-0.4)*Table13[[#This Row],[Whole_weight]]*0.5)</f>
        <v>1.0079037500000001</v>
      </c>
      <c r="W485" cm="1">
        <f t="array" ref="W4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1.0079037500000001</v>
      </c>
      <c r="X485" t="e">
        <f>IF(Table13[[#This Row],[Category All]]="Category 1",Table13[[#This Row],[Base Abalone Value]]*1.5,NA())</f>
        <v>#N/A</v>
      </c>
      <c r="Y485" t="e">
        <f>IF(Table13[[#This Row],[Category All]]="Category 2",Table13[[#This Row],[Base Abalone Value]]*0.8,NA())</f>
        <v>#N/A</v>
      </c>
      <c r="Z485">
        <f>IF(Table13[[#This Row],[Category All]]="Category 3",Table13[[#This Row],[Base Abalone Value]],NA())</f>
        <v>1.0079037500000001</v>
      </c>
      <c r="AA485" s="2" t="e">
        <f>IF(Table13[[#This Row],[Gender]]="M",Table13[[#This Row],[Whole_weight]],NA())</f>
        <v>#N/A</v>
      </c>
      <c r="AB485" s="2">
        <f>IF(Table13[[#This Row],[Gender]]="F",Table13[[#This Row],[Whole_weight]],NA())</f>
        <v>0.99050000000000005</v>
      </c>
      <c r="AC485" s="2" t="e">
        <f>IF(Table13[[#This Row],[Gender]]="I",Table13[[#This Row],[Whole_weight]],NA())</f>
        <v>#N/A</v>
      </c>
      <c r="AD485" s="2" t="e">
        <f>IF(Table13[[#This Row],[Gender]]="M",Table13[[#This Row],[Diameter]],NA())</f>
        <v>#N/A</v>
      </c>
      <c r="AE485" s="2">
        <f>IF(Table13[[#This Row],[Gender]]="F",Table13[[#This Row],[Diameter]],NA())</f>
        <v>0.46</v>
      </c>
      <c r="AF485" s="2" t="e">
        <f>IF(Table13[[#This Row],[Gender]]="I",Table13[[#This Row],[Diameter]],NA())</f>
        <v>#N/A</v>
      </c>
    </row>
    <row r="486" spans="1:32" x14ac:dyDescent="0.2">
      <c r="A486">
        <v>419</v>
      </c>
      <c r="B486" t="s">
        <v>0</v>
      </c>
      <c r="C486">
        <v>0.63</v>
      </c>
      <c r="D486">
        <v>0.5</v>
      </c>
      <c r="E486">
        <v>0.155</v>
      </c>
      <c r="F486">
        <v>1.0049999999999999</v>
      </c>
      <c r="G486">
        <v>0.36699999999999999</v>
      </c>
      <c r="H486">
        <v>0.19900000000000001</v>
      </c>
      <c r="I486">
        <v>0.36</v>
      </c>
      <c r="J486">
        <v>16</v>
      </c>
      <c r="K486">
        <v>1</v>
      </c>
      <c r="L486" t="s">
        <v>8</v>
      </c>
      <c r="M486" t="s">
        <v>9</v>
      </c>
      <c r="N486" t="s">
        <v>3</v>
      </c>
      <c r="O486">
        <v>10</v>
      </c>
      <c r="P486" t="s">
        <v>38</v>
      </c>
      <c r="Q486">
        <v>24.1</v>
      </c>
      <c r="R486" t="str" cm="1">
        <f t="array" ref="R4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86" t="e">
        <f>IF(Table13[[#This Row],[Category All]]="Category 1", "Yes",NA())</f>
        <v>#N/A</v>
      </c>
      <c r="T486" t="str">
        <f>IF(Table13[[#This Row],[Category All]]="Category 2", "Yes",NA())</f>
        <v>Yes</v>
      </c>
      <c r="U486" t="e">
        <f>IF(Table13[[#This Row],[Category All]]="Category 3", "Yes",NA())</f>
        <v>#N/A</v>
      </c>
      <c r="V486">
        <f>SUM(1,(1/3)*(Table13[[#This Row],[Length]]-0.5),(1/3)*(Table13[[#This Row],[Diameter]]-0.4),(1/3)*(Table13[[#This Row],[Height]]-0.4)*Table13[[#This Row],[Whole_weight]]*0.5)</f>
        <v>1.0356291666666666</v>
      </c>
      <c r="W486" cm="1">
        <f t="array" ref="W4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0.82850333333333337</v>
      </c>
      <c r="X486" t="e">
        <f>IF(Table13[[#This Row],[Category All]]="Category 1",Table13[[#This Row],[Base Abalone Value]]*1.5,NA())</f>
        <v>#N/A</v>
      </c>
      <c r="Y486">
        <f>IF(Table13[[#This Row],[Category All]]="Category 2",Table13[[#This Row],[Base Abalone Value]]*0.8,NA())</f>
        <v>0.82850333333333337</v>
      </c>
      <c r="Z486" t="e">
        <f>IF(Table13[[#This Row],[Category All]]="Category 3",Table13[[#This Row],[Base Abalone Value]],NA())</f>
        <v>#N/A</v>
      </c>
      <c r="AA486" s="2" t="e">
        <f>IF(Table13[[#This Row],[Gender]]="M",Table13[[#This Row],[Whole_weight]],NA())</f>
        <v>#N/A</v>
      </c>
      <c r="AB486" s="2">
        <f>IF(Table13[[#This Row],[Gender]]="F",Table13[[#This Row],[Whole_weight]],NA())</f>
        <v>1.0049999999999999</v>
      </c>
      <c r="AC486" s="2" t="e">
        <f>IF(Table13[[#This Row],[Gender]]="I",Table13[[#This Row],[Whole_weight]],NA())</f>
        <v>#N/A</v>
      </c>
      <c r="AD486" s="2" t="e">
        <f>IF(Table13[[#This Row],[Gender]]="M",Table13[[#This Row],[Diameter]],NA())</f>
        <v>#N/A</v>
      </c>
      <c r="AE486" s="2">
        <f>IF(Table13[[#This Row],[Gender]]="F",Table13[[#This Row],[Diameter]],NA())</f>
        <v>0.5</v>
      </c>
      <c r="AF486" s="2" t="e">
        <f>IF(Table13[[#This Row],[Gender]]="I",Table13[[#This Row],[Diameter]],NA())</f>
        <v>#N/A</v>
      </c>
    </row>
    <row r="487" spans="1:32" x14ac:dyDescent="0.2">
      <c r="A487">
        <v>3908</v>
      </c>
      <c r="B487" t="s">
        <v>11</v>
      </c>
      <c r="C487">
        <v>0.48</v>
      </c>
      <c r="D487">
        <v>0.39</v>
      </c>
      <c r="E487">
        <v>0.15</v>
      </c>
      <c r="F487">
        <v>0.62749999999999995</v>
      </c>
      <c r="G487">
        <v>0.27600000000000002</v>
      </c>
      <c r="H487">
        <v>0.13400000000000001</v>
      </c>
      <c r="I487">
        <v>0.185</v>
      </c>
      <c r="J487">
        <v>13</v>
      </c>
      <c r="K487">
        <v>8</v>
      </c>
      <c r="L487" t="s">
        <v>29</v>
      </c>
      <c r="M487" t="s">
        <v>30</v>
      </c>
      <c r="N487" t="s">
        <v>31</v>
      </c>
      <c r="O487">
        <v>2</v>
      </c>
      <c r="P487" t="s">
        <v>7</v>
      </c>
      <c r="Q487">
        <v>18</v>
      </c>
      <c r="R487" t="str" cm="1">
        <f t="array" ref="R4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87" t="e">
        <f>IF(Table13[[#This Row],[Category All]]="Category 1", "Yes",NA())</f>
        <v>#N/A</v>
      </c>
      <c r="T487" t="str">
        <f>IF(Table13[[#This Row],[Category All]]="Category 2", "Yes",NA())</f>
        <v>Yes</v>
      </c>
      <c r="U487" t="e">
        <f>IF(Table13[[#This Row],[Category All]]="Category 3", "Yes",NA())</f>
        <v>#N/A</v>
      </c>
      <c r="V487">
        <f>SUM(1,(1/3)*(Table13[[#This Row],[Length]]-0.5),(1/3)*(Table13[[#This Row],[Diameter]]-0.4),(1/3)*(Table13[[#This Row],[Height]]-0.4)*Table13[[#This Row],[Whole_weight]]*0.5)</f>
        <v>0.96385416666666668</v>
      </c>
      <c r="W487" cm="1">
        <f t="array" ref="W4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0.77108333333333334</v>
      </c>
      <c r="X487" t="e">
        <f>IF(Table13[[#This Row],[Category All]]="Category 1",Table13[[#This Row],[Base Abalone Value]]*1.5,NA())</f>
        <v>#N/A</v>
      </c>
      <c r="Y487">
        <f>IF(Table13[[#This Row],[Category All]]="Category 2",Table13[[#This Row],[Base Abalone Value]]*0.8,NA())</f>
        <v>0.77108333333333334</v>
      </c>
      <c r="Z487" t="e">
        <f>IF(Table13[[#This Row],[Category All]]="Category 3",Table13[[#This Row],[Base Abalone Value]],NA())</f>
        <v>#N/A</v>
      </c>
      <c r="AA487" s="2" t="e">
        <f>IF(Table13[[#This Row],[Gender]]="M",Table13[[#This Row],[Whole_weight]],NA())</f>
        <v>#N/A</v>
      </c>
      <c r="AB487" s="2" t="e">
        <f>IF(Table13[[#This Row],[Gender]]="F",Table13[[#This Row],[Whole_weight]],NA())</f>
        <v>#N/A</v>
      </c>
      <c r="AC487" s="2">
        <f>IF(Table13[[#This Row],[Gender]]="I",Table13[[#This Row],[Whole_weight]],NA())</f>
        <v>0.62749999999999995</v>
      </c>
      <c r="AD487" s="2" t="e">
        <f>IF(Table13[[#This Row],[Gender]]="M",Table13[[#This Row],[Diameter]],NA())</f>
        <v>#N/A</v>
      </c>
      <c r="AE487" s="2" t="e">
        <f>IF(Table13[[#This Row],[Gender]]="F",Table13[[#This Row],[Diameter]],NA())</f>
        <v>#N/A</v>
      </c>
      <c r="AF487" s="2">
        <f>IF(Table13[[#This Row],[Gender]]="I",Table13[[#This Row],[Diameter]],NA())</f>
        <v>0.39</v>
      </c>
    </row>
    <row r="488" spans="1:32" x14ac:dyDescent="0.2">
      <c r="A488">
        <v>639</v>
      </c>
      <c r="B488" t="s">
        <v>11</v>
      </c>
      <c r="C488">
        <v>0.44</v>
      </c>
      <c r="D488">
        <v>0.34499999999999997</v>
      </c>
      <c r="E488">
        <v>0.12</v>
      </c>
      <c r="F488">
        <v>0.48699999999999999</v>
      </c>
      <c r="G488">
        <v>0.19650000000000001</v>
      </c>
      <c r="H488">
        <v>0.108</v>
      </c>
      <c r="I488">
        <v>0.16</v>
      </c>
      <c r="J488">
        <v>14</v>
      </c>
      <c r="K488">
        <v>14</v>
      </c>
      <c r="L488" t="s">
        <v>23</v>
      </c>
      <c r="M488" t="s">
        <v>24</v>
      </c>
      <c r="N488" t="s">
        <v>25</v>
      </c>
      <c r="O488">
        <v>7</v>
      </c>
      <c r="P488" t="s">
        <v>42</v>
      </c>
      <c r="Q488">
        <v>2.5</v>
      </c>
      <c r="R488" t="str" cm="1">
        <f t="array" ref="R4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88" t="e">
        <f>IF(Table13[[#This Row],[Category All]]="Category 1", "Yes",NA())</f>
        <v>#N/A</v>
      </c>
      <c r="T488" t="str">
        <f>IF(Table13[[#This Row],[Category All]]="Category 2", "Yes",NA())</f>
        <v>Yes</v>
      </c>
      <c r="U488" t="e">
        <f>IF(Table13[[#This Row],[Category All]]="Category 3", "Yes",NA())</f>
        <v>#N/A</v>
      </c>
      <c r="V488">
        <f>SUM(1,(1/3)*(Table13[[#This Row],[Length]]-0.5),(1/3)*(Table13[[#This Row],[Diameter]]-0.4),(1/3)*(Table13[[#This Row],[Height]]-0.4)*Table13[[#This Row],[Whole_weight]]*0.5)</f>
        <v>0.93894</v>
      </c>
      <c r="W488" cm="1">
        <f t="array" ref="W4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0.75115200000000004</v>
      </c>
      <c r="X488" t="e">
        <f>IF(Table13[[#This Row],[Category All]]="Category 1",Table13[[#This Row],[Base Abalone Value]]*1.5,NA())</f>
        <v>#N/A</v>
      </c>
      <c r="Y488">
        <f>IF(Table13[[#This Row],[Category All]]="Category 2",Table13[[#This Row],[Base Abalone Value]]*0.8,NA())</f>
        <v>0.75115200000000004</v>
      </c>
      <c r="Z488" t="e">
        <f>IF(Table13[[#This Row],[Category All]]="Category 3",Table13[[#This Row],[Base Abalone Value]],NA())</f>
        <v>#N/A</v>
      </c>
      <c r="AA488" s="2" t="e">
        <f>IF(Table13[[#This Row],[Gender]]="M",Table13[[#This Row],[Whole_weight]],NA())</f>
        <v>#N/A</v>
      </c>
      <c r="AB488" s="2" t="e">
        <f>IF(Table13[[#This Row],[Gender]]="F",Table13[[#This Row],[Whole_weight]],NA())</f>
        <v>#N/A</v>
      </c>
      <c r="AC488" s="2">
        <f>IF(Table13[[#This Row],[Gender]]="I",Table13[[#This Row],[Whole_weight]],NA())</f>
        <v>0.48699999999999999</v>
      </c>
      <c r="AD488" s="2" t="e">
        <f>IF(Table13[[#This Row],[Gender]]="M",Table13[[#This Row],[Diameter]],NA())</f>
        <v>#N/A</v>
      </c>
      <c r="AE488" s="2" t="e">
        <f>IF(Table13[[#This Row],[Gender]]="F",Table13[[#This Row],[Diameter]],NA())</f>
        <v>#N/A</v>
      </c>
      <c r="AF488" s="2">
        <f>IF(Table13[[#This Row],[Gender]]="I",Table13[[#This Row],[Diameter]],NA())</f>
        <v>0.34499999999999997</v>
      </c>
    </row>
    <row r="489" spans="1:32" x14ac:dyDescent="0.2">
      <c r="A489">
        <v>2007</v>
      </c>
      <c r="B489" t="s">
        <v>11</v>
      </c>
      <c r="C489">
        <v>0.40500000000000003</v>
      </c>
      <c r="D489">
        <v>0.25</v>
      </c>
      <c r="E489">
        <v>0.09</v>
      </c>
      <c r="F489">
        <v>0.28749999999999998</v>
      </c>
      <c r="G489">
        <v>0.128</v>
      </c>
      <c r="H489">
        <v>6.3E-2</v>
      </c>
      <c r="I489">
        <v>8.0500000000000002E-2</v>
      </c>
      <c r="J489">
        <v>7</v>
      </c>
      <c r="K489">
        <v>11</v>
      </c>
      <c r="L489" t="s">
        <v>5</v>
      </c>
      <c r="M489" t="s">
        <v>6</v>
      </c>
      <c r="N489" t="s">
        <v>3</v>
      </c>
      <c r="O489">
        <v>5</v>
      </c>
      <c r="P489" t="s">
        <v>14</v>
      </c>
      <c r="Q489">
        <v>12.8</v>
      </c>
      <c r="R489" t="str" cm="1">
        <f t="array" ref="R4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89" t="e">
        <f>IF(Table13[[#This Row],[Category All]]="Category 1", "Yes",NA())</f>
        <v>#N/A</v>
      </c>
      <c r="T489" t="str">
        <f>IF(Table13[[#This Row],[Category All]]="Category 2", "Yes",NA())</f>
        <v>Yes</v>
      </c>
      <c r="U489" t="e">
        <f>IF(Table13[[#This Row],[Category All]]="Category 3", "Yes",NA())</f>
        <v>#N/A</v>
      </c>
      <c r="V489">
        <f>SUM(1,(1/3)*(Table13[[#This Row],[Length]]-0.5),(1/3)*(Table13[[#This Row],[Diameter]]-0.4),(1/3)*(Table13[[#This Row],[Height]]-0.4)*Table13[[#This Row],[Whole_weight]]*0.5)</f>
        <v>0.90347916666666672</v>
      </c>
      <c r="W489" cm="1">
        <f t="array" ref="W4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0.72278333333333344</v>
      </c>
      <c r="X489" t="e">
        <f>IF(Table13[[#This Row],[Category All]]="Category 1",Table13[[#This Row],[Base Abalone Value]]*1.5,NA())</f>
        <v>#N/A</v>
      </c>
      <c r="Y489">
        <f>IF(Table13[[#This Row],[Category All]]="Category 2",Table13[[#This Row],[Base Abalone Value]]*0.8,NA())</f>
        <v>0.72278333333333344</v>
      </c>
      <c r="Z489" t="e">
        <f>IF(Table13[[#This Row],[Category All]]="Category 3",Table13[[#This Row],[Base Abalone Value]],NA())</f>
        <v>#N/A</v>
      </c>
      <c r="AA489" s="2" t="e">
        <f>IF(Table13[[#This Row],[Gender]]="M",Table13[[#This Row],[Whole_weight]],NA())</f>
        <v>#N/A</v>
      </c>
      <c r="AB489" s="2" t="e">
        <f>IF(Table13[[#This Row],[Gender]]="F",Table13[[#This Row],[Whole_weight]],NA())</f>
        <v>#N/A</v>
      </c>
      <c r="AC489" s="2">
        <f>IF(Table13[[#This Row],[Gender]]="I",Table13[[#This Row],[Whole_weight]],NA())</f>
        <v>0.28749999999999998</v>
      </c>
      <c r="AD489" s="2" t="e">
        <f>IF(Table13[[#This Row],[Gender]]="M",Table13[[#This Row],[Diameter]],NA())</f>
        <v>#N/A</v>
      </c>
      <c r="AE489" s="2" t="e">
        <f>IF(Table13[[#This Row],[Gender]]="F",Table13[[#This Row],[Diameter]],NA())</f>
        <v>#N/A</v>
      </c>
      <c r="AF489" s="2">
        <f>IF(Table13[[#This Row],[Gender]]="I",Table13[[#This Row],[Diameter]],NA())</f>
        <v>0.25</v>
      </c>
    </row>
    <row r="490" spans="1:32" x14ac:dyDescent="0.2">
      <c r="A490">
        <v>1199</v>
      </c>
      <c r="B490" t="s">
        <v>15</v>
      </c>
      <c r="C490">
        <v>0.71499999999999997</v>
      </c>
      <c r="D490">
        <v>0.53500000000000003</v>
      </c>
      <c r="E490">
        <v>0.19</v>
      </c>
      <c r="F490">
        <v>1.6755</v>
      </c>
      <c r="G490">
        <v>0.88900000000000001</v>
      </c>
      <c r="H490">
        <v>0.313</v>
      </c>
      <c r="I490">
        <v>0.42</v>
      </c>
      <c r="J490">
        <v>10</v>
      </c>
      <c r="K490">
        <v>5</v>
      </c>
      <c r="L490" t="s">
        <v>26</v>
      </c>
      <c r="M490" t="s">
        <v>27</v>
      </c>
      <c r="N490" t="s">
        <v>28</v>
      </c>
      <c r="O490">
        <v>5</v>
      </c>
      <c r="P490" t="s">
        <v>14</v>
      </c>
      <c r="Q490">
        <v>12.8</v>
      </c>
      <c r="R490" t="str" cm="1">
        <f t="array" ref="R4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90" t="e">
        <f>IF(Table13[[#This Row],[Category All]]="Category 1", "Yes",NA())</f>
        <v>#N/A</v>
      </c>
      <c r="T490" t="e">
        <f>IF(Table13[[#This Row],[Category All]]="Category 2", "Yes",NA())</f>
        <v>#N/A</v>
      </c>
      <c r="U490" t="str">
        <f>IF(Table13[[#This Row],[Category All]]="Category 3", "Yes",NA())</f>
        <v>Yes</v>
      </c>
      <c r="V490">
        <f>SUM(1,(1/3)*(Table13[[#This Row],[Length]]-0.5),(1/3)*(Table13[[#This Row],[Diameter]]-0.4),(1/3)*(Table13[[#This Row],[Height]]-0.4)*Table13[[#This Row],[Whole_weight]]*0.5)</f>
        <v>1.0580241666666668</v>
      </c>
      <c r="W490" cm="1">
        <f t="array" ref="W4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1.0580241666666668</v>
      </c>
      <c r="X490" t="e">
        <f>IF(Table13[[#This Row],[Category All]]="Category 1",Table13[[#This Row],[Base Abalone Value]]*1.5,NA())</f>
        <v>#N/A</v>
      </c>
      <c r="Y490" t="e">
        <f>IF(Table13[[#This Row],[Category All]]="Category 2",Table13[[#This Row],[Base Abalone Value]]*0.8,NA())</f>
        <v>#N/A</v>
      </c>
      <c r="Z490">
        <f>IF(Table13[[#This Row],[Category All]]="Category 3",Table13[[#This Row],[Base Abalone Value]],NA())</f>
        <v>1.0580241666666668</v>
      </c>
      <c r="AA490" s="2">
        <f>IF(Table13[[#This Row],[Gender]]="M",Table13[[#This Row],[Whole_weight]],NA())</f>
        <v>1.6755</v>
      </c>
      <c r="AB490" s="2" t="e">
        <f>IF(Table13[[#This Row],[Gender]]="F",Table13[[#This Row],[Whole_weight]],NA())</f>
        <v>#N/A</v>
      </c>
      <c r="AC490" s="2" t="e">
        <f>IF(Table13[[#This Row],[Gender]]="I",Table13[[#This Row],[Whole_weight]],NA())</f>
        <v>#N/A</v>
      </c>
      <c r="AD490" s="2">
        <f>IF(Table13[[#This Row],[Gender]]="M",Table13[[#This Row],[Diameter]],NA())</f>
        <v>0.53500000000000003</v>
      </c>
      <c r="AE490" s="2" t="e">
        <f>IF(Table13[[#This Row],[Gender]]="F",Table13[[#This Row],[Diameter]],NA())</f>
        <v>#N/A</v>
      </c>
      <c r="AF490" s="2" t="e">
        <f>IF(Table13[[#This Row],[Gender]]="I",Table13[[#This Row],[Diameter]],NA())</f>
        <v>#N/A</v>
      </c>
    </row>
    <row r="491" spans="1:32" x14ac:dyDescent="0.2">
      <c r="A491">
        <v>1888</v>
      </c>
      <c r="B491" t="s">
        <v>11</v>
      </c>
      <c r="C491">
        <v>0.56000000000000005</v>
      </c>
      <c r="D491">
        <v>0.44500000000000001</v>
      </c>
      <c r="E491">
        <v>0.16500000000000001</v>
      </c>
      <c r="F491">
        <v>0.83199999999999996</v>
      </c>
      <c r="G491">
        <v>0.34549999999999997</v>
      </c>
      <c r="H491">
        <v>0.17899999999999999</v>
      </c>
      <c r="I491">
        <v>0.27900000000000003</v>
      </c>
      <c r="J491">
        <v>9</v>
      </c>
      <c r="K491">
        <v>10</v>
      </c>
      <c r="L491" t="s">
        <v>16</v>
      </c>
      <c r="M491" t="s">
        <v>17</v>
      </c>
      <c r="N491" t="s">
        <v>18</v>
      </c>
      <c r="O491">
        <v>5</v>
      </c>
      <c r="P491" t="s">
        <v>14</v>
      </c>
      <c r="Q491">
        <v>12.8</v>
      </c>
      <c r="R491" t="str" cm="1">
        <f t="array" ref="R4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91" t="e">
        <f>IF(Table13[[#This Row],[Category All]]="Category 1", "Yes",NA())</f>
        <v>#N/A</v>
      </c>
      <c r="T491" t="str">
        <f>IF(Table13[[#This Row],[Category All]]="Category 2", "Yes",NA())</f>
        <v>Yes</v>
      </c>
      <c r="U491" t="e">
        <f>IF(Table13[[#This Row],[Category All]]="Category 3", "Yes",NA())</f>
        <v>#N/A</v>
      </c>
      <c r="V491">
        <f>SUM(1,(1/3)*(Table13[[#This Row],[Length]]-0.5),(1/3)*(Table13[[#This Row],[Diameter]]-0.4),(1/3)*(Table13[[#This Row],[Height]]-0.4)*Table13[[#This Row],[Whole_weight]]*0.5)</f>
        <v>1.0024133333333332</v>
      </c>
      <c r="W491" cm="1">
        <f t="array" ref="W4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0.80193066666666657</v>
      </c>
      <c r="X491" t="e">
        <f>IF(Table13[[#This Row],[Category All]]="Category 1",Table13[[#This Row],[Base Abalone Value]]*1.5,NA())</f>
        <v>#N/A</v>
      </c>
      <c r="Y491">
        <f>IF(Table13[[#This Row],[Category All]]="Category 2",Table13[[#This Row],[Base Abalone Value]]*0.8,NA())</f>
        <v>0.80193066666666657</v>
      </c>
      <c r="Z491" t="e">
        <f>IF(Table13[[#This Row],[Category All]]="Category 3",Table13[[#This Row],[Base Abalone Value]],NA())</f>
        <v>#N/A</v>
      </c>
      <c r="AA491" s="2" t="e">
        <f>IF(Table13[[#This Row],[Gender]]="M",Table13[[#This Row],[Whole_weight]],NA())</f>
        <v>#N/A</v>
      </c>
      <c r="AB491" s="2" t="e">
        <f>IF(Table13[[#This Row],[Gender]]="F",Table13[[#This Row],[Whole_weight]],NA())</f>
        <v>#N/A</v>
      </c>
      <c r="AC491" s="2">
        <f>IF(Table13[[#This Row],[Gender]]="I",Table13[[#This Row],[Whole_weight]],NA())</f>
        <v>0.83199999999999996</v>
      </c>
      <c r="AD491" s="2" t="e">
        <f>IF(Table13[[#This Row],[Gender]]="M",Table13[[#This Row],[Diameter]],NA())</f>
        <v>#N/A</v>
      </c>
      <c r="AE491" s="2" t="e">
        <f>IF(Table13[[#This Row],[Gender]]="F",Table13[[#This Row],[Diameter]],NA())</f>
        <v>#N/A</v>
      </c>
      <c r="AF491" s="2">
        <f>IF(Table13[[#This Row],[Gender]]="I",Table13[[#This Row],[Diameter]],NA())</f>
        <v>0.44500000000000001</v>
      </c>
    </row>
    <row r="492" spans="1:32" x14ac:dyDescent="0.2">
      <c r="A492">
        <v>2060</v>
      </c>
      <c r="B492" t="s">
        <v>11</v>
      </c>
      <c r="C492">
        <v>0.49</v>
      </c>
      <c r="D492">
        <v>0.37</v>
      </c>
      <c r="E492">
        <v>0.11</v>
      </c>
      <c r="F492">
        <v>0.53800000000000003</v>
      </c>
      <c r="G492">
        <v>0.27100000000000002</v>
      </c>
      <c r="H492">
        <v>0.10349999999999999</v>
      </c>
      <c r="I492">
        <v>0.13900000000000001</v>
      </c>
      <c r="J492">
        <v>8</v>
      </c>
      <c r="K492">
        <v>11</v>
      </c>
      <c r="L492" t="s">
        <v>5</v>
      </c>
      <c r="M492" t="s">
        <v>6</v>
      </c>
      <c r="N492" t="s">
        <v>3</v>
      </c>
      <c r="O492">
        <v>8</v>
      </c>
      <c r="P492" t="s">
        <v>19</v>
      </c>
      <c r="Q492">
        <v>12.3</v>
      </c>
      <c r="R492" t="str" cm="1">
        <f t="array" ref="R4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92" t="e">
        <f>IF(Table13[[#This Row],[Category All]]="Category 1", "Yes",NA())</f>
        <v>#N/A</v>
      </c>
      <c r="T492" t="str">
        <f>IF(Table13[[#This Row],[Category All]]="Category 2", "Yes",NA())</f>
        <v>Yes</v>
      </c>
      <c r="U492" t="e">
        <f>IF(Table13[[#This Row],[Category All]]="Category 3", "Yes",NA())</f>
        <v>#N/A</v>
      </c>
      <c r="V492">
        <f>SUM(1,(1/3)*(Table13[[#This Row],[Length]]-0.5),(1/3)*(Table13[[#This Row],[Diameter]]-0.4),(1/3)*(Table13[[#This Row],[Height]]-0.4)*Table13[[#This Row],[Whole_weight]]*0.5)</f>
        <v>0.96066333333333331</v>
      </c>
      <c r="W492" cm="1">
        <f t="array" ref="W4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0.7685306666666667</v>
      </c>
      <c r="X492" t="e">
        <f>IF(Table13[[#This Row],[Category All]]="Category 1",Table13[[#This Row],[Base Abalone Value]]*1.5,NA())</f>
        <v>#N/A</v>
      </c>
      <c r="Y492">
        <f>IF(Table13[[#This Row],[Category All]]="Category 2",Table13[[#This Row],[Base Abalone Value]]*0.8,NA())</f>
        <v>0.7685306666666667</v>
      </c>
      <c r="Z492" t="e">
        <f>IF(Table13[[#This Row],[Category All]]="Category 3",Table13[[#This Row],[Base Abalone Value]],NA())</f>
        <v>#N/A</v>
      </c>
      <c r="AA492" s="2" t="e">
        <f>IF(Table13[[#This Row],[Gender]]="M",Table13[[#This Row],[Whole_weight]],NA())</f>
        <v>#N/A</v>
      </c>
      <c r="AB492" s="2" t="e">
        <f>IF(Table13[[#This Row],[Gender]]="F",Table13[[#This Row],[Whole_weight]],NA())</f>
        <v>#N/A</v>
      </c>
      <c r="AC492" s="2">
        <f>IF(Table13[[#This Row],[Gender]]="I",Table13[[#This Row],[Whole_weight]],NA())</f>
        <v>0.53800000000000003</v>
      </c>
      <c r="AD492" s="2" t="e">
        <f>IF(Table13[[#This Row],[Gender]]="M",Table13[[#This Row],[Diameter]],NA())</f>
        <v>#N/A</v>
      </c>
      <c r="AE492" s="2" t="e">
        <f>IF(Table13[[#This Row],[Gender]]="F",Table13[[#This Row],[Diameter]],NA())</f>
        <v>#N/A</v>
      </c>
      <c r="AF492" s="2">
        <f>IF(Table13[[#This Row],[Gender]]="I",Table13[[#This Row],[Diameter]],NA())</f>
        <v>0.37</v>
      </c>
    </row>
    <row r="493" spans="1:32" x14ac:dyDescent="0.2">
      <c r="A493">
        <v>3795</v>
      </c>
      <c r="B493" t="s">
        <v>15</v>
      </c>
      <c r="C493">
        <v>0.67</v>
      </c>
      <c r="D493">
        <v>0.52</v>
      </c>
      <c r="E493">
        <v>0.17499999999999999</v>
      </c>
      <c r="F493">
        <v>1.4755</v>
      </c>
      <c r="G493">
        <v>0.62749999999999995</v>
      </c>
      <c r="H493">
        <v>0.379</v>
      </c>
      <c r="I493">
        <v>0.374</v>
      </c>
      <c r="J493">
        <v>10</v>
      </c>
      <c r="K493">
        <v>10</v>
      </c>
      <c r="L493" t="s">
        <v>16</v>
      </c>
      <c r="M493" t="s">
        <v>17</v>
      </c>
      <c r="N493" t="s">
        <v>18</v>
      </c>
      <c r="O493">
        <v>1</v>
      </c>
      <c r="P493" t="s">
        <v>4</v>
      </c>
      <c r="Q493">
        <v>22.1</v>
      </c>
      <c r="R493" t="str" cm="1">
        <f t="array" ref="R4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93" t="e">
        <f>IF(Table13[[#This Row],[Category All]]="Category 1", "Yes",NA())</f>
        <v>#N/A</v>
      </c>
      <c r="T493" t="e">
        <f>IF(Table13[[#This Row],[Category All]]="Category 2", "Yes",NA())</f>
        <v>#N/A</v>
      </c>
      <c r="U493" t="str">
        <f>IF(Table13[[#This Row],[Category All]]="Category 3", "Yes",NA())</f>
        <v>Yes</v>
      </c>
      <c r="V493">
        <f>SUM(1,(1/3)*(Table13[[#This Row],[Length]]-0.5),(1/3)*(Table13[[#This Row],[Diameter]]-0.4),(1/3)*(Table13[[#This Row],[Height]]-0.4)*Table13[[#This Row],[Whole_weight]]*0.5)</f>
        <v>1.0413354166666666</v>
      </c>
      <c r="W493" cm="1">
        <f t="array" ref="W4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1.0413354166666666</v>
      </c>
      <c r="X493" t="e">
        <f>IF(Table13[[#This Row],[Category All]]="Category 1",Table13[[#This Row],[Base Abalone Value]]*1.5,NA())</f>
        <v>#N/A</v>
      </c>
      <c r="Y493" t="e">
        <f>IF(Table13[[#This Row],[Category All]]="Category 2",Table13[[#This Row],[Base Abalone Value]]*0.8,NA())</f>
        <v>#N/A</v>
      </c>
      <c r="Z493">
        <f>IF(Table13[[#This Row],[Category All]]="Category 3",Table13[[#This Row],[Base Abalone Value]],NA())</f>
        <v>1.0413354166666666</v>
      </c>
      <c r="AA493" s="2">
        <f>IF(Table13[[#This Row],[Gender]]="M",Table13[[#This Row],[Whole_weight]],NA())</f>
        <v>1.4755</v>
      </c>
      <c r="AB493" s="2" t="e">
        <f>IF(Table13[[#This Row],[Gender]]="F",Table13[[#This Row],[Whole_weight]],NA())</f>
        <v>#N/A</v>
      </c>
      <c r="AC493" s="2" t="e">
        <f>IF(Table13[[#This Row],[Gender]]="I",Table13[[#This Row],[Whole_weight]],NA())</f>
        <v>#N/A</v>
      </c>
      <c r="AD493" s="2">
        <f>IF(Table13[[#This Row],[Gender]]="M",Table13[[#This Row],[Diameter]],NA())</f>
        <v>0.52</v>
      </c>
      <c r="AE493" s="2" t="e">
        <f>IF(Table13[[#This Row],[Gender]]="F",Table13[[#This Row],[Diameter]],NA())</f>
        <v>#N/A</v>
      </c>
      <c r="AF493" s="2" t="e">
        <f>IF(Table13[[#This Row],[Gender]]="I",Table13[[#This Row],[Diameter]],NA())</f>
        <v>#N/A</v>
      </c>
    </row>
    <row r="494" spans="1:32" x14ac:dyDescent="0.2">
      <c r="A494">
        <v>3435</v>
      </c>
      <c r="B494" t="s">
        <v>11</v>
      </c>
      <c r="C494">
        <v>0.37</v>
      </c>
      <c r="D494">
        <v>0.28000000000000003</v>
      </c>
      <c r="E494">
        <v>0.09</v>
      </c>
      <c r="F494">
        <v>0.25650000000000001</v>
      </c>
      <c r="G494">
        <v>0.1255</v>
      </c>
      <c r="H494">
        <v>6.4500000000000002E-2</v>
      </c>
      <c r="I494">
        <v>6.4500000000000002E-2</v>
      </c>
      <c r="J494">
        <v>6</v>
      </c>
      <c r="K494">
        <v>5</v>
      </c>
      <c r="L494" t="s">
        <v>26</v>
      </c>
      <c r="M494" t="s">
        <v>27</v>
      </c>
      <c r="N494" t="s">
        <v>28</v>
      </c>
      <c r="O494">
        <v>8</v>
      </c>
      <c r="P494" t="s">
        <v>19</v>
      </c>
      <c r="Q494">
        <v>12.3</v>
      </c>
      <c r="R494" t="str" cm="1">
        <f t="array" ref="R4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94" t="e">
        <f>IF(Table13[[#This Row],[Category All]]="Category 1", "Yes",NA())</f>
        <v>#N/A</v>
      </c>
      <c r="T494" t="str">
        <f>IF(Table13[[#This Row],[Category All]]="Category 2", "Yes",NA())</f>
        <v>Yes</v>
      </c>
      <c r="U494" t="e">
        <f>IF(Table13[[#This Row],[Category All]]="Category 3", "Yes",NA())</f>
        <v>#N/A</v>
      </c>
      <c r="V494">
        <f>SUM(1,(1/3)*(Table13[[#This Row],[Length]]-0.5),(1/3)*(Table13[[#This Row],[Diameter]]-0.4),(1/3)*(Table13[[#This Row],[Height]]-0.4)*Table13[[#This Row],[Whole_weight]]*0.5)</f>
        <v>0.90341416666666663</v>
      </c>
      <c r="W494" cm="1">
        <f t="array" ref="W4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0.72273133333333339</v>
      </c>
      <c r="X494" t="e">
        <f>IF(Table13[[#This Row],[Category All]]="Category 1",Table13[[#This Row],[Base Abalone Value]]*1.5,NA())</f>
        <v>#N/A</v>
      </c>
      <c r="Y494">
        <f>IF(Table13[[#This Row],[Category All]]="Category 2",Table13[[#This Row],[Base Abalone Value]]*0.8,NA())</f>
        <v>0.72273133333333339</v>
      </c>
      <c r="Z494" t="e">
        <f>IF(Table13[[#This Row],[Category All]]="Category 3",Table13[[#This Row],[Base Abalone Value]],NA())</f>
        <v>#N/A</v>
      </c>
      <c r="AA494" s="2" t="e">
        <f>IF(Table13[[#This Row],[Gender]]="M",Table13[[#This Row],[Whole_weight]],NA())</f>
        <v>#N/A</v>
      </c>
      <c r="AB494" s="2" t="e">
        <f>IF(Table13[[#This Row],[Gender]]="F",Table13[[#This Row],[Whole_weight]],NA())</f>
        <v>#N/A</v>
      </c>
      <c r="AC494" s="2">
        <f>IF(Table13[[#This Row],[Gender]]="I",Table13[[#This Row],[Whole_weight]],NA())</f>
        <v>0.25650000000000001</v>
      </c>
      <c r="AD494" s="2" t="e">
        <f>IF(Table13[[#This Row],[Gender]]="M",Table13[[#This Row],[Diameter]],NA())</f>
        <v>#N/A</v>
      </c>
      <c r="AE494" s="2" t="e">
        <f>IF(Table13[[#This Row],[Gender]]="F",Table13[[#This Row],[Diameter]],NA())</f>
        <v>#N/A</v>
      </c>
      <c r="AF494" s="2">
        <f>IF(Table13[[#This Row],[Gender]]="I",Table13[[#This Row],[Diameter]],NA())</f>
        <v>0.28000000000000003</v>
      </c>
    </row>
    <row r="495" spans="1:32" x14ac:dyDescent="0.2">
      <c r="A495">
        <v>4068</v>
      </c>
      <c r="B495" t="s">
        <v>11</v>
      </c>
      <c r="C495">
        <v>0.4</v>
      </c>
      <c r="D495">
        <v>0.3</v>
      </c>
      <c r="E495">
        <v>0.115</v>
      </c>
      <c r="F495">
        <v>0.318</v>
      </c>
      <c r="G495">
        <v>0.13350000000000001</v>
      </c>
      <c r="H495">
        <v>7.2499999999999995E-2</v>
      </c>
      <c r="I495">
        <v>9.35E-2</v>
      </c>
      <c r="J495">
        <v>6</v>
      </c>
      <c r="K495">
        <v>8</v>
      </c>
      <c r="L495" t="s">
        <v>29</v>
      </c>
      <c r="M495" t="s">
        <v>30</v>
      </c>
      <c r="N495" t="s">
        <v>31</v>
      </c>
      <c r="O495">
        <v>2</v>
      </c>
      <c r="P495" t="s">
        <v>7</v>
      </c>
      <c r="Q495">
        <v>18</v>
      </c>
      <c r="R495" t="str" cm="1">
        <f t="array" ref="R4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95" t="e">
        <f>IF(Table13[[#This Row],[Category All]]="Category 1", "Yes",NA())</f>
        <v>#N/A</v>
      </c>
      <c r="T495" t="str">
        <f>IF(Table13[[#This Row],[Category All]]="Category 2", "Yes",NA())</f>
        <v>Yes</v>
      </c>
      <c r="U495" t="e">
        <f>IF(Table13[[#This Row],[Category All]]="Category 3", "Yes",NA())</f>
        <v>#N/A</v>
      </c>
      <c r="V495">
        <f>SUM(1,(1/3)*(Table13[[#This Row],[Length]]-0.5),(1/3)*(Table13[[#This Row],[Diameter]]-0.4),(1/3)*(Table13[[#This Row],[Height]]-0.4)*Table13[[#This Row],[Whole_weight]]*0.5)</f>
        <v>0.91822833333333331</v>
      </c>
      <c r="W495" cm="1">
        <f t="array" ref="W4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0.73458266666666672</v>
      </c>
      <c r="X495" t="e">
        <f>IF(Table13[[#This Row],[Category All]]="Category 1",Table13[[#This Row],[Base Abalone Value]]*1.5,NA())</f>
        <v>#N/A</v>
      </c>
      <c r="Y495">
        <f>IF(Table13[[#This Row],[Category All]]="Category 2",Table13[[#This Row],[Base Abalone Value]]*0.8,NA())</f>
        <v>0.73458266666666672</v>
      </c>
      <c r="Z495" t="e">
        <f>IF(Table13[[#This Row],[Category All]]="Category 3",Table13[[#This Row],[Base Abalone Value]],NA())</f>
        <v>#N/A</v>
      </c>
      <c r="AA495" s="2" t="e">
        <f>IF(Table13[[#This Row],[Gender]]="M",Table13[[#This Row],[Whole_weight]],NA())</f>
        <v>#N/A</v>
      </c>
      <c r="AB495" s="2" t="e">
        <f>IF(Table13[[#This Row],[Gender]]="F",Table13[[#This Row],[Whole_weight]],NA())</f>
        <v>#N/A</v>
      </c>
      <c r="AC495" s="2">
        <f>IF(Table13[[#This Row],[Gender]]="I",Table13[[#This Row],[Whole_weight]],NA())</f>
        <v>0.318</v>
      </c>
      <c r="AD495" s="2" t="e">
        <f>IF(Table13[[#This Row],[Gender]]="M",Table13[[#This Row],[Diameter]],NA())</f>
        <v>#N/A</v>
      </c>
      <c r="AE495" s="2" t="e">
        <f>IF(Table13[[#This Row],[Gender]]="F",Table13[[#This Row],[Diameter]],NA())</f>
        <v>#N/A</v>
      </c>
      <c r="AF495" s="2">
        <f>IF(Table13[[#This Row],[Gender]]="I",Table13[[#This Row],[Diameter]],NA())</f>
        <v>0.3</v>
      </c>
    </row>
    <row r="496" spans="1:32" x14ac:dyDescent="0.2">
      <c r="A496">
        <v>3063</v>
      </c>
      <c r="B496" t="s">
        <v>0</v>
      </c>
      <c r="C496">
        <v>0.63500000000000001</v>
      </c>
      <c r="D496">
        <v>0.505</v>
      </c>
      <c r="E496">
        <v>0.16500000000000001</v>
      </c>
      <c r="F496">
        <v>1.2509999999999999</v>
      </c>
      <c r="G496">
        <v>0.57699999999999996</v>
      </c>
      <c r="H496">
        <v>0.22700000000000001</v>
      </c>
      <c r="I496">
        <v>0.38250000000000001</v>
      </c>
      <c r="J496">
        <v>11</v>
      </c>
      <c r="K496">
        <v>14</v>
      </c>
      <c r="L496" t="s">
        <v>23</v>
      </c>
      <c r="M496" t="s">
        <v>24</v>
      </c>
      <c r="N496" t="s">
        <v>25</v>
      </c>
      <c r="O496">
        <v>5</v>
      </c>
      <c r="P496" t="s">
        <v>14</v>
      </c>
      <c r="Q496">
        <v>12.8</v>
      </c>
      <c r="R496" t="str" cm="1">
        <f t="array" ref="R4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96" t="e">
        <f>IF(Table13[[#This Row],[Category All]]="Category 1", "Yes",NA())</f>
        <v>#N/A</v>
      </c>
      <c r="T496" t="e">
        <f>IF(Table13[[#This Row],[Category All]]="Category 2", "Yes",NA())</f>
        <v>#N/A</v>
      </c>
      <c r="U496" t="str">
        <f>IF(Table13[[#This Row],[Category All]]="Category 3", "Yes",NA())</f>
        <v>Yes</v>
      </c>
      <c r="V496">
        <f>SUM(1,(1/3)*(Table13[[#This Row],[Length]]-0.5),(1/3)*(Table13[[#This Row],[Diameter]]-0.4),(1/3)*(Table13[[#This Row],[Height]]-0.4)*Table13[[#This Row],[Whole_weight]]*0.5)</f>
        <v>1.0310024999999998</v>
      </c>
      <c r="W496" cm="1">
        <f t="array" ref="W4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1.0310024999999998</v>
      </c>
      <c r="X496" t="e">
        <f>IF(Table13[[#This Row],[Category All]]="Category 1",Table13[[#This Row],[Base Abalone Value]]*1.5,NA())</f>
        <v>#N/A</v>
      </c>
      <c r="Y496" t="e">
        <f>IF(Table13[[#This Row],[Category All]]="Category 2",Table13[[#This Row],[Base Abalone Value]]*0.8,NA())</f>
        <v>#N/A</v>
      </c>
      <c r="Z496">
        <f>IF(Table13[[#This Row],[Category All]]="Category 3",Table13[[#This Row],[Base Abalone Value]],NA())</f>
        <v>1.0310024999999998</v>
      </c>
      <c r="AA496" s="2" t="e">
        <f>IF(Table13[[#This Row],[Gender]]="M",Table13[[#This Row],[Whole_weight]],NA())</f>
        <v>#N/A</v>
      </c>
      <c r="AB496" s="2">
        <f>IF(Table13[[#This Row],[Gender]]="F",Table13[[#This Row],[Whole_weight]],NA())</f>
        <v>1.2509999999999999</v>
      </c>
      <c r="AC496" s="2" t="e">
        <f>IF(Table13[[#This Row],[Gender]]="I",Table13[[#This Row],[Whole_weight]],NA())</f>
        <v>#N/A</v>
      </c>
      <c r="AD496" s="2" t="e">
        <f>IF(Table13[[#This Row],[Gender]]="M",Table13[[#This Row],[Diameter]],NA())</f>
        <v>#N/A</v>
      </c>
      <c r="AE496" s="2">
        <f>IF(Table13[[#This Row],[Gender]]="F",Table13[[#This Row],[Diameter]],NA())</f>
        <v>0.505</v>
      </c>
      <c r="AF496" s="2" t="e">
        <f>IF(Table13[[#This Row],[Gender]]="I",Table13[[#This Row],[Diameter]],NA())</f>
        <v>#N/A</v>
      </c>
    </row>
    <row r="497" spans="1:32" x14ac:dyDescent="0.2">
      <c r="A497">
        <v>3628</v>
      </c>
      <c r="B497" t="s">
        <v>15</v>
      </c>
      <c r="C497">
        <v>0.71499999999999997</v>
      </c>
      <c r="D497">
        <v>0.52500000000000002</v>
      </c>
      <c r="E497">
        <v>0.2</v>
      </c>
      <c r="F497">
        <v>1.89</v>
      </c>
      <c r="G497">
        <v>0.95</v>
      </c>
      <c r="H497">
        <v>0.436</v>
      </c>
      <c r="I497">
        <v>0.43049999999999999</v>
      </c>
      <c r="J497">
        <v>10</v>
      </c>
      <c r="K497">
        <v>12</v>
      </c>
      <c r="L497" t="s">
        <v>1</v>
      </c>
      <c r="M497" t="s">
        <v>2</v>
      </c>
      <c r="N497" t="s">
        <v>3</v>
      </c>
      <c r="O497">
        <v>9</v>
      </c>
      <c r="P497" t="s">
        <v>46</v>
      </c>
      <c r="Q497">
        <v>1.9</v>
      </c>
      <c r="R497" t="str" cm="1">
        <f t="array" ref="R4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97" t="e">
        <f>IF(Table13[[#This Row],[Category All]]="Category 1", "Yes",NA())</f>
        <v>#N/A</v>
      </c>
      <c r="T497" t="e">
        <f>IF(Table13[[#This Row],[Category All]]="Category 2", "Yes",NA())</f>
        <v>#N/A</v>
      </c>
      <c r="U497" t="str">
        <f>IF(Table13[[#This Row],[Category All]]="Category 3", "Yes",NA())</f>
        <v>Yes</v>
      </c>
      <c r="V497">
        <f>SUM(1,(1/3)*(Table13[[#This Row],[Length]]-0.5),(1/3)*(Table13[[#This Row],[Diameter]]-0.4),(1/3)*(Table13[[#This Row],[Height]]-0.4)*Table13[[#This Row],[Whole_weight]]*0.5)</f>
        <v>1.0503333333333336</v>
      </c>
      <c r="W497" cm="1">
        <f t="array" ref="W4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1.0503333333333336</v>
      </c>
      <c r="X497" t="e">
        <f>IF(Table13[[#This Row],[Category All]]="Category 1",Table13[[#This Row],[Base Abalone Value]]*1.5,NA())</f>
        <v>#N/A</v>
      </c>
      <c r="Y497" t="e">
        <f>IF(Table13[[#This Row],[Category All]]="Category 2",Table13[[#This Row],[Base Abalone Value]]*0.8,NA())</f>
        <v>#N/A</v>
      </c>
      <c r="Z497">
        <f>IF(Table13[[#This Row],[Category All]]="Category 3",Table13[[#This Row],[Base Abalone Value]],NA())</f>
        <v>1.0503333333333336</v>
      </c>
      <c r="AA497" s="2">
        <f>IF(Table13[[#This Row],[Gender]]="M",Table13[[#This Row],[Whole_weight]],NA())</f>
        <v>1.89</v>
      </c>
      <c r="AB497" s="2" t="e">
        <f>IF(Table13[[#This Row],[Gender]]="F",Table13[[#This Row],[Whole_weight]],NA())</f>
        <v>#N/A</v>
      </c>
      <c r="AC497" s="2" t="e">
        <f>IF(Table13[[#This Row],[Gender]]="I",Table13[[#This Row],[Whole_weight]],NA())</f>
        <v>#N/A</v>
      </c>
      <c r="AD497" s="2">
        <f>IF(Table13[[#This Row],[Gender]]="M",Table13[[#This Row],[Diameter]],NA())</f>
        <v>0.52500000000000002</v>
      </c>
      <c r="AE497" s="2" t="e">
        <f>IF(Table13[[#This Row],[Gender]]="F",Table13[[#This Row],[Diameter]],NA())</f>
        <v>#N/A</v>
      </c>
      <c r="AF497" s="2" t="e">
        <f>IF(Table13[[#This Row],[Gender]]="I",Table13[[#This Row],[Diameter]],NA())</f>
        <v>#N/A</v>
      </c>
    </row>
    <row r="498" spans="1:32" x14ac:dyDescent="0.2">
      <c r="A498">
        <v>4131</v>
      </c>
      <c r="B498" t="s">
        <v>15</v>
      </c>
      <c r="C498">
        <v>0.57999999999999996</v>
      </c>
      <c r="D498">
        <v>0.45</v>
      </c>
      <c r="E498">
        <v>0.14000000000000001</v>
      </c>
      <c r="F498">
        <v>0.82399999999999995</v>
      </c>
      <c r="G498">
        <v>0.34649999999999997</v>
      </c>
      <c r="H498">
        <v>0.17649999999999999</v>
      </c>
      <c r="I498">
        <v>0.26300000000000001</v>
      </c>
      <c r="J498">
        <v>10</v>
      </c>
      <c r="K498">
        <v>6</v>
      </c>
      <c r="L498" t="s">
        <v>39</v>
      </c>
      <c r="M498" t="s">
        <v>40</v>
      </c>
      <c r="N498" t="s">
        <v>41</v>
      </c>
      <c r="O498">
        <v>1</v>
      </c>
      <c r="P498" t="s">
        <v>4</v>
      </c>
      <c r="Q498">
        <v>22.1</v>
      </c>
      <c r="R498" t="str" cm="1">
        <f t="array" ref="R4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98" t="e">
        <f>IF(Table13[[#This Row],[Category All]]="Category 1", "Yes",NA())</f>
        <v>#N/A</v>
      </c>
      <c r="T498" t="str">
        <f>IF(Table13[[#This Row],[Category All]]="Category 2", "Yes",NA())</f>
        <v>Yes</v>
      </c>
      <c r="U498" t="e">
        <f>IF(Table13[[#This Row],[Category All]]="Category 3", "Yes",NA())</f>
        <v>#N/A</v>
      </c>
      <c r="V498">
        <f>SUM(1,(1/3)*(Table13[[#This Row],[Length]]-0.5),(1/3)*(Table13[[#This Row],[Diameter]]-0.4),(1/3)*(Table13[[#This Row],[Height]]-0.4)*Table13[[#This Row],[Whole_weight]]*0.5)</f>
        <v>1.0076266666666664</v>
      </c>
      <c r="W498" cm="1">
        <f t="array" ref="W4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0.80610133333333323</v>
      </c>
      <c r="X498" t="e">
        <f>IF(Table13[[#This Row],[Category All]]="Category 1",Table13[[#This Row],[Base Abalone Value]]*1.5,NA())</f>
        <v>#N/A</v>
      </c>
      <c r="Y498">
        <f>IF(Table13[[#This Row],[Category All]]="Category 2",Table13[[#This Row],[Base Abalone Value]]*0.8,NA())</f>
        <v>0.80610133333333323</v>
      </c>
      <c r="Z498" t="e">
        <f>IF(Table13[[#This Row],[Category All]]="Category 3",Table13[[#This Row],[Base Abalone Value]],NA())</f>
        <v>#N/A</v>
      </c>
      <c r="AA498" s="2">
        <f>IF(Table13[[#This Row],[Gender]]="M",Table13[[#This Row],[Whole_weight]],NA())</f>
        <v>0.82399999999999995</v>
      </c>
      <c r="AB498" s="2" t="e">
        <f>IF(Table13[[#This Row],[Gender]]="F",Table13[[#This Row],[Whole_weight]],NA())</f>
        <v>#N/A</v>
      </c>
      <c r="AC498" s="2" t="e">
        <f>IF(Table13[[#This Row],[Gender]]="I",Table13[[#This Row],[Whole_weight]],NA())</f>
        <v>#N/A</v>
      </c>
      <c r="AD498" s="2">
        <f>IF(Table13[[#This Row],[Gender]]="M",Table13[[#This Row],[Diameter]],NA())</f>
        <v>0.45</v>
      </c>
      <c r="AE498" s="2" t="e">
        <f>IF(Table13[[#This Row],[Gender]]="F",Table13[[#This Row],[Diameter]],NA())</f>
        <v>#N/A</v>
      </c>
      <c r="AF498" s="2" t="e">
        <f>IF(Table13[[#This Row],[Gender]]="I",Table13[[#This Row],[Diameter]],NA())</f>
        <v>#N/A</v>
      </c>
    </row>
    <row r="499" spans="1:32" x14ac:dyDescent="0.2">
      <c r="A499">
        <v>2997</v>
      </c>
      <c r="B499" t="s">
        <v>0</v>
      </c>
      <c r="C499">
        <v>0.62</v>
      </c>
      <c r="D499">
        <v>0.5</v>
      </c>
      <c r="E499">
        <v>0.17</v>
      </c>
      <c r="F499">
        <v>1.1479999999999999</v>
      </c>
      <c r="G499">
        <v>0.54749999999999999</v>
      </c>
      <c r="H499">
        <v>0.22</v>
      </c>
      <c r="I499">
        <v>0.33150000000000002</v>
      </c>
      <c r="J499">
        <v>10</v>
      </c>
      <c r="K499">
        <v>3</v>
      </c>
      <c r="L499" t="s">
        <v>43</v>
      </c>
      <c r="M499" t="s">
        <v>44</v>
      </c>
      <c r="N499" t="s">
        <v>45</v>
      </c>
      <c r="O499">
        <v>3</v>
      </c>
      <c r="P499" t="s">
        <v>48</v>
      </c>
      <c r="Q499">
        <v>3.6</v>
      </c>
      <c r="R499" t="str" cm="1">
        <f t="array" ref="R4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99" t="e">
        <f>IF(Table13[[#This Row],[Category All]]="Category 1", "Yes",NA())</f>
        <v>#N/A</v>
      </c>
      <c r="T499" t="e">
        <f>IF(Table13[[#This Row],[Category All]]="Category 2", "Yes",NA())</f>
        <v>#N/A</v>
      </c>
      <c r="U499" t="str">
        <f>IF(Table13[[#This Row],[Category All]]="Category 3", "Yes",NA())</f>
        <v>Yes</v>
      </c>
      <c r="V499">
        <f>SUM(1,(1/3)*(Table13[[#This Row],[Length]]-0.5),(1/3)*(Table13[[#This Row],[Diameter]]-0.4),(1/3)*(Table13[[#This Row],[Height]]-0.4)*Table13[[#This Row],[Whole_weight]]*0.5)</f>
        <v>1.0293266666666665</v>
      </c>
      <c r="W499" cm="1">
        <f t="array" ref="W4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1.0293266666666665</v>
      </c>
      <c r="X499" t="e">
        <f>IF(Table13[[#This Row],[Category All]]="Category 1",Table13[[#This Row],[Base Abalone Value]]*1.5,NA())</f>
        <v>#N/A</v>
      </c>
      <c r="Y499" t="e">
        <f>IF(Table13[[#This Row],[Category All]]="Category 2",Table13[[#This Row],[Base Abalone Value]]*0.8,NA())</f>
        <v>#N/A</v>
      </c>
      <c r="Z499">
        <f>IF(Table13[[#This Row],[Category All]]="Category 3",Table13[[#This Row],[Base Abalone Value]],NA())</f>
        <v>1.0293266666666665</v>
      </c>
      <c r="AA499" s="2" t="e">
        <f>IF(Table13[[#This Row],[Gender]]="M",Table13[[#This Row],[Whole_weight]],NA())</f>
        <v>#N/A</v>
      </c>
      <c r="AB499" s="2">
        <f>IF(Table13[[#This Row],[Gender]]="F",Table13[[#This Row],[Whole_weight]],NA())</f>
        <v>1.1479999999999999</v>
      </c>
      <c r="AC499" s="2" t="e">
        <f>IF(Table13[[#This Row],[Gender]]="I",Table13[[#This Row],[Whole_weight]],NA())</f>
        <v>#N/A</v>
      </c>
      <c r="AD499" s="2" t="e">
        <f>IF(Table13[[#This Row],[Gender]]="M",Table13[[#This Row],[Diameter]],NA())</f>
        <v>#N/A</v>
      </c>
      <c r="AE499" s="2">
        <f>IF(Table13[[#This Row],[Gender]]="F",Table13[[#This Row],[Diameter]],NA())</f>
        <v>0.5</v>
      </c>
      <c r="AF499" s="2" t="e">
        <f>IF(Table13[[#This Row],[Gender]]="I",Table13[[#This Row],[Diameter]],NA())</f>
        <v>#N/A</v>
      </c>
    </row>
    <row r="500" spans="1:32" x14ac:dyDescent="0.2">
      <c r="A500">
        <v>2304</v>
      </c>
      <c r="B500" t="s">
        <v>0</v>
      </c>
      <c r="C500">
        <v>0.57999999999999996</v>
      </c>
      <c r="D500">
        <v>0.45500000000000002</v>
      </c>
      <c r="E500">
        <v>0.12</v>
      </c>
      <c r="F500">
        <v>0.94</v>
      </c>
      <c r="G500">
        <v>0.39900000000000002</v>
      </c>
      <c r="H500">
        <v>0.25700000000000001</v>
      </c>
      <c r="I500">
        <v>0.26500000000000001</v>
      </c>
      <c r="J500">
        <v>11</v>
      </c>
      <c r="K500">
        <v>12</v>
      </c>
      <c r="L500" t="s">
        <v>1</v>
      </c>
      <c r="M500" t="s">
        <v>2</v>
      </c>
      <c r="N500" t="s">
        <v>3</v>
      </c>
      <c r="O500">
        <v>9</v>
      </c>
      <c r="P500" t="s">
        <v>46</v>
      </c>
      <c r="Q500">
        <v>1.9</v>
      </c>
      <c r="R500" t="str" cm="1">
        <f t="array" ref="R5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00" t="e">
        <f>IF(Table13[[#This Row],[Category All]]="Category 1", "Yes",NA())</f>
        <v>#N/A</v>
      </c>
      <c r="T500" t="str">
        <f>IF(Table13[[#This Row],[Category All]]="Category 2", "Yes",NA())</f>
        <v>Yes</v>
      </c>
      <c r="U500" t="e">
        <f>IF(Table13[[#This Row],[Category All]]="Category 3", "Yes",NA())</f>
        <v>#N/A</v>
      </c>
      <c r="V500">
        <f>SUM(1,(1/3)*(Table13[[#This Row],[Length]]-0.5),(1/3)*(Table13[[#This Row],[Diameter]]-0.4),(1/3)*(Table13[[#This Row],[Height]]-0.4)*Table13[[#This Row],[Whole_weight]]*0.5)</f>
        <v>1.0011333333333332</v>
      </c>
      <c r="W500" cm="1">
        <f t="array" ref="W5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0.80090666666666666</v>
      </c>
      <c r="X500" t="e">
        <f>IF(Table13[[#This Row],[Category All]]="Category 1",Table13[[#This Row],[Base Abalone Value]]*1.5,NA())</f>
        <v>#N/A</v>
      </c>
      <c r="Y500">
        <f>IF(Table13[[#This Row],[Category All]]="Category 2",Table13[[#This Row],[Base Abalone Value]]*0.8,NA())</f>
        <v>0.80090666666666666</v>
      </c>
      <c r="Z500" t="e">
        <f>IF(Table13[[#This Row],[Category All]]="Category 3",Table13[[#This Row],[Base Abalone Value]],NA())</f>
        <v>#N/A</v>
      </c>
      <c r="AA500" s="2" t="e">
        <f>IF(Table13[[#This Row],[Gender]]="M",Table13[[#This Row],[Whole_weight]],NA())</f>
        <v>#N/A</v>
      </c>
      <c r="AB500" s="2">
        <f>IF(Table13[[#This Row],[Gender]]="F",Table13[[#This Row],[Whole_weight]],NA())</f>
        <v>0.94</v>
      </c>
      <c r="AC500" s="2" t="e">
        <f>IF(Table13[[#This Row],[Gender]]="I",Table13[[#This Row],[Whole_weight]],NA())</f>
        <v>#N/A</v>
      </c>
      <c r="AD500" s="2" t="e">
        <f>IF(Table13[[#This Row],[Gender]]="M",Table13[[#This Row],[Diameter]],NA())</f>
        <v>#N/A</v>
      </c>
      <c r="AE500" s="2">
        <f>IF(Table13[[#This Row],[Gender]]="F",Table13[[#This Row],[Diameter]],NA())</f>
        <v>0.45500000000000002</v>
      </c>
      <c r="AF500" s="2" t="e">
        <f>IF(Table13[[#This Row],[Gender]]="I",Table13[[#This Row],[Diameter]],NA())</f>
        <v>#N/A</v>
      </c>
    </row>
    <row r="501" spans="1:32" x14ac:dyDescent="0.2">
      <c r="A501">
        <v>2354</v>
      </c>
      <c r="B501" t="s">
        <v>0</v>
      </c>
      <c r="C501">
        <v>0.72</v>
      </c>
      <c r="D501">
        <v>0.56000000000000005</v>
      </c>
      <c r="E501">
        <v>0.17499999999999999</v>
      </c>
      <c r="F501">
        <v>1.7264999999999999</v>
      </c>
      <c r="G501">
        <v>0.63700000000000001</v>
      </c>
      <c r="H501">
        <v>0.34150000000000003</v>
      </c>
      <c r="I501">
        <v>0.52500000000000002</v>
      </c>
      <c r="J501">
        <v>17</v>
      </c>
      <c r="K501">
        <v>3</v>
      </c>
      <c r="L501" t="s">
        <v>43</v>
      </c>
      <c r="M501" t="s">
        <v>44</v>
      </c>
      <c r="N501" t="s">
        <v>45</v>
      </c>
      <c r="O501">
        <v>4</v>
      </c>
      <c r="P501" t="s">
        <v>10</v>
      </c>
      <c r="Q501">
        <v>6.1</v>
      </c>
      <c r="R501" t="str" cm="1">
        <f t="array" ref="R5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01" t="e">
        <f>IF(Table13[[#This Row],[Category All]]="Category 1", "Yes",NA())</f>
        <v>#N/A</v>
      </c>
      <c r="T501" t="e">
        <f>IF(Table13[[#This Row],[Category All]]="Category 2", "Yes",NA())</f>
        <v>#N/A</v>
      </c>
      <c r="U501" t="str">
        <f>IF(Table13[[#This Row],[Category All]]="Category 3", "Yes",NA())</f>
        <v>Yes</v>
      </c>
      <c r="V501">
        <f>SUM(1,(1/3)*(Table13[[#This Row],[Length]]-0.5),(1/3)*(Table13[[#This Row],[Diameter]]-0.4),(1/3)*(Table13[[#This Row],[Height]]-0.4)*Table13[[#This Row],[Whole_weight]]*0.5)</f>
        <v>1.0619229166666664</v>
      </c>
      <c r="W501" cm="1">
        <f t="array" ref="W5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1.0619229166666664</v>
      </c>
      <c r="X501" t="e">
        <f>IF(Table13[[#This Row],[Category All]]="Category 1",Table13[[#This Row],[Base Abalone Value]]*1.5,NA())</f>
        <v>#N/A</v>
      </c>
      <c r="Y501" t="e">
        <f>IF(Table13[[#This Row],[Category All]]="Category 2",Table13[[#This Row],[Base Abalone Value]]*0.8,NA())</f>
        <v>#N/A</v>
      </c>
      <c r="Z501">
        <f>IF(Table13[[#This Row],[Category All]]="Category 3",Table13[[#This Row],[Base Abalone Value]],NA())</f>
        <v>1.0619229166666664</v>
      </c>
      <c r="AA501" s="2" t="e">
        <f>IF(Table13[[#This Row],[Gender]]="M",Table13[[#This Row],[Whole_weight]],NA())</f>
        <v>#N/A</v>
      </c>
      <c r="AB501" s="2">
        <f>IF(Table13[[#This Row],[Gender]]="F",Table13[[#This Row],[Whole_weight]],NA())</f>
        <v>1.7264999999999999</v>
      </c>
      <c r="AC501" s="2" t="e">
        <f>IF(Table13[[#This Row],[Gender]]="I",Table13[[#This Row],[Whole_weight]],NA())</f>
        <v>#N/A</v>
      </c>
      <c r="AD501" s="2" t="e">
        <f>IF(Table13[[#This Row],[Gender]]="M",Table13[[#This Row],[Diameter]],NA())</f>
        <v>#N/A</v>
      </c>
      <c r="AE501" s="2">
        <f>IF(Table13[[#This Row],[Gender]]="F",Table13[[#This Row],[Diameter]],NA())</f>
        <v>0.56000000000000005</v>
      </c>
      <c r="AF501" s="2" t="e">
        <f>IF(Table13[[#This Row],[Gender]]="I",Table13[[#This Row],[Diameter]],NA())</f>
        <v>#N/A</v>
      </c>
    </row>
    <row r="502" spans="1:32" x14ac:dyDescent="0.2">
      <c r="A502">
        <v>170</v>
      </c>
      <c r="B502" t="s">
        <v>0</v>
      </c>
      <c r="C502">
        <v>0.68</v>
      </c>
      <c r="D502">
        <v>0.51500000000000001</v>
      </c>
      <c r="E502">
        <v>0.17499999999999999</v>
      </c>
      <c r="F502">
        <v>1.6185</v>
      </c>
      <c r="G502">
        <v>0.51249999999999996</v>
      </c>
      <c r="H502">
        <v>0.40899999999999997</v>
      </c>
      <c r="I502">
        <v>0.62</v>
      </c>
      <c r="J502">
        <v>12</v>
      </c>
      <c r="K502">
        <v>9</v>
      </c>
      <c r="L502" t="s">
        <v>20</v>
      </c>
      <c r="M502" t="s">
        <v>21</v>
      </c>
      <c r="N502" t="s">
        <v>22</v>
      </c>
      <c r="O502">
        <v>10</v>
      </c>
      <c r="P502" t="s">
        <v>38</v>
      </c>
      <c r="Q502">
        <v>24.1</v>
      </c>
      <c r="R502" t="str" cm="1">
        <f t="array" ref="R5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02" t="e">
        <f>IF(Table13[[#This Row],[Category All]]="Category 1", "Yes",NA())</f>
        <v>#N/A</v>
      </c>
      <c r="T502" t="e">
        <f>IF(Table13[[#This Row],[Category All]]="Category 2", "Yes",NA())</f>
        <v>#N/A</v>
      </c>
      <c r="U502" t="str">
        <f>IF(Table13[[#This Row],[Category All]]="Category 3", "Yes",NA())</f>
        <v>Yes</v>
      </c>
      <c r="V502">
        <f>SUM(1,(1/3)*(Table13[[#This Row],[Length]]-0.5),(1/3)*(Table13[[#This Row],[Diameter]]-0.4),(1/3)*(Table13[[#This Row],[Height]]-0.4)*Table13[[#This Row],[Whole_weight]]*0.5)</f>
        <v>1.0376395833333334</v>
      </c>
      <c r="W502" cm="1">
        <f t="array" ref="W5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1.0376395833333334</v>
      </c>
      <c r="X502" t="e">
        <f>IF(Table13[[#This Row],[Category All]]="Category 1",Table13[[#This Row],[Base Abalone Value]]*1.5,NA())</f>
        <v>#N/A</v>
      </c>
      <c r="Y502" t="e">
        <f>IF(Table13[[#This Row],[Category All]]="Category 2",Table13[[#This Row],[Base Abalone Value]]*0.8,NA())</f>
        <v>#N/A</v>
      </c>
      <c r="Z502">
        <f>IF(Table13[[#This Row],[Category All]]="Category 3",Table13[[#This Row],[Base Abalone Value]],NA())</f>
        <v>1.0376395833333334</v>
      </c>
      <c r="AA502" s="2" t="e">
        <f>IF(Table13[[#This Row],[Gender]]="M",Table13[[#This Row],[Whole_weight]],NA())</f>
        <v>#N/A</v>
      </c>
      <c r="AB502" s="2">
        <f>IF(Table13[[#This Row],[Gender]]="F",Table13[[#This Row],[Whole_weight]],NA())</f>
        <v>1.6185</v>
      </c>
      <c r="AC502" s="2" t="e">
        <f>IF(Table13[[#This Row],[Gender]]="I",Table13[[#This Row],[Whole_weight]],NA())</f>
        <v>#N/A</v>
      </c>
      <c r="AD502" s="2" t="e">
        <f>IF(Table13[[#This Row],[Gender]]="M",Table13[[#This Row],[Diameter]],NA())</f>
        <v>#N/A</v>
      </c>
      <c r="AE502" s="2">
        <f>IF(Table13[[#This Row],[Gender]]="F",Table13[[#This Row],[Diameter]],NA())</f>
        <v>0.51500000000000001</v>
      </c>
      <c r="AF502" s="2" t="e">
        <f>IF(Table13[[#This Row],[Gender]]="I",Table13[[#This Row],[Diameter]],NA())</f>
        <v>#N/A</v>
      </c>
    </row>
    <row r="503" spans="1:32" x14ac:dyDescent="0.2">
      <c r="A503">
        <v>2812</v>
      </c>
      <c r="B503" t="s">
        <v>15</v>
      </c>
      <c r="C503">
        <v>0.72499999999999998</v>
      </c>
      <c r="D503">
        <v>0.56999999999999995</v>
      </c>
      <c r="E503">
        <v>0.19</v>
      </c>
      <c r="F503">
        <v>2.3304999999999998</v>
      </c>
      <c r="G503">
        <v>1.2529999999999999</v>
      </c>
      <c r="H503">
        <v>0.54100000000000004</v>
      </c>
      <c r="I503">
        <v>0.52</v>
      </c>
      <c r="J503">
        <v>9</v>
      </c>
      <c r="K503">
        <v>12</v>
      </c>
      <c r="L503" t="s">
        <v>1</v>
      </c>
      <c r="M503" t="s">
        <v>2</v>
      </c>
      <c r="N503" t="s">
        <v>3</v>
      </c>
      <c r="O503">
        <v>1</v>
      </c>
      <c r="P503" t="s">
        <v>4</v>
      </c>
      <c r="Q503">
        <v>22.1</v>
      </c>
      <c r="R503" t="str" cm="1">
        <f t="array" ref="R5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503" t="str">
        <f>IF(Table13[[#This Row],[Category All]]="Category 1", "Yes",NA())</f>
        <v>Yes</v>
      </c>
      <c r="T503" t="e">
        <f>IF(Table13[[#This Row],[Category All]]="Category 2", "Yes",NA())</f>
        <v>#N/A</v>
      </c>
      <c r="U503" t="e">
        <f>IF(Table13[[#This Row],[Category All]]="Category 3", "Yes",NA())</f>
        <v>#N/A</v>
      </c>
      <c r="V503">
        <f>SUM(1,(1/3)*(Table13[[#This Row],[Length]]-0.5),(1/3)*(Table13[[#This Row],[Diameter]]-0.4),(1/3)*(Table13[[#This Row],[Height]]-0.4)*Table13[[#This Row],[Whole_weight]]*0.5)</f>
        <v>1.0500991666666666</v>
      </c>
      <c r="W503" cm="1">
        <f t="array" ref="W5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1.5751487499999999</v>
      </c>
      <c r="X503">
        <f>IF(Table13[[#This Row],[Category All]]="Category 1",Table13[[#This Row],[Base Abalone Value]]*1.5,NA())</f>
        <v>1.5751487499999999</v>
      </c>
      <c r="Y503" t="e">
        <f>IF(Table13[[#This Row],[Category All]]="Category 2",Table13[[#This Row],[Base Abalone Value]]*0.8,NA())</f>
        <v>#N/A</v>
      </c>
      <c r="Z503" t="e">
        <f>IF(Table13[[#This Row],[Category All]]="Category 3",Table13[[#This Row],[Base Abalone Value]],NA())</f>
        <v>#N/A</v>
      </c>
      <c r="AA503" s="2">
        <f>IF(Table13[[#This Row],[Gender]]="M",Table13[[#This Row],[Whole_weight]],NA())</f>
        <v>2.3304999999999998</v>
      </c>
      <c r="AB503" s="2" t="e">
        <f>IF(Table13[[#This Row],[Gender]]="F",Table13[[#This Row],[Whole_weight]],NA())</f>
        <v>#N/A</v>
      </c>
      <c r="AC503" s="2" t="e">
        <f>IF(Table13[[#This Row],[Gender]]="I",Table13[[#This Row],[Whole_weight]],NA())</f>
        <v>#N/A</v>
      </c>
      <c r="AD503" s="2">
        <f>IF(Table13[[#This Row],[Gender]]="M",Table13[[#This Row],[Diameter]],NA())</f>
        <v>0.56999999999999995</v>
      </c>
      <c r="AE503" s="2" t="e">
        <f>IF(Table13[[#This Row],[Gender]]="F",Table13[[#This Row],[Diameter]],NA())</f>
        <v>#N/A</v>
      </c>
      <c r="AF503" s="2" t="e">
        <f>IF(Table13[[#This Row],[Gender]]="I",Table13[[#This Row],[Diameter]],NA())</f>
        <v>#N/A</v>
      </c>
    </row>
    <row r="504" spans="1:32" x14ac:dyDescent="0.2">
      <c r="A504">
        <v>1575</v>
      </c>
      <c r="B504" t="s">
        <v>15</v>
      </c>
      <c r="C504">
        <v>0.48</v>
      </c>
      <c r="D504">
        <v>0.35499999999999998</v>
      </c>
      <c r="E504">
        <v>0.16</v>
      </c>
      <c r="F504">
        <v>0.46400000000000002</v>
      </c>
      <c r="G504">
        <v>0.221</v>
      </c>
      <c r="H504">
        <v>0.106</v>
      </c>
      <c r="I504">
        <v>0.23899999999999999</v>
      </c>
      <c r="J504">
        <v>8</v>
      </c>
      <c r="K504">
        <v>4</v>
      </c>
      <c r="L504" t="s">
        <v>52</v>
      </c>
      <c r="M504" t="s">
        <v>53</v>
      </c>
      <c r="N504" t="s">
        <v>54</v>
      </c>
      <c r="O504">
        <v>2</v>
      </c>
      <c r="P504" t="s">
        <v>7</v>
      </c>
      <c r="Q504">
        <v>18</v>
      </c>
      <c r="R504" t="str" cm="1">
        <f t="array" ref="R5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04" t="e">
        <f>IF(Table13[[#This Row],[Category All]]="Category 1", "Yes",NA())</f>
        <v>#N/A</v>
      </c>
      <c r="T504" t="str">
        <f>IF(Table13[[#This Row],[Category All]]="Category 2", "Yes",NA())</f>
        <v>Yes</v>
      </c>
      <c r="U504" t="e">
        <f>IF(Table13[[#This Row],[Category All]]="Category 3", "Yes",NA())</f>
        <v>#N/A</v>
      </c>
      <c r="V504">
        <f>SUM(1,(1/3)*(Table13[[#This Row],[Length]]-0.5),(1/3)*(Table13[[#This Row],[Diameter]]-0.4),(1/3)*(Table13[[#This Row],[Height]]-0.4)*Table13[[#This Row],[Whole_weight]]*0.5)</f>
        <v>0.95977333333333326</v>
      </c>
      <c r="W504" cm="1">
        <f t="array" ref="W5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0.76781866666666665</v>
      </c>
      <c r="X504" t="e">
        <f>IF(Table13[[#This Row],[Category All]]="Category 1",Table13[[#This Row],[Base Abalone Value]]*1.5,NA())</f>
        <v>#N/A</v>
      </c>
      <c r="Y504">
        <f>IF(Table13[[#This Row],[Category All]]="Category 2",Table13[[#This Row],[Base Abalone Value]]*0.8,NA())</f>
        <v>0.76781866666666665</v>
      </c>
      <c r="Z504" t="e">
        <f>IF(Table13[[#This Row],[Category All]]="Category 3",Table13[[#This Row],[Base Abalone Value]],NA())</f>
        <v>#N/A</v>
      </c>
      <c r="AA504" s="2">
        <f>IF(Table13[[#This Row],[Gender]]="M",Table13[[#This Row],[Whole_weight]],NA())</f>
        <v>0.46400000000000002</v>
      </c>
      <c r="AB504" s="2" t="e">
        <f>IF(Table13[[#This Row],[Gender]]="F",Table13[[#This Row],[Whole_weight]],NA())</f>
        <v>#N/A</v>
      </c>
      <c r="AC504" s="2" t="e">
        <f>IF(Table13[[#This Row],[Gender]]="I",Table13[[#This Row],[Whole_weight]],NA())</f>
        <v>#N/A</v>
      </c>
      <c r="AD504" s="2">
        <f>IF(Table13[[#This Row],[Gender]]="M",Table13[[#This Row],[Diameter]],NA())</f>
        <v>0.35499999999999998</v>
      </c>
      <c r="AE504" s="2" t="e">
        <f>IF(Table13[[#This Row],[Gender]]="F",Table13[[#This Row],[Diameter]],NA())</f>
        <v>#N/A</v>
      </c>
      <c r="AF504" s="2" t="e">
        <f>IF(Table13[[#This Row],[Gender]]="I",Table13[[#This Row],[Diameter]],NA())</f>
        <v>#N/A</v>
      </c>
    </row>
    <row r="505" spans="1:32" x14ac:dyDescent="0.2">
      <c r="A505">
        <v>2943</v>
      </c>
      <c r="B505" t="s">
        <v>15</v>
      </c>
      <c r="C505">
        <v>0.63</v>
      </c>
      <c r="D505">
        <v>0.53</v>
      </c>
      <c r="E505">
        <v>0.18</v>
      </c>
      <c r="F505">
        <v>1.2795000000000001</v>
      </c>
      <c r="G505">
        <v>0.61799999999999999</v>
      </c>
      <c r="H505">
        <v>0.25600000000000001</v>
      </c>
      <c r="I505">
        <v>0.315</v>
      </c>
      <c r="J505">
        <v>9</v>
      </c>
      <c r="K505">
        <v>14</v>
      </c>
      <c r="L505" t="s">
        <v>23</v>
      </c>
      <c r="M505" t="s">
        <v>24</v>
      </c>
      <c r="N505" t="s">
        <v>25</v>
      </c>
      <c r="O505">
        <v>9</v>
      </c>
      <c r="P505" t="s">
        <v>46</v>
      </c>
      <c r="Q505">
        <v>1.9</v>
      </c>
      <c r="R505" t="str" cm="1">
        <f t="array" ref="R5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05" t="e">
        <f>IF(Table13[[#This Row],[Category All]]="Category 1", "Yes",NA())</f>
        <v>#N/A</v>
      </c>
      <c r="T505" t="e">
        <f>IF(Table13[[#This Row],[Category All]]="Category 2", "Yes",NA())</f>
        <v>#N/A</v>
      </c>
      <c r="U505" t="str">
        <f>IF(Table13[[#This Row],[Category All]]="Category 3", "Yes",NA())</f>
        <v>Yes</v>
      </c>
      <c r="V505">
        <f>SUM(1,(1/3)*(Table13[[#This Row],[Length]]-0.5),(1/3)*(Table13[[#This Row],[Diameter]]-0.4),(1/3)*(Table13[[#This Row],[Height]]-0.4)*Table13[[#This Row],[Whole_weight]]*0.5)</f>
        <v>1.0397516666666669</v>
      </c>
      <c r="W505" cm="1">
        <f t="array" ref="W5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1.0397516666666669</v>
      </c>
      <c r="X505" t="e">
        <f>IF(Table13[[#This Row],[Category All]]="Category 1",Table13[[#This Row],[Base Abalone Value]]*1.5,NA())</f>
        <v>#N/A</v>
      </c>
      <c r="Y505" t="e">
        <f>IF(Table13[[#This Row],[Category All]]="Category 2",Table13[[#This Row],[Base Abalone Value]]*0.8,NA())</f>
        <v>#N/A</v>
      </c>
      <c r="Z505">
        <f>IF(Table13[[#This Row],[Category All]]="Category 3",Table13[[#This Row],[Base Abalone Value]],NA())</f>
        <v>1.0397516666666669</v>
      </c>
      <c r="AA505" s="2">
        <f>IF(Table13[[#This Row],[Gender]]="M",Table13[[#This Row],[Whole_weight]],NA())</f>
        <v>1.2795000000000001</v>
      </c>
      <c r="AB505" s="2" t="e">
        <f>IF(Table13[[#This Row],[Gender]]="F",Table13[[#This Row],[Whole_weight]],NA())</f>
        <v>#N/A</v>
      </c>
      <c r="AC505" s="2" t="e">
        <f>IF(Table13[[#This Row],[Gender]]="I",Table13[[#This Row],[Whole_weight]],NA())</f>
        <v>#N/A</v>
      </c>
      <c r="AD505" s="2">
        <f>IF(Table13[[#This Row],[Gender]]="M",Table13[[#This Row],[Diameter]],NA())</f>
        <v>0.53</v>
      </c>
      <c r="AE505" s="2" t="e">
        <f>IF(Table13[[#This Row],[Gender]]="F",Table13[[#This Row],[Diameter]],NA())</f>
        <v>#N/A</v>
      </c>
      <c r="AF505" s="2" t="e">
        <f>IF(Table13[[#This Row],[Gender]]="I",Table13[[#This Row],[Diameter]],NA())</f>
        <v>#N/A</v>
      </c>
    </row>
    <row r="506" spans="1:32" x14ac:dyDescent="0.2">
      <c r="A506">
        <v>1691</v>
      </c>
      <c r="B506" t="s">
        <v>15</v>
      </c>
      <c r="C506">
        <v>0.625</v>
      </c>
      <c r="D506">
        <v>0.5</v>
      </c>
      <c r="E506">
        <v>0.17</v>
      </c>
      <c r="F506">
        <v>1.0985</v>
      </c>
      <c r="G506">
        <v>0.46450000000000002</v>
      </c>
      <c r="H506">
        <v>0.22</v>
      </c>
      <c r="I506">
        <v>0.35399999999999998</v>
      </c>
      <c r="J506">
        <v>9</v>
      </c>
      <c r="K506">
        <v>12</v>
      </c>
      <c r="L506" t="s">
        <v>1</v>
      </c>
      <c r="M506" t="s">
        <v>2</v>
      </c>
      <c r="N506" t="s">
        <v>3</v>
      </c>
      <c r="O506">
        <v>2</v>
      </c>
      <c r="P506" t="s">
        <v>7</v>
      </c>
      <c r="Q506">
        <v>18</v>
      </c>
      <c r="R506" t="str" cm="1">
        <f t="array" ref="R5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06" t="e">
        <f>IF(Table13[[#This Row],[Category All]]="Category 1", "Yes",NA())</f>
        <v>#N/A</v>
      </c>
      <c r="T506" t="e">
        <f>IF(Table13[[#This Row],[Category All]]="Category 2", "Yes",NA())</f>
        <v>#N/A</v>
      </c>
      <c r="U506" t="str">
        <f>IF(Table13[[#This Row],[Category All]]="Category 3", "Yes",NA())</f>
        <v>Yes</v>
      </c>
      <c r="V506">
        <f>SUM(1,(1/3)*(Table13[[#This Row],[Length]]-0.5),(1/3)*(Table13[[#This Row],[Diameter]]-0.4),(1/3)*(Table13[[#This Row],[Height]]-0.4)*Table13[[#This Row],[Whole_weight]]*0.5)</f>
        <v>1.0328908333333335</v>
      </c>
      <c r="W506" cm="1">
        <f t="array" ref="W5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1.0328908333333335</v>
      </c>
      <c r="X506" t="e">
        <f>IF(Table13[[#This Row],[Category All]]="Category 1",Table13[[#This Row],[Base Abalone Value]]*1.5,NA())</f>
        <v>#N/A</v>
      </c>
      <c r="Y506" t="e">
        <f>IF(Table13[[#This Row],[Category All]]="Category 2",Table13[[#This Row],[Base Abalone Value]]*0.8,NA())</f>
        <v>#N/A</v>
      </c>
      <c r="Z506">
        <f>IF(Table13[[#This Row],[Category All]]="Category 3",Table13[[#This Row],[Base Abalone Value]],NA())</f>
        <v>1.0328908333333335</v>
      </c>
      <c r="AA506" s="2">
        <f>IF(Table13[[#This Row],[Gender]]="M",Table13[[#This Row],[Whole_weight]],NA())</f>
        <v>1.0985</v>
      </c>
      <c r="AB506" s="2" t="e">
        <f>IF(Table13[[#This Row],[Gender]]="F",Table13[[#This Row],[Whole_weight]],NA())</f>
        <v>#N/A</v>
      </c>
      <c r="AC506" s="2" t="e">
        <f>IF(Table13[[#This Row],[Gender]]="I",Table13[[#This Row],[Whole_weight]],NA())</f>
        <v>#N/A</v>
      </c>
      <c r="AD506" s="2">
        <f>IF(Table13[[#This Row],[Gender]]="M",Table13[[#This Row],[Diameter]],NA())</f>
        <v>0.5</v>
      </c>
      <c r="AE506" s="2" t="e">
        <f>IF(Table13[[#This Row],[Gender]]="F",Table13[[#This Row],[Diameter]],NA())</f>
        <v>#N/A</v>
      </c>
      <c r="AF506" s="2" t="e">
        <f>IF(Table13[[#This Row],[Gender]]="I",Table13[[#This Row],[Diameter]],NA())</f>
        <v>#N/A</v>
      </c>
    </row>
    <row r="507" spans="1:32" x14ac:dyDescent="0.2">
      <c r="A507">
        <v>3480</v>
      </c>
      <c r="B507" t="s">
        <v>11</v>
      </c>
      <c r="C507">
        <v>0.44</v>
      </c>
      <c r="D507">
        <v>0.33</v>
      </c>
      <c r="E507">
        <v>0.11</v>
      </c>
      <c r="F507">
        <v>0.38</v>
      </c>
      <c r="G507">
        <v>0.19700000000000001</v>
      </c>
      <c r="H507">
        <v>7.9000000000000001E-2</v>
      </c>
      <c r="I507">
        <v>0.09</v>
      </c>
      <c r="J507">
        <v>7</v>
      </c>
      <c r="K507">
        <v>15</v>
      </c>
      <c r="L507" t="s">
        <v>49</v>
      </c>
      <c r="M507" t="s">
        <v>50</v>
      </c>
      <c r="N507" t="s">
        <v>3</v>
      </c>
      <c r="O507">
        <v>9</v>
      </c>
      <c r="P507" t="s">
        <v>46</v>
      </c>
      <c r="Q507">
        <v>1.9</v>
      </c>
      <c r="R507" t="str" cm="1">
        <f t="array" ref="R5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07" t="e">
        <f>IF(Table13[[#This Row],[Category All]]="Category 1", "Yes",NA())</f>
        <v>#N/A</v>
      </c>
      <c r="T507" t="str">
        <f>IF(Table13[[#This Row],[Category All]]="Category 2", "Yes",NA())</f>
        <v>Yes</v>
      </c>
      <c r="U507" t="e">
        <f>IF(Table13[[#This Row],[Category All]]="Category 3", "Yes",NA())</f>
        <v>#N/A</v>
      </c>
      <c r="V507">
        <f>SUM(1,(1/3)*(Table13[[#This Row],[Length]]-0.5),(1/3)*(Table13[[#This Row],[Diameter]]-0.4),(1/3)*(Table13[[#This Row],[Height]]-0.4)*Table13[[#This Row],[Whole_weight]]*0.5)</f>
        <v>0.93830000000000002</v>
      </c>
      <c r="W507" cm="1">
        <f t="array" ref="W5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0.75064000000000008</v>
      </c>
      <c r="X507" t="e">
        <f>IF(Table13[[#This Row],[Category All]]="Category 1",Table13[[#This Row],[Base Abalone Value]]*1.5,NA())</f>
        <v>#N/A</v>
      </c>
      <c r="Y507">
        <f>IF(Table13[[#This Row],[Category All]]="Category 2",Table13[[#This Row],[Base Abalone Value]]*0.8,NA())</f>
        <v>0.75064000000000008</v>
      </c>
      <c r="Z507" t="e">
        <f>IF(Table13[[#This Row],[Category All]]="Category 3",Table13[[#This Row],[Base Abalone Value]],NA())</f>
        <v>#N/A</v>
      </c>
      <c r="AA507" s="2" t="e">
        <f>IF(Table13[[#This Row],[Gender]]="M",Table13[[#This Row],[Whole_weight]],NA())</f>
        <v>#N/A</v>
      </c>
      <c r="AB507" s="2" t="e">
        <f>IF(Table13[[#This Row],[Gender]]="F",Table13[[#This Row],[Whole_weight]],NA())</f>
        <v>#N/A</v>
      </c>
      <c r="AC507" s="2">
        <f>IF(Table13[[#This Row],[Gender]]="I",Table13[[#This Row],[Whole_weight]],NA())</f>
        <v>0.38</v>
      </c>
      <c r="AD507" s="2" t="e">
        <f>IF(Table13[[#This Row],[Gender]]="M",Table13[[#This Row],[Diameter]],NA())</f>
        <v>#N/A</v>
      </c>
      <c r="AE507" s="2" t="e">
        <f>IF(Table13[[#This Row],[Gender]]="F",Table13[[#This Row],[Diameter]],NA())</f>
        <v>#N/A</v>
      </c>
      <c r="AF507" s="2">
        <f>IF(Table13[[#This Row],[Gender]]="I",Table13[[#This Row],[Diameter]],NA())</f>
        <v>0.33</v>
      </c>
    </row>
    <row r="508" spans="1:32" x14ac:dyDescent="0.2">
      <c r="A508">
        <v>3656</v>
      </c>
      <c r="B508" t="s">
        <v>15</v>
      </c>
      <c r="C508">
        <v>0.53</v>
      </c>
      <c r="D508">
        <v>0.41</v>
      </c>
      <c r="E508">
        <v>0.125</v>
      </c>
      <c r="F508">
        <v>0.76900000000000002</v>
      </c>
      <c r="G508">
        <v>0.34599999999999997</v>
      </c>
      <c r="H508">
        <v>0.17299999999999999</v>
      </c>
      <c r="I508">
        <v>0.215</v>
      </c>
      <c r="J508">
        <v>9</v>
      </c>
      <c r="K508">
        <v>7</v>
      </c>
      <c r="L508" t="s">
        <v>35</v>
      </c>
      <c r="M508" t="s">
        <v>36</v>
      </c>
      <c r="N508" t="s">
        <v>37</v>
      </c>
      <c r="O508">
        <v>3</v>
      </c>
      <c r="P508" t="s">
        <v>48</v>
      </c>
      <c r="Q508">
        <v>3.6</v>
      </c>
      <c r="R508" t="str" cm="1">
        <f t="array" ref="R5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08" t="e">
        <f>IF(Table13[[#This Row],[Category All]]="Category 1", "Yes",NA())</f>
        <v>#N/A</v>
      </c>
      <c r="T508" t="str">
        <f>IF(Table13[[#This Row],[Category All]]="Category 2", "Yes",NA())</f>
        <v>Yes</v>
      </c>
      <c r="U508" t="e">
        <f>IF(Table13[[#This Row],[Category All]]="Category 3", "Yes",NA())</f>
        <v>#N/A</v>
      </c>
      <c r="V508">
        <f>SUM(1,(1/3)*(Table13[[#This Row],[Length]]-0.5),(1/3)*(Table13[[#This Row],[Diameter]]-0.4),(1/3)*(Table13[[#This Row],[Height]]-0.4)*Table13[[#This Row],[Whole_weight]]*0.5)</f>
        <v>0.97808750000000011</v>
      </c>
      <c r="W508" cm="1">
        <f t="array" ref="W5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0.78247000000000011</v>
      </c>
      <c r="X508" t="e">
        <f>IF(Table13[[#This Row],[Category All]]="Category 1",Table13[[#This Row],[Base Abalone Value]]*1.5,NA())</f>
        <v>#N/A</v>
      </c>
      <c r="Y508">
        <f>IF(Table13[[#This Row],[Category All]]="Category 2",Table13[[#This Row],[Base Abalone Value]]*0.8,NA())</f>
        <v>0.78247000000000011</v>
      </c>
      <c r="Z508" t="e">
        <f>IF(Table13[[#This Row],[Category All]]="Category 3",Table13[[#This Row],[Base Abalone Value]],NA())</f>
        <v>#N/A</v>
      </c>
      <c r="AA508" s="2">
        <f>IF(Table13[[#This Row],[Gender]]="M",Table13[[#This Row],[Whole_weight]],NA())</f>
        <v>0.76900000000000002</v>
      </c>
      <c r="AB508" s="2" t="e">
        <f>IF(Table13[[#This Row],[Gender]]="F",Table13[[#This Row],[Whole_weight]],NA())</f>
        <v>#N/A</v>
      </c>
      <c r="AC508" s="2" t="e">
        <f>IF(Table13[[#This Row],[Gender]]="I",Table13[[#This Row],[Whole_weight]],NA())</f>
        <v>#N/A</v>
      </c>
      <c r="AD508" s="2">
        <f>IF(Table13[[#This Row],[Gender]]="M",Table13[[#This Row],[Diameter]],NA())</f>
        <v>0.41</v>
      </c>
      <c r="AE508" s="2" t="e">
        <f>IF(Table13[[#This Row],[Gender]]="F",Table13[[#This Row],[Diameter]],NA())</f>
        <v>#N/A</v>
      </c>
      <c r="AF508" s="2" t="e">
        <f>IF(Table13[[#This Row],[Gender]]="I",Table13[[#This Row],[Diameter]],NA())</f>
        <v>#N/A</v>
      </c>
    </row>
    <row r="509" spans="1:32" x14ac:dyDescent="0.2">
      <c r="A509">
        <v>201</v>
      </c>
      <c r="B509" t="s">
        <v>0</v>
      </c>
      <c r="C509">
        <v>0.45</v>
      </c>
      <c r="D509">
        <v>0.34499999999999997</v>
      </c>
      <c r="E509">
        <v>0.12</v>
      </c>
      <c r="F509">
        <v>0.41649999999999998</v>
      </c>
      <c r="G509">
        <v>0.16550000000000001</v>
      </c>
      <c r="H509">
        <v>9.5000000000000001E-2</v>
      </c>
      <c r="I509">
        <v>0.13500000000000001</v>
      </c>
      <c r="J509">
        <v>9</v>
      </c>
      <c r="K509">
        <v>13</v>
      </c>
      <c r="L509" t="s">
        <v>12</v>
      </c>
      <c r="M509" t="s">
        <v>13</v>
      </c>
      <c r="N509" t="s">
        <v>3</v>
      </c>
      <c r="O509">
        <v>2</v>
      </c>
      <c r="P509" t="s">
        <v>7</v>
      </c>
      <c r="Q509">
        <v>18</v>
      </c>
      <c r="R509" t="str" cm="1">
        <f t="array" ref="R5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09" t="e">
        <f>IF(Table13[[#This Row],[Category All]]="Category 1", "Yes",NA())</f>
        <v>#N/A</v>
      </c>
      <c r="T509" t="str">
        <f>IF(Table13[[#This Row],[Category All]]="Category 2", "Yes",NA())</f>
        <v>Yes</v>
      </c>
      <c r="U509" t="e">
        <f>IF(Table13[[#This Row],[Category All]]="Category 3", "Yes",NA())</f>
        <v>#N/A</v>
      </c>
      <c r="V509">
        <f>SUM(1,(1/3)*(Table13[[#This Row],[Length]]-0.5),(1/3)*(Table13[[#This Row],[Diameter]]-0.4),(1/3)*(Table13[[#This Row],[Height]]-0.4)*Table13[[#This Row],[Whole_weight]]*0.5)</f>
        <v>0.94556333333333342</v>
      </c>
      <c r="W509" cm="1">
        <f t="array" ref="W5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0.75645066666666683</v>
      </c>
      <c r="X509" t="e">
        <f>IF(Table13[[#This Row],[Category All]]="Category 1",Table13[[#This Row],[Base Abalone Value]]*1.5,NA())</f>
        <v>#N/A</v>
      </c>
      <c r="Y509">
        <f>IF(Table13[[#This Row],[Category All]]="Category 2",Table13[[#This Row],[Base Abalone Value]]*0.8,NA())</f>
        <v>0.75645066666666683</v>
      </c>
      <c r="Z509" t="e">
        <f>IF(Table13[[#This Row],[Category All]]="Category 3",Table13[[#This Row],[Base Abalone Value]],NA())</f>
        <v>#N/A</v>
      </c>
      <c r="AA509" s="2" t="e">
        <f>IF(Table13[[#This Row],[Gender]]="M",Table13[[#This Row],[Whole_weight]],NA())</f>
        <v>#N/A</v>
      </c>
      <c r="AB509" s="2">
        <f>IF(Table13[[#This Row],[Gender]]="F",Table13[[#This Row],[Whole_weight]],NA())</f>
        <v>0.41649999999999998</v>
      </c>
      <c r="AC509" s="2" t="e">
        <f>IF(Table13[[#This Row],[Gender]]="I",Table13[[#This Row],[Whole_weight]],NA())</f>
        <v>#N/A</v>
      </c>
      <c r="AD509" s="2" t="e">
        <f>IF(Table13[[#This Row],[Gender]]="M",Table13[[#This Row],[Diameter]],NA())</f>
        <v>#N/A</v>
      </c>
      <c r="AE509" s="2">
        <f>IF(Table13[[#This Row],[Gender]]="F",Table13[[#This Row],[Diameter]],NA())</f>
        <v>0.34499999999999997</v>
      </c>
      <c r="AF509" s="2" t="e">
        <f>IF(Table13[[#This Row],[Gender]]="I",Table13[[#This Row],[Diameter]],NA())</f>
        <v>#N/A</v>
      </c>
    </row>
    <row r="510" spans="1:32" x14ac:dyDescent="0.2">
      <c r="A510">
        <v>862</v>
      </c>
      <c r="B510" t="s">
        <v>0</v>
      </c>
      <c r="C510">
        <v>0.59499999999999997</v>
      </c>
      <c r="D510">
        <v>0.46500000000000002</v>
      </c>
      <c r="E510">
        <v>0.14000000000000001</v>
      </c>
      <c r="F510">
        <v>1.113</v>
      </c>
      <c r="G510">
        <v>0.51749999999999996</v>
      </c>
      <c r="H510">
        <v>0.24399999999999999</v>
      </c>
      <c r="I510">
        <v>0.30499999999999999</v>
      </c>
      <c r="J510">
        <v>12</v>
      </c>
      <c r="K510">
        <v>1</v>
      </c>
      <c r="L510" t="s">
        <v>8</v>
      </c>
      <c r="M510" t="s">
        <v>9</v>
      </c>
      <c r="N510" t="s">
        <v>3</v>
      </c>
      <c r="O510">
        <v>1</v>
      </c>
      <c r="P510" t="s">
        <v>4</v>
      </c>
      <c r="Q510">
        <v>22.1</v>
      </c>
      <c r="R510" t="str" cm="1">
        <f t="array" ref="R5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10" t="e">
        <f>IF(Table13[[#This Row],[Category All]]="Category 1", "Yes",NA())</f>
        <v>#N/A</v>
      </c>
      <c r="T510" t="e">
        <f>IF(Table13[[#This Row],[Category All]]="Category 2", "Yes",NA())</f>
        <v>#N/A</v>
      </c>
      <c r="U510" t="str">
        <f>IF(Table13[[#This Row],[Category All]]="Category 3", "Yes",NA())</f>
        <v>Yes</v>
      </c>
      <c r="V510">
        <f>SUM(1,(1/3)*(Table13[[#This Row],[Length]]-0.5),(1/3)*(Table13[[#This Row],[Diameter]]-0.4),(1/3)*(Table13[[#This Row],[Height]]-0.4)*Table13[[#This Row],[Whole_weight]]*0.5)</f>
        <v>1.0051033333333335</v>
      </c>
      <c r="W510" cm="1">
        <f t="array" ref="W5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1.0051033333333335</v>
      </c>
      <c r="X510" t="e">
        <f>IF(Table13[[#This Row],[Category All]]="Category 1",Table13[[#This Row],[Base Abalone Value]]*1.5,NA())</f>
        <v>#N/A</v>
      </c>
      <c r="Y510" t="e">
        <f>IF(Table13[[#This Row],[Category All]]="Category 2",Table13[[#This Row],[Base Abalone Value]]*0.8,NA())</f>
        <v>#N/A</v>
      </c>
      <c r="Z510">
        <f>IF(Table13[[#This Row],[Category All]]="Category 3",Table13[[#This Row],[Base Abalone Value]],NA())</f>
        <v>1.0051033333333335</v>
      </c>
      <c r="AA510" s="2" t="e">
        <f>IF(Table13[[#This Row],[Gender]]="M",Table13[[#This Row],[Whole_weight]],NA())</f>
        <v>#N/A</v>
      </c>
      <c r="AB510" s="2">
        <f>IF(Table13[[#This Row],[Gender]]="F",Table13[[#This Row],[Whole_weight]],NA())</f>
        <v>1.113</v>
      </c>
      <c r="AC510" s="2" t="e">
        <f>IF(Table13[[#This Row],[Gender]]="I",Table13[[#This Row],[Whole_weight]],NA())</f>
        <v>#N/A</v>
      </c>
      <c r="AD510" s="2" t="e">
        <f>IF(Table13[[#This Row],[Gender]]="M",Table13[[#This Row],[Diameter]],NA())</f>
        <v>#N/A</v>
      </c>
      <c r="AE510" s="2">
        <f>IF(Table13[[#This Row],[Gender]]="F",Table13[[#This Row],[Diameter]],NA())</f>
        <v>0.46500000000000002</v>
      </c>
      <c r="AF510" s="2" t="e">
        <f>IF(Table13[[#This Row],[Gender]]="I",Table13[[#This Row],[Diameter]],NA())</f>
        <v>#N/A</v>
      </c>
    </row>
    <row r="511" spans="1:32" x14ac:dyDescent="0.2">
      <c r="A511">
        <v>261</v>
      </c>
      <c r="B511" t="s">
        <v>0</v>
      </c>
      <c r="C511">
        <v>0.54</v>
      </c>
      <c r="D511">
        <v>0.47499999999999998</v>
      </c>
      <c r="E511">
        <v>0.155</v>
      </c>
      <c r="F511">
        <v>0.92800000000000005</v>
      </c>
      <c r="G511">
        <v>0.39400000000000002</v>
      </c>
      <c r="H511">
        <v>0.19400000000000001</v>
      </c>
      <c r="I511">
        <v>0.26</v>
      </c>
      <c r="J511">
        <v>11</v>
      </c>
      <c r="K511">
        <v>10</v>
      </c>
      <c r="L511" t="s">
        <v>16</v>
      </c>
      <c r="M511" t="s">
        <v>17</v>
      </c>
      <c r="N511" t="s">
        <v>18</v>
      </c>
      <c r="O511">
        <v>10</v>
      </c>
      <c r="P511" t="s">
        <v>38</v>
      </c>
      <c r="Q511">
        <v>24.1</v>
      </c>
      <c r="R511" t="str" cm="1">
        <f t="array" ref="R5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1" t="e">
        <f>IF(Table13[[#This Row],[Category All]]="Category 1", "Yes",NA())</f>
        <v>#N/A</v>
      </c>
      <c r="T511" t="str">
        <f>IF(Table13[[#This Row],[Category All]]="Category 2", "Yes",NA())</f>
        <v>Yes</v>
      </c>
      <c r="U511" t="e">
        <f>IF(Table13[[#This Row],[Category All]]="Category 3", "Yes",NA())</f>
        <v>#N/A</v>
      </c>
      <c r="V511">
        <f>SUM(1,(1/3)*(Table13[[#This Row],[Length]]-0.5),(1/3)*(Table13[[#This Row],[Diameter]]-0.4),(1/3)*(Table13[[#This Row],[Height]]-0.4)*Table13[[#This Row],[Whole_weight]]*0.5)</f>
        <v>1.00044</v>
      </c>
      <c r="W511" cm="1">
        <f t="array" ref="W5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0.80035200000000006</v>
      </c>
      <c r="X511" t="e">
        <f>IF(Table13[[#This Row],[Category All]]="Category 1",Table13[[#This Row],[Base Abalone Value]]*1.5,NA())</f>
        <v>#N/A</v>
      </c>
      <c r="Y511">
        <f>IF(Table13[[#This Row],[Category All]]="Category 2",Table13[[#This Row],[Base Abalone Value]]*0.8,NA())</f>
        <v>0.80035200000000006</v>
      </c>
      <c r="Z511" t="e">
        <f>IF(Table13[[#This Row],[Category All]]="Category 3",Table13[[#This Row],[Base Abalone Value]],NA())</f>
        <v>#N/A</v>
      </c>
      <c r="AA511" s="2" t="e">
        <f>IF(Table13[[#This Row],[Gender]]="M",Table13[[#This Row],[Whole_weight]],NA())</f>
        <v>#N/A</v>
      </c>
      <c r="AB511" s="2">
        <f>IF(Table13[[#This Row],[Gender]]="F",Table13[[#This Row],[Whole_weight]],NA())</f>
        <v>0.92800000000000005</v>
      </c>
      <c r="AC511" s="2" t="e">
        <f>IF(Table13[[#This Row],[Gender]]="I",Table13[[#This Row],[Whole_weight]],NA())</f>
        <v>#N/A</v>
      </c>
      <c r="AD511" s="2" t="e">
        <f>IF(Table13[[#This Row],[Gender]]="M",Table13[[#This Row],[Diameter]],NA())</f>
        <v>#N/A</v>
      </c>
      <c r="AE511" s="2">
        <f>IF(Table13[[#This Row],[Gender]]="F",Table13[[#This Row],[Diameter]],NA())</f>
        <v>0.47499999999999998</v>
      </c>
      <c r="AF511" s="2" t="e">
        <f>IF(Table13[[#This Row],[Gender]]="I",Table13[[#This Row],[Diameter]],NA())</f>
        <v>#N/A</v>
      </c>
    </row>
    <row r="512" spans="1:32" x14ac:dyDescent="0.2">
      <c r="A512">
        <v>2467</v>
      </c>
      <c r="B512" t="s">
        <v>15</v>
      </c>
      <c r="C512">
        <v>0.42499999999999999</v>
      </c>
      <c r="D512">
        <v>0.32500000000000001</v>
      </c>
      <c r="E512">
        <v>0.12</v>
      </c>
      <c r="F512">
        <v>0.3755</v>
      </c>
      <c r="G512">
        <v>0.14199999999999999</v>
      </c>
      <c r="H512">
        <v>0.1065</v>
      </c>
      <c r="I512">
        <v>0.105</v>
      </c>
      <c r="J512">
        <v>9</v>
      </c>
      <c r="K512">
        <v>14</v>
      </c>
      <c r="L512" t="s">
        <v>23</v>
      </c>
      <c r="M512" t="s">
        <v>24</v>
      </c>
      <c r="N512" t="s">
        <v>25</v>
      </c>
      <c r="O512">
        <v>8</v>
      </c>
      <c r="P512" t="s">
        <v>19</v>
      </c>
      <c r="Q512">
        <v>12.3</v>
      </c>
      <c r="R512" t="str" cm="1">
        <f t="array" ref="R5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2" t="e">
        <f>IF(Table13[[#This Row],[Category All]]="Category 1", "Yes",NA())</f>
        <v>#N/A</v>
      </c>
      <c r="T512" t="str">
        <f>IF(Table13[[#This Row],[Category All]]="Category 2", "Yes",NA())</f>
        <v>Yes</v>
      </c>
      <c r="U512" t="e">
        <f>IF(Table13[[#This Row],[Category All]]="Category 3", "Yes",NA())</f>
        <v>#N/A</v>
      </c>
      <c r="V512">
        <f>SUM(1,(1/3)*(Table13[[#This Row],[Length]]-0.5),(1/3)*(Table13[[#This Row],[Diameter]]-0.4),(1/3)*(Table13[[#This Row],[Height]]-0.4)*Table13[[#This Row],[Whole_weight]]*0.5)</f>
        <v>0.93247666666666662</v>
      </c>
      <c r="W512" cm="1">
        <f t="array" ref="W5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0.74598133333333339</v>
      </c>
      <c r="X512" t="e">
        <f>IF(Table13[[#This Row],[Category All]]="Category 1",Table13[[#This Row],[Base Abalone Value]]*1.5,NA())</f>
        <v>#N/A</v>
      </c>
      <c r="Y512">
        <f>IF(Table13[[#This Row],[Category All]]="Category 2",Table13[[#This Row],[Base Abalone Value]]*0.8,NA())</f>
        <v>0.74598133333333339</v>
      </c>
      <c r="Z512" t="e">
        <f>IF(Table13[[#This Row],[Category All]]="Category 3",Table13[[#This Row],[Base Abalone Value]],NA())</f>
        <v>#N/A</v>
      </c>
      <c r="AA512" s="2">
        <f>IF(Table13[[#This Row],[Gender]]="M",Table13[[#This Row],[Whole_weight]],NA())</f>
        <v>0.3755</v>
      </c>
      <c r="AB512" s="2" t="e">
        <f>IF(Table13[[#This Row],[Gender]]="F",Table13[[#This Row],[Whole_weight]],NA())</f>
        <v>#N/A</v>
      </c>
      <c r="AC512" s="2" t="e">
        <f>IF(Table13[[#This Row],[Gender]]="I",Table13[[#This Row],[Whole_weight]],NA())</f>
        <v>#N/A</v>
      </c>
      <c r="AD512" s="2">
        <f>IF(Table13[[#This Row],[Gender]]="M",Table13[[#This Row],[Diameter]],NA())</f>
        <v>0.32500000000000001</v>
      </c>
      <c r="AE512" s="2" t="e">
        <f>IF(Table13[[#This Row],[Gender]]="F",Table13[[#This Row],[Diameter]],NA())</f>
        <v>#N/A</v>
      </c>
      <c r="AF512" s="2" t="e">
        <f>IF(Table13[[#This Row],[Gender]]="I",Table13[[#This Row],[Diameter]],NA())</f>
        <v>#N/A</v>
      </c>
    </row>
    <row r="513" spans="1:32" x14ac:dyDescent="0.2">
      <c r="A513">
        <v>3723</v>
      </c>
      <c r="B513" t="s">
        <v>11</v>
      </c>
      <c r="C513">
        <v>0.46500000000000002</v>
      </c>
      <c r="D513">
        <v>0.36</v>
      </c>
      <c r="E513">
        <v>0.105</v>
      </c>
      <c r="F513">
        <v>0.45200000000000001</v>
      </c>
      <c r="G513">
        <v>0.22</v>
      </c>
      <c r="H513">
        <v>0.159</v>
      </c>
      <c r="I513">
        <v>0.10349999999999999</v>
      </c>
      <c r="J513">
        <v>9</v>
      </c>
      <c r="K513">
        <v>4</v>
      </c>
      <c r="L513" t="s">
        <v>52</v>
      </c>
      <c r="M513" t="s">
        <v>53</v>
      </c>
      <c r="N513" t="s">
        <v>54</v>
      </c>
      <c r="O513">
        <v>2</v>
      </c>
      <c r="P513" t="s">
        <v>7</v>
      </c>
      <c r="Q513">
        <v>18</v>
      </c>
      <c r="R513" t="str" cm="1">
        <f t="array" ref="R5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3" t="e">
        <f>IF(Table13[[#This Row],[Category All]]="Category 1", "Yes",NA())</f>
        <v>#N/A</v>
      </c>
      <c r="T513" t="str">
        <f>IF(Table13[[#This Row],[Category All]]="Category 2", "Yes",NA())</f>
        <v>Yes</v>
      </c>
      <c r="U513" t="e">
        <f>IF(Table13[[#This Row],[Category All]]="Category 3", "Yes",NA())</f>
        <v>#N/A</v>
      </c>
      <c r="V513">
        <f>SUM(1,(1/3)*(Table13[[#This Row],[Length]]-0.5),(1/3)*(Table13[[#This Row],[Diameter]]-0.4),(1/3)*(Table13[[#This Row],[Height]]-0.4)*Table13[[#This Row],[Whole_weight]]*0.5)</f>
        <v>0.95277666666666661</v>
      </c>
      <c r="W513" cm="1">
        <f t="array" ref="W5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0.76222133333333331</v>
      </c>
      <c r="X513" t="e">
        <f>IF(Table13[[#This Row],[Category All]]="Category 1",Table13[[#This Row],[Base Abalone Value]]*1.5,NA())</f>
        <v>#N/A</v>
      </c>
      <c r="Y513">
        <f>IF(Table13[[#This Row],[Category All]]="Category 2",Table13[[#This Row],[Base Abalone Value]]*0.8,NA())</f>
        <v>0.76222133333333331</v>
      </c>
      <c r="Z513" t="e">
        <f>IF(Table13[[#This Row],[Category All]]="Category 3",Table13[[#This Row],[Base Abalone Value]],NA())</f>
        <v>#N/A</v>
      </c>
      <c r="AA513" s="2" t="e">
        <f>IF(Table13[[#This Row],[Gender]]="M",Table13[[#This Row],[Whole_weight]],NA())</f>
        <v>#N/A</v>
      </c>
      <c r="AB513" s="2" t="e">
        <f>IF(Table13[[#This Row],[Gender]]="F",Table13[[#This Row],[Whole_weight]],NA())</f>
        <v>#N/A</v>
      </c>
      <c r="AC513" s="2">
        <f>IF(Table13[[#This Row],[Gender]]="I",Table13[[#This Row],[Whole_weight]],NA())</f>
        <v>0.45200000000000001</v>
      </c>
      <c r="AD513" s="2" t="e">
        <f>IF(Table13[[#This Row],[Gender]]="M",Table13[[#This Row],[Diameter]],NA())</f>
        <v>#N/A</v>
      </c>
      <c r="AE513" s="2" t="e">
        <f>IF(Table13[[#This Row],[Gender]]="F",Table13[[#This Row],[Diameter]],NA())</f>
        <v>#N/A</v>
      </c>
      <c r="AF513" s="2">
        <f>IF(Table13[[#This Row],[Gender]]="I",Table13[[#This Row],[Diameter]],NA())</f>
        <v>0.36</v>
      </c>
    </row>
    <row r="514" spans="1:32" x14ac:dyDescent="0.2">
      <c r="A514">
        <v>3648</v>
      </c>
      <c r="B514" t="s">
        <v>11</v>
      </c>
      <c r="C514">
        <v>0.48499999999999999</v>
      </c>
      <c r="D514">
        <v>0.36499999999999999</v>
      </c>
      <c r="E514">
        <v>0.125</v>
      </c>
      <c r="F514">
        <v>0.42599999999999999</v>
      </c>
      <c r="G514">
        <v>0.16300000000000001</v>
      </c>
      <c r="H514">
        <v>9.6500000000000002E-2</v>
      </c>
      <c r="I514">
        <v>0.151</v>
      </c>
      <c r="J514">
        <v>8</v>
      </c>
      <c r="K514">
        <v>13</v>
      </c>
      <c r="L514" t="s">
        <v>12</v>
      </c>
      <c r="M514" t="s">
        <v>13</v>
      </c>
      <c r="N514" t="s">
        <v>3</v>
      </c>
      <c r="O514">
        <v>2</v>
      </c>
      <c r="P514" t="s">
        <v>7</v>
      </c>
      <c r="Q514">
        <v>18</v>
      </c>
      <c r="R514" t="str" cm="1">
        <f t="array" ref="R5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4" t="e">
        <f>IF(Table13[[#This Row],[Category All]]="Category 1", "Yes",NA())</f>
        <v>#N/A</v>
      </c>
      <c r="T514" t="str">
        <f>IF(Table13[[#This Row],[Category All]]="Category 2", "Yes",NA())</f>
        <v>Yes</v>
      </c>
      <c r="U514" t="e">
        <f>IF(Table13[[#This Row],[Category All]]="Category 3", "Yes",NA())</f>
        <v>#N/A</v>
      </c>
      <c r="V514">
        <f>SUM(1,(1/3)*(Table13[[#This Row],[Length]]-0.5),(1/3)*(Table13[[#This Row],[Diameter]]-0.4),(1/3)*(Table13[[#This Row],[Height]]-0.4)*Table13[[#This Row],[Whole_weight]]*0.5)</f>
        <v>0.96380833333333327</v>
      </c>
      <c r="W514" cm="1">
        <f t="array" ref="W5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0.77104666666666666</v>
      </c>
      <c r="X514" t="e">
        <f>IF(Table13[[#This Row],[Category All]]="Category 1",Table13[[#This Row],[Base Abalone Value]]*1.5,NA())</f>
        <v>#N/A</v>
      </c>
      <c r="Y514">
        <f>IF(Table13[[#This Row],[Category All]]="Category 2",Table13[[#This Row],[Base Abalone Value]]*0.8,NA())</f>
        <v>0.77104666666666666</v>
      </c>
      <c r="Z514" t="e">
        <f>IF(Table13[[#This Row],[Category All]]="Category 3",Table13[[#This Row],[Base Abalone Value]],NA())</f>
        <v>#N/A</v>
      </c>
      <c r="AA514" s="2" t="e">
        <f>IF(Table13[[#This Row],[Gender]]="M",Table13[[#This Row],[Whole_weight]],NA())</f>
        <v>#N/A</v>
      </c>
      <c r="AB514" s="2" t="e">
        <f>IF(Table13[[#This Row],[Gender]]="F",Table13[[#This Row],[Whole_weight]],NA())</f>
        <v>#N/A</v>
      </c>
      <c r="AC514" s="2">
        <f>IF(Table13[[#This Row],[Gender]]="I",Table13[[#This Row],[Whole_weight]],NA())</f>
        <v>0.42599999999999999</v>
      </c>
      <c r="AD514" s="2" t="e">
        <f>IF(Table13[[#This Row],[Gender]]="M",Table13[[#This Row],[Diameter]],NA())</f>
        <v>#N/A</v>
      </c>
      <c r="AE514" s="2" t="e">
        <f>IF(Table13[[#This Row],[Gender]]="F",Table13[[#This Row],[Diameter]],NA())</f>
        <v>#N/A</v>
      </c>
      <c r="AF514" s="2">
        <f>IF(Table13[[#This Row],[Gender]]="I",Table13[[#This Row],[Diameter]],NA())</f>
        <v>0.36499999999999999</v>
      </c>
    </row>
    <row r="515" spans="1:32" x14ac:dyDescent="0.2">
      <c r="A515">
        <v>3118</v>
      </c>
      <c r="B515" t="s">
        <v>0</v>
      </c>
      <c r="C515">
        <v>0.47</v>
      </c>
      <c r="D515">
        <v>0.36</v>
      </c>
      <c r="E515">
        <v>0.1</v>
      </c>
      <c r="F515">
        <v>0.47049999999999997</v>
      </c>
      <c r="G515">
        <v>0.16350000000000001</v>
      </c>
      <c r="H515">
        <v>8.8999999999999996E-2</v>
      </c>
      <c r="I515">
        <v>0.13850000000000001</v>
      </c>
      <c r="J515">
        <v>8</v>
      </c>
      <c r="K515">
        <v>13</v>
      </c>
      <c r="L515" t="s">
        <v>12</v>
      </c>
      <c r="M515" t="s">
        <v>13</v>
      </c>
      <c r="N515" t="s">
        <v>3</v>
      </c>
      <c r="O515">
        <v>5</v>
      </c>
      <c r="P515" t="s">
        <v>14</v>
      </c>
      <c r="Q515">
        <v>12.8</v>
      </c>
      <c r="R515" t="str" cm="1">
        <f t="array" ref="R5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5" t="e">
        <f>IF(Table13[[#This Row],[Category All]]="Category 1", "Yes",NA())</f>
        <v>#N/A</v>
      </c>
      <c r="T515" t="str">
        <f>IF(Table13[[#This Row],[Category All]]="Category 2", "Yes",NA())</f>
        <v>Yes</v>
      </c>
      <c r="U515" t="e">
        <f>IF(Table13[[#This Row],[Category All]]="Category 3", "Yes",NA())</f>
        <v>#N/A</v>
      </c>
      <c r="V515">
        <f>SUM(1,(1/3)*(Table13[[#This Row],[Length]]-0.5),(1/3)*(Table13[[#This Row],[Diameter]]-0.4),(1/3)*(Table13[[#This Row],[Height]]-0.4)*Table13[[#This Row],[Whole_weight]]*0.5)</f>
        <v>0.95314166666666666</v>
      </c>
      <c r="W515" cm="1">
        <f t="array" ref="W5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0.76251333333333338</v>
      </c>
      <c r="X515" t="e">
        <f>IF(Table13[[#This Row],[Category All]]="Category 1",Table13[[#This Row],[Base Abalone Value]]*1.5,NA())</f>
        <v>#N/A</v>
      </c>
      <c r="Y515">
        <f>IF(Table13[[#This Row],[Category All]]="Category 2",Table13[[#This Row],[Base Abalone Value]]*0.8,NA())</f>
        <v>0.76251333333333338</v>
      </c>
      <c r="Z515" t="e">
        <f>IF(Table13[[#This Row],[Category All]]="Category 3",Table13[[#This Row],[Base Abalone Value]],NA())</f>
        <v>#N/A</v>
      </c>
      <c r="AA515" s="2" t="e">
        <f>IF(Table13[[#This Row],[Gender]]="M",Table13[[#This Row],[Whole_weight]],NA())</f>
        <v>#N/A</v>
      </c>
      <c r="AB515" s="2">
        <f>IF(Table13[[#This Row],[Gender]]="F",Table13[[#This Row],[Whole_weight]],NA())</f>
        <v>0.47049999999999997</v>
      </c>
      <c r="AC515" s="2" t="e">
        <f>IF(Table13[[#This Row],[Gender]]="I",Table13[[#This Row],[Whole_weight]],NA())</f>
        <v>#N/A</v>
      </c>
      <c r="AD515" s="2" t="e">
        <f>IF(Table13[[#This Row],[Gender]]="M",Table13[[#This Row],[Diameter]],NA())</f>
        <v>#N/A</v>
      </c>
      <c r="AE515" s="2">
        <f>IF(Table13[[#This Row],[Gender]]="F",Table13[[#This Row],[Diameter]],NA())</f>
        <v>0.36</v>
      </c>
      <c r="AF515" s="2" t="e">
        <f>IF(Table13[[#This Row],[Gender]]="I",Table13[[#This Row],[Diameter]],NA())</f>
        <v>#N/A</v>
      </c>
    </row>
    <row r="516" spans="1:32" x14ac:dyDescent="0.2">
      <c r="A516">
        <v>1305</v>
      </c>
      <c r="B516" t="s">
        <v>15</v>
      </c>
      <c r="C516">
        <v>0.53500000000000003</v>
      </c>
      <c r="D516">
        <v>0.435</v>
      </c>
      <c r="E516">
        <v>0.15</v>
      </c>
      <c r="F516">
        <v>0.71699999999999997</v>
      </c>
      <c r="G516">
        <v>0.34749999999999998</v>
      </c>
      <c r="H516">
        <v>0.14449999999999999</v>
      </c>
      <c r="I516">
        <v>0.19400000000000001</v>
      </c>
      <c r="J516">
        <v>9</v>
      </c>
      <c r="K516">
        <v>12</v>
      </c>
      <c r="L516" t="s">
        <v>1</v>
      </c>
      <c r="M516" t="s">
        <v>2</v>
      </c>
      <c r="N516" t="s">
        <v>3</v>
      </c>
      <c r="O516">
        <v>9</v>
      </c>
      <c r="P516" t="s">
        <v>46</v>
      </c>
      <c r="Q516">
        <v>1.9</v>
      </c>
      <c r="R516" t="str" cm="1">
        <f t="array" ref="R5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6" t="e">
        <f>IF(Table13[[#This Row],[Category All]]="Category 1", "Yes",NA())</f>
        <v>#N/A</v>
      </c>
      <c r="T516" t="str">
        <f>IF(Table13[[#This Row],[Category All]]="Category 2", "Yes",NA())</f>
        <v>Yes</v>
      </c>
      <c r="U516" t="e">
        <f>IF(Table13[[#This Row],[Category All]]="Category 3", "Yes",NA())</f>
        <v>#N/A</v>
      </c>
      <c r="V516">
        <f>SUM(1,(1/3)*(Table13[[#This Row],[Length]]-0.5),(1/3)*(Table13[[#This Row],[Diameter]]-0.4),(1/3)*(Table13[[#This Row],[Height]]-0.4)*Table13[[#This Row],[Whole_weight]]*0.5)</f>
        <v>0.99345833333333344</v>
      </c>
      <c r="W516" cm="1">
        <f t="array" ref="W5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0.79476666666666684</v>
      </c>
      <c r="X516" t="e">
        <f>IF(Table13[[#This Row],[Category All]]="Category 1",Table13[[#This Row],[Base Abalone Value]]*1.5,NA())</f>
        <v>#N/A</v>
      </c>
      <c r="Y516">
        <f>IF(Table13[[#This Row],[Category All]]="Category 2",Table13[[#This Row],[Base Abalone Value]]*0.8,NA())</f>
        <v>0.79476666666666684</v>
      </c>
      <c r="Z516" t="e">
        <f>IF(Table13[[#This Row],[Category All]]="Category 3",Table13[[#This Row],[Base Abalone Value]],NA())</f>
        <v>#N/A</v>
      </c>
      <c r="AA516" s="2">
        <f>IF(Table13[[#This Row],[Gender]]="M",Table13[[#This Row],[Whole_weight]],NA())</f>
        <v>0.71699999999999997</v>
      </c>
      <c r="AB516" s="2" t="e">
        <f>IF(Table13[[#This Row],[Gender]]="F",Table13[[#This Row],[Whole_weight]],NA())</f>
        <v>#N/A</v>
      </c>
      <c r="AC516" s="2" t="e">
        <f>IF(Table13[[#This Row],[Gender]]="I",Table13[[#This Row],[Whole_weight]],NA())</f>
        <v>#N/A</v>
      </c>
      <c r="AD516" s="2">
        <f>IF(Table13[[#This Row],[Gender]]="M",Table13[[#This Row],[Diameter]],NA())</f>
        <v>0.435</v>
      </c>
      <c r="AE516" s="2" t="e">
        <f>IF(Table13[[#This Row],[Gender]]="F",Table13[[#This Row],[Diameter]],NA())</f>
        <v>#N/A</v>
      </c>
      <c r="AF516" s="2" t="e">
        <f>IF(Table13[[#This Row],[Gender]]="I",Table13[[#This Row],[Diameter]],NA())</f>
        <v>#N/A</v>
      </c>
    </row>
    <row r="517" spans="1:32" x14ac:dyDescent="0.2">
      <c r="A517">
        <v>968</v>
      </c>
      <c r="B517" t="s">
        <v>11</v>
      </c>
      <c r="C517">
        <v>0.51</v>
      </c>
      <c r="D517">
        <v>0.40500000000000003</v>
      </c>
      <c r="E517">
        <v>0.13500000000000001</v>
      </c>
      <c r="F517">
        <v>0.76900000000000002</v>
      </c>
      <c r="G517">
        <v>0.36549999999999999</v>
      </c>
      <c r="H517">
        <v>0.1585</v>
      </c>
      <c r="I517">
        <v>0.18</v>
      </c>
      <c r="J517">
        <v>7</v>
      </c>
      <c r="K517">
        <v>15</v>
      </c>
      <c r="L517" t="s">
        <v>49</v>
      </c>
      <c r="M517" t="s">
        <v>50</v>
      </c>
      <c r="N517" t="s">
        <v>3</v>
      </c>
      <c r="O517">
        <v>7</v>
      </c>
      <c r="P517" t="s">
        <v>42</v>
      </c>
      <c r="Q517">
        <v>2.5</v>
      </c>
      <c r="R517" t="str" cm="1">
        <f t="array" ref="R5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7" t="e">
        <f>IF(Table13[[#This Row],[Category All]]="Category 1", "Yes",NA())</f>
        <v>#N/A</v>
      </c>
      <c r="T517" t="str">
        <f>IF(Table13[[#This Row],[Category All]]="Category 2", "Yes",NA())</f>
        <v>Yes</v>
      </c>
      <c r="U517" t="e">
        <f>IF(Table13[[#This Row],[Category All]]="Category 3", "Yes",NA())</f>
        <v>#N/A</v>
      </c>
      <c r="V517">
        <f>SUM(1,(1/3)*(Table13[[#This Row],[Length]]-0.5),(1/3)*(Table13[[#This Row],[Diameter]]-0.4),(1/3)*(Table13[[#This Row],[Height]]-0.4)*Table13[[#This Row],[Whole_weight]]*0.5)</f>
        <v>0.97103583333333343</v>
      </c>
      <c r="W517" cm="1">
        <f t="array" ref="W5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0.77682866666666683</v>
      </c>
      <c r="X517" t="e">
        <f>IF(Table13[[#This Row],[Category All]]="Category 1",Table13[[#This Row],[Base Abalone Value]]*1.5,NA())</f>
        <v>#N/A</v>
      </c>
      <c r="Y517">
        <f>IF(Table13[[#This Row],[Category All]]="Category 2",Table13[[#This Row],[Base Abalone Value]]*0.8,NA())</f>
        <v>0.77682866666666683</v>
      </c>
      <c r="Z517" t="e">
        <f>IF(Table13[[#This Row],[Category All]]="Category 3",Table13[[#This Row],[Base Abalone Value]],NA())</f>
        <v>#N/A</v>
      </c>
      <c r="AA517" s="2" t="e">
        <f>IF(Table13[[#This Row],[Gender]]="M",Table13[[#This Row],[Whole_weight]],NA())</f>
        <v>#N/A</v>
      </c>
      <c r="AB517" s="2" t="e">
        <f>IF(Table13[[#This Row],[Gender]]="F",Table13[[#This Row],[Whole_weight]],NA())</f>
        <v>#N/A</v>
      </c>
      <c r="AC517" s="2">
        <f>IF(Table13[[#This Row],[Gender]]="I",Table13[[#This Row],[Whole_weight]],NA())</f>
        <v>0.76900000000000002</v>
      </c>
      <c r="AD517" s="2" t="e">
        <f>IF(Table13[[#This Row],[Gender]]="M",Table13[[#This Row],[Diameter]],NA())</f>
        <v>#N/A</v>
      </c>
      <c r="AE517" s="2" t="e">
        <f>IF(Table13[[#This Row],[Gender]]="F",Table13[[#This Row],[Diameter]],NA())</f>
        <v>#N/A</v>
      </c>
      <c r="AF517" s="2">
        <f>IF(Table13[[#This Row],[Gender]]="I",Table13[[#This Row],[Diameter]],NA())</f>
        <v>0.40500000000000003</v>
      </c>
    </row>
    <row r="518" spans="1:32" x14ac:dyDescent="0.2">
      <c r="A518">
        <v>3986</v>
      </c>
      <c r="B518" t="s">
        <v>15</v>
      </c>
      <c r="C518">
        <v>0.63</v>
      </c>
      <c r="D518">
        <v>0.48</v>
      </c>
      <c r="E518">
        <v>0.185</v>
      </c>
      <c r="F518">
        <v>1.21</v>
      </c>
      <c r="G518">
        <v>0.53</v>
      </c>
      <c r="H518">
        <v>0.2555</v>
      </c>
      <c r="I518">
        <v>0.32200000000000001</v>
      </c>
      <c r="J518">
        <v>11</v>
      </c>
      <c r="K518">
        <v>5</v>
      </c>
      <c r="L518" t="s">
        <v>26</v>
      </c>
      <c r="M518" t="s">
        <v>27</v>
      </c>
      <c r="N518" t="s">
        <v>28</v>
      </c>
      <c r="O518">
        <v>8</v>
      </c>
      <c r="P518" t="s">
        <v>19</v>
      </c>
      <c r="Q518">
        <v>12.3</v>
      </c>
      <c r="R518" t="str" cm="1">
        <f t="array" ref="R5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18" t="e">
        <f>IF(Table13[[#This Row],[Category All]]="Category 1", "Yes",NA())</f>
        <v>#N/A</v>
      </c>
      <c r="T518" t="e">
        <f>IF(Table13[[#This Row],[Category All]]="Category 2", "Yes",NA())</f>
        <v>#N/A</v>
      </c>
      <c r="U518" t="str">
        <f>IF(Table13[[#This Row],[Category All]]="Category 3", "Yes",NA())</f>
        <v>Yes</v>
      </c>
      <c r="V518">
        <f>SUM(1,(1/3)*(Table13[[#This Row],[Length]]-0.5),(1/3)*(Table13[[#This Row],[Diameter]]-0.4),(1/3)*(Table13[[#This Row],[Height]]-0.4)*Table13[[#This Row],[Whole_weight]]*0.5)</f>
        <v>1.0266416666666667</v>
      </c>
      <c r="W518" cm="1">
        <f t="array" ref="W5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1.0266416666666667</v>
      </c>
      <c r="X518" t="e">
        <f>IF(Table13[[#This Row],[Category All]]="Category 1",Table13[[#This Row],[Base Abalone Value]]*1.5,NA())</f>
        <v>#N/A</v>
      </c>
      <c r="Y518" t="e">
        <f>IF(Table13[[#This Row],[Category All]]="Category 2",Table13[[#This Row],[Base Abalone Value]]*0.8,NA())</f>
        <v>#N/A</v>
      </c>
      <c r="Z518">
        <f>IF(Table13[[#This Row],[Category All]]="Category 3",Table13[[#This Row],[Base Abalone Value]],NA())</f>
        <v>1.0266416666666667</v>
      </c>
      <c r="AA518" s="2">
        <f>IF(Table13[[#This Row],[Gender]]="M",Table13[[#This Row],[Whole_weight]],NA())</f>
        <v>1.21</v>
      </c>
      <c r="AB518" s="2" t="e">
        <f>IF(Table13[[#This Row],[Gender]]="F",Table13[[#This Row],[Whole_weight]],NA())</f>
        <v>#N/A</v>
      </c>
      <c r="AC518" s="2" t="e">
        <f>IF(Table13[[#This Row],[Gender]]="I",Table13[[#This Row],[Whole_weight]],NA())</f>
        <v>#N/A</v>
      </c>
      <c r="AD518" s="2">
        <f>IF(Table13[[#This Row],[Gender]]="M",Table13[[#This Row],[Diameter]],NA())</f>
        <v>0.48</v>
      </c>
      <c r="AE518" s="2" t="e">
        <f>IF(Table13[[#This Row],[Gender]]="F",Table13[[#This Row],[Diameter]],NA())</f>
        <v>#N/A</v>
      </c>
      <c r="AF518" s="2" t="e">
        <f>IF(Table13[[#This Row],[Gender]]="I",Table13[[#This Row],[Diameter]],NA())</f>
        <v>#N/A</v>
      </c>
    </row>
    <row r="519" spans="1:32" x14ac:dyDescent="0.2">
      <c r="A519">
        <v>3729</v>
      </c>
      <c r="B519" t="s">
        <v>11</v>
      </c>
      <c r="C519">
        <v>0.51</v>
      </c>
      <c r="D519">
        <v>0.375</v>
      </c>
      <c r="E519">
        <v>0.15</v>
      </c>
      <c r="F519">
        <v>0.84150000000000003</v>
      </c>
      <c r="G519">
        <v>0.38450000000000001</v>
      </c>
      <c r="H519">
        <v>0.156</v>
      </c>
      <c r="I519">
        <v>0.255</v>
      </c>
      <c r="J519">
        <v>10</v>
      </c>
      <c r="K519">
        <v>4</v>
      </c>
      <c r="L519" t="s">
        <v>52</v>
      </c>
      <c r="M519" t="s">
        <v>53</v>
      </c>
      <c r="N519" t="s">
        <v>54</v>
      </c>
      <c r="O519">
        <v>10</v>
      </c>
      <c r="P519" t="s">
        <v>38</v>
      </c>
      <c r="Q519">
        <v>24.1</v>
      </c>
      <c r="R519" t="str" cm="1">
        <f t="array" ref="R5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9" t="e">
        <f>IF(Table13[[#This Row],[Category All]]="Category 1", "Yes",NA())</f>
        <v>#N/A</v>
      </c>
      <c r="T519" t="str">
        <f>IF(Table13[[#This Row],[Category All]]="Category 2", "Yes",NA())</f>
        <v>Yes</v>
      </c>
      <c r="U519" t="e">
        <f>IF(Table13[[#This Row],[Category All]]="Category 3", "Yes",NA())</f>
        <v>#N/A</v>
      </c>
      <c r="V519">
        <f>SUM(1,(1/3)*(Table13[[#This Row],[Length]]-0.5),(1/3)*(Table13[[#This Row],[Diameter]]-0.4),(1/3)*(Table13[[#This Row],[Height]]-0.4)*Table13[[#This Row],[Whole_weight]]*0.5)</f>
        <v>0.95993750000000011</v>
      </c>
      <c r="W519" cm="1">
        <f t="array" ref="W5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0.76795000000000013</v>
      </c>
      <c r="X519" t="e">
        <f>IF(Table13[[#This Row],[Category All]]="Category 1",Table13[[#This Row],[Base Abalone Value]]*1.5,NA())</f>
        <v>#N/A</v>
      </c>
      <c r="Y519">
        <f>IF(Table13[[#This Row],[Category All]]="Category 2",Table13[[#This Row],[Base Abalone Value]]*0.8,NA())</f>
        <v>0.76795000000000013</v>
      </c>
      <c r="Z519" t="e">
        <f>IF(Table13[[#This Row],[Category All]]="Category 3",Table13[[#This Row],[Base Abalone Value]],NA())</f>
        <v>#N/A</v>
      </c>
      <c r="AA519" s="2" t="e">
        <f>IF(Table13[[#This Row],[Gender]]="M",Table13[[#This Row],[Whole_weight]],NA())</f>
        <v>#N/A</v>
      </c>
      <c r="AB519" s="2" t="e">
        <f>IF(Table13[[#This Row],[Gender]]="F",Table13[[#This Row],[Whole_weight]],NA())</f>
        <v>#N/A</v>
      </c>
      <c r="AC519" s="2">
        <f>IF(Table13[[#This Row],[Gender]]="I",Table13[[#This Row],[Whole_weight]],NA())</f>
        <v>0.84150000000000003</v>
      </c>
      <c r="AD519" s="2" t="e">
        <f>IF(Table13[[#This Row],[Gender]]="M",Table13[[#This Row],[Diameter]],NA())</f>
        <v>#N/A</v>
      </c>
      <c r="AE519" s="2" t="e">
        <f>IF(Table13[[#This Row],[Gender]]="F",Table13[[#This Row],[Diameter]],NA())</f>
        <v>#N/A</v>
      </c>
      <c r="AF519" s="2">
        <f>IF(Table13[[#This Row],[Gender]]="I",Table13[[#This Row],[Diameter]],NA())</f>
        <v>0.375</v>
      </c>
    </row>
    <row r="520" spans="1:32" x14ac:dyDescent="0.2">
      <c r="A520">
        <v>3075</v>
      </c>
      <c r="B520" t="s">
        <v>15</v>
      </c>
      <c r="C520">
        <v>0.67500000000000004</v>
      </c>
      <c r="D520">
        <v>0.52</v>
      </c>
      <c r="E520">
        <v>0.14499999999999999</v>
      </c>
      <c r="F520">
        <v>1.3645</v>
      </c>
      <c r="G520">
        <v>0.55700000000000005</v>
      </c>
      <c r="H520">
        <v>0.34050000000000002</v>
      </c>
      <c r="I520">
        <v>0.38500000000000001</v>
      </c>
      <c r="J520">
        <v>11</v>
      </c>
      <c r="K520">
        <v>7</v>
      </c>
      <c r="L520" t="s">
        <v>35</v>
      </c>
      <c r="M520" t="s">
        <v>36</v>
      </c>
      <c r="N520" t="s">
        <v>37</v>
      </c>
      <c r="O520">
        <v>5</v>
      </c>
      <c r="P520" t="s">
        <v>14</v>
      </c>
      <c r="Q520">
        <v>12.8</v>
      </c>
      <c r="R520" t="str" cm="1">
        <f t="array" ref="R5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20" t="e">
        <f>IF(Table13[[#This Row],[Category All]]="Category 1", "Yes",NA())</f>
        <v>#N/A</v>
      </c>
      <c r="T520" t="e">
        <f>IF(Table13[[#This Row],[Category All]]="Category 2", "Yes",NA())</f>
        <v>#N/A</v>
      </c>
      <c r="U520" t="str">
        <f>IF(Table13[[#This Row],[Category All]]="Category 3", "Yes",NA())</f>
        <v>Yes</v>
      </c>
      <c r="V520">
        <f>SUM(1,(1/3)*(Table13[[#This Row],[Length]]-0.5),(1/3)*(Table13[[#This Row],[Diameter]]-0.4),(1/3)*(Table13[[#This Row],[Height]]-0.4)*Table13[[#This Row],[Whole_weight]]*0.5)</f>
        <v>1.0403420833333334</v>
      </c>
      <c r="W520" cm="1">
        <f t="array" ref="W5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1.0403420833333334</v>
      </c>
      <c r="X520" t="e">
        <f>IF(Table13[[#This Row],[Category All]]="Category 1",Table13[[#This Row],[Base Abalone Value]]*1.5,NA())</f>
        <v>#N/A</v>
      </c>
      <c r="Y520" t="e">
        <f>IF(Table13[[#This Row],[Category All]]="Category 2",Table13[[#This Row],[Base Abalone Value]]*0.8,NA())</f>
        <v>#N/A</v>
      </c>
      <c r="Z520">
        <f>IF(Table13[[#This Row],[Category All]]="Category 3",Table13[[#This Row],[Base Abalone Value]],NA())</f>
        <v>1.0403420833333334</v>
      </c>
      <c r="AA520" s="2">
        <f>IF(Table13[[#This Row],[Gender]]="M",Table13[[#This Row],[Whole_weight]],NA())</f>
        <v>1.3645</v>
      </c>
      <c r="AB520" s="2" t="e">
        <f>IF(Table13[[#This Row],[Gender]]="F",Table13[[#This Row],[Whole_weight]],NA())</f>
        <v>#N/A</v>
      </c>
      <c r="AC520" s="2" t="e">
        <f>IF(Table13[[#This Row],[Gender]]="I",Table13[[#This Row],[Whole_weight]],NA())</f>
        <v>#N/A</v>
      </c>
      <c r="AD520" s="2">
        <f>IF(Table13[[#This Row],[Gender]]="M",Table13[[#This Row],[Diameter]],NA())</f>
        <v>0.52</v>
      </c>
      <c r="AE520" s="2" t="e">
        <f>IF(Table13[[#This Row],[Gender]]="F",Table13[[#This Row],[Diameter]],NA())</f>
        <v>#N/A</v>
      </c>
      <c r="AF520" s="2" t="e">
        <f>IF(Table13[[#This Row],[Gender]]="I",Table13[[#This Row],[Diameter]],NA())</f>
        <v>#N/A</v>
      </c>
    </row>
    <row r="521" spans="1:32" x14ac:dyDescent="0.2">
      <c r="A521">
        <v>1144</v>
      </c>
      <c r="B521" t="s">
        <v>15</v>
      </c>
      <c r="C521">
        <v>0.57499999999999996</v>
      </c>
      <c r="D521">
        <v>0.44500000000000001</v>
      </c>
      <c r="E521">
        <v>0.14499999999999999</v>
      </c>
      <c r="F521">
        <v>0.84699999999999998</v>
      </c>
      <c r="G521">
        <v>0.41499999999999998</v>
      </c>
      <c r="H521">
        <v>0.19450000000000001</v>
      </c>
      <c r="I521">
        <v>0.22</v>
      </c>
      <c r="J521">
        <v>9</v>
      </c>
      <c r="K521">
        <v>8</v>
      </c>
      <c r="L521" t="s">
        <v>29</v>
      </c>
      <c r="M521" t="s">
        <v>30</v>
      </c>
      <c r="N521" t="s">
        <v>31</v>
      </c>
      <c r="O521">
        <v>5</v>
      </c>
      <c r="P521" t="s">
        <v>14</v>
      </c>
      <c r="Q521">
        <v>12.8</v>
      </c>
      <c r="R521" t="str" cm="1">
        <f t="array" ref="R5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21" t="e">
        <f>IF(Table13[[#This Row],[Category All]]="Category 1", "Yes",NA())</f>
        <v>#N/A</v>
      </c>
      <c r="T521" t="e">
        <f>IF(Table13[[#This Row],[Category All]]="Category 2", "Yes",NA())</f>
        <v>#N/A</v>
      </c>
      <c r="U521" t="str">
        <f>IF(Table13[[#This Row],[Category All]]="Category 3", "Yes",NA())</f>
        <v>Yes</v>
      </c>
      <c r="V521">
        <f>SUM(1,(1/3)*(Table13[[#This Row],[Length]]-0.5),(1/3)*(Table13[[#This Row],[Diameter]]-0.4),(1/3)*(Table13[[#This Row],[Height]]-0.4)*Table13[[#This Row],[Whole_weight]]*0.5)</f>
        <v>1.0040024999999999</v>
      </c>
      <c r="W521" cm="1">
        <f t="array" ref="W5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1.0040024999999999</v>
      </c>
      <c r="X521" t="e">
        <f>IF(Table13[[#This Row],[Category All]]="Category 1",Table13[[#This Row],[Base Abalone Value]]*1.5,NA())</f>
        <v>#N/A</v>
      </c>
      <c r="Y521" t="e">
        <f>IF(Table13[[#This Row],[Category All]]="Category 2",Table13[[#This Row],[Base Abalone Value]]*0.8,NA())</f>
        <v>#N/A</v>
      </c>
      <c r="Z521">
        <f>IF(Table13[[#This Row],[Category All]]="Category 3",Table13[[#This Row],[Base Abalone Value]],NA())</f>
        <v>1.0040024999999999</v>
      </c>
      <c r="AA521" s="2">
        <f>IF(Table13[[#This Row],[Gender]]="M",Table13[[#This Row],[Whole_weight]],NA())</f>
        <v>0.84699999999999998</v>
      </c>
      <c r="AB521" s="2" t="e">
        <f>IF(Table13[[#This Row],[Gender]]="F",Table13[[#This Row],[Whole_weight]],NA())</f>
        <v>#N/A</v>
      </c>
      <c r="AC521" s="2" t="e">
        <f>IF(Table13[[#This Row],[Gender]]="I",Table13[[#This Row],[Whole_weight]],NA())</f>
        <v>#N/A</v>
      </c>
      <c r="AD521" s="2">
        <f>IF(Table13[[#This Row],[Gender]]="M",Table13[[#This Row],[Diameter]],NA())</f>
        <v>0.44500000000000001</v>
      </c>
      <c r="AE521" s="2" t="e">
        <f>IF(Table13[[#This Row],[Gender]]="F",Table13[[#This Row],[Diameter]],NA())</f>
        <v>#N/A</v>
      </c>
      <c r="AF521" s="2" t="e">
        <f>IF(Table13[[#This Row],[Gender]]="I",Table13[[#This Row],[Diameter]],NA())</f>
        <v>#N/A</v>
      </c>
    </row>
    <row r="522" spans="1:32" x14ac:dyDescent="0.2">
      <c r="A522">
        <v>2032</v>
      </c>
      <c r="B522" t="s">
        <v>0</v>
      </c>
      <c r="C522">
        <v>0.6</v>
      </c>
      <c r="D522">
        <v>0.45</v>
      </c>
      <c r="E522">
        <v>0.14000000000000001</v>
      </c>
      <c r="F522">
        <v>0.83699999999999997</v>
      </c>
      <c r="G522">
        <v>0.37</v>
      </c>
      <c r="H522">
        <v>0.17699999999999999</v>
      </c>
      <c r="I522">
        <v>0.24249999999999999</v>
      </c>
      <c r="J522">
        <v>10</v>
      </c>
      <c r="K522">
        <v>12</v>
      </c>
      <c r="L522" t="s">
        <v>1</v>
      </c>
      <c r="M522" t="s">
        <v>2</v>
      </c>
      <c r="N522" t="s">
        <v>3</v>
      </c>
      <c r="O522">
        <v>1</v>
      </c>
      <c r="P522" t="s">
        <v>4</v>
      </c>
      <c r="Q522">
        <v>22.1</v>
      </c>
      <c r="R522" t="str" cm="1">
        <f t="array" ref="R5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22" t="e">
        <f>IF(Table13[[#This Row],[Category All]]="Category 1", "Yes",NA())</f>
        <v>#N/A</v>
      </c>
      <c r="T522" t="str">
        <f>IF(Table13[[#This Row],[Category All]]="Category 2", "Yes",NA())</f>
        <v>Yes</v>
      </c>
      <c r="U522" t="e">
        <f>IF(Table13[[#This Row],[Category All]]="Category 3", "Yes",NA())</f>
        <v>#N/A</v>
      </c>
      <c r="V522">
        <f>SUM(1,(1/3)*(Table13[[#This Row],[Length]]-0.5),(1/3)*(Table13[[#This Row],[Diameter]]-0.4),(1/3)*(Table13[[#This Row],[Height]]-0.4)*Table13[[#This Row],[Whole_weight]]*0.5)</f>
        <v>1.0137299999999998</v>
      </c>
      <c r="W522" cm="1">
        <f t="array" ref="W5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0.81098399999999993</v>
      </c>
      <c r="X522" t="e">
        <f>IF(Table13[[#This Row],[Category All]]="Category 1",Table13[[#This Row],[Base Abalone Value]]*1.5,NA())</f>
        <v>#N/A</v>
      </c>
      <c r="Y522">
        <f>IF(Table13[[#This Row],[Category All]]="Category 2",Table13[[#This Row],[Base Abalone Value]]*0.8,NA())</f>
        <v>0.81098399999999993</v>
      </c>
      <c r="Z522" t="e">
        <f>IF(Table13[[#This Row],[Category All]]="Category 3",Table13[[#This Row],[Base Abalone Value]],NA())</f>
        <v>#N/A</v>
      </c>
      <c r="AA522" s="2" t="e">
        <f>IF(Table13[[#This Row],[Gender]]="M",Table13[[#This Row],[Whole_weight]],NA())</f>
        <v>#N/A</v>
      </c>
      <c r="AB522" s="2">
        <f>IF(Table13[[#This Row],[Gender]]="F",Table13[[#This Row],[Whole_weight]],NA())</f>
        <v>0.83699999999999997</v>
      </c>
      <c r="AC522" s="2" t="e">
        <f>IF(Table13[[#This Row],[Gender]]="I",Table13[[#This Row],[Whole_weight]],NA())</f>
        <v>#N/A</v>
      </c>
      <c r="AD522" s="2" t="e">
        <f>IF(Table13[[#This Row],[Gender]]="M",Table13[[#This Row],[Diameter]],NA())</f>
        <v>#N/A</v>
      </c>
      <c r="AE522" s="2">
        <f>IF(Table13[[#This Row],[Gender]]="F",Table13[[#This Row],[Diameter]],NA())</f>
        <v>0.45</v>
      </c>
      <c r="AF522" s="2" t="e">
        <f>IF(Table13[[#This Row],[Gender]]="I",Table13[[#This Row],[Diameter]],NA())</f>
        <v>#N/A</v>
      </c>
    </row>
    <row r="523" spans="1:32" x14ac:dyDescent="0.2">
      <c r="A523">
        <v>3303</v>
      </c>
      <c r="B523" t="s">
        <v>0</v>
      </c>
      <c r="C523">
        <v>0.71</v>
      </c>
      <c r="D523">
        <v>0.57499999999999996</v>
      </c>
      <c r="E523">
        <v>0.17499999999999999</v>
      </c>
      <c r="F523">
        <v>1.5549999999999999</v>
      </c>
      <c r="G523">
        <v>0.64649999999999996</v>
      </c>
      <c r="H523">
        <v>0.3705</v>
      </c>
      <c r="I523">
        <v>0.52</v>
      </c>
      <c r="J523">
        <v>15</v>
      </c>
      <c r="K523">
        <v>2</v>
      </c>
      <c r="L523" t="s">
        <v>32</v>
      </c>
      <c r="M523" t="s">
        <v>33</v>
      </c>
      <c r="N523" t="s">
        <v>34</v>
      </c>
      <c r="O523">
        <v>4</v>
      </c>
      <c r="P523" t="s">
        <v>10</v>
      </c>
      <c r="Q523">
        <v>6.1</v>
      </c>
      <c r="R523" t="str" cm="1">
        <f t="array" ref="R5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23" t="e">
        <f>IF(Table13[[#This Row],[Category All]]="Category 1", "Yes",NA())</f>
        <v>#N/A</v>
      </c>
      <c r="T523" t="e">
        <f>IF(Table13[[#This Row],[Category All]]="Category 2", "Yes",NA())</f>
        <v>#N/A</v>
      </c>
      <c r="U523" t="str">
        <f>IF(Table13[[#This Row],[Category All]]="Category 3", "Yes",NA())</f>
        <v>Yes</v>
      </c>
      <c r="V523">
        <f>SUM(1,(1/3)*(Table13[[#This Row],[Length]]-0.5),(1/3)*(Table13[[#This Row],[Diameter]]-0.4),(1/3)*(Table13[[#This Row],[Height]]-0.4)*Table13[[#This Row],[Whole_weight]]*0.5)</f>
        <v>1.0700208333333334</v>
      </c>
      <c r="W523" cm="1">
        <f t="array" ref="W5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1.0700208333333334</v>
      </c>
      <c r="X523" t="e">
        <f>IF(Table13[[#This Row],[Category All]]="Category 1",Table13[[#This Row],[Base Abalone Value]]*1.5,NA())</f>
        <v>#N/A</v>
      </c>
      <c r="Y523" t="e">
        <f>IF(Table13[[#This Row],[Category All]]="Category 2",Table13[[#This Row],[Base Abalone Value]]*0.8,NA())</f>
        <v>#N/A</v>
      </c>
      <c r="Z523">
        <f>IF(Table13[[#This Row],[Category All]]="Category 3",Table13[[#This Row],[Base Abalone Value]],NA())</f>
        <v>1.0700208333333334</v>
      </c>
      <c r="AA523" s="2" t="e">
        <f>IF(Table13[[#This Row],[Gender]]="M",Table13[[#This Row],[Whole_weight]],NA())</f>
        <v>#N/A</v>
      </c>
      <c r="AB523" s="2">
        <f>IF(Table13[[#This Row],[Gender]]="F",Table13[[#This Row],[Whole_weight]],NA())</f>
        <v>1.5549999999999999</v>
      </c>
      <c r="AC523" s="2" t="e">
        <f>IF(Table13[[#This Row],[Gender]]="I",Table13[[#This Row],[Whole_weight]],NA())</f>
        <v>#N/A</v>
      </c>
      <c r="AD523" s="2" t="e">
        <f>IF(Table13[[#This Row],[Gender]]="M",Table13[[#This Row],[Diameter]],NA())</f>
        <v>#N/A</v>
      </c>
      <c r="AE523" s="2">
        <f>IF(Table13[[#This Row],[Gender]]="F",Table13[[#This Row],[Diameter]],NA())</f>
        <v>0.57499999999999996</v>
      </c>
      <c r="AF523" s="2" t="e">
        <f>IF(Table13[[#This Row],[Gender]]="I",Table13[[#This Row],[Diameter]],NA())</f>
        <v>#N/A</v>
      </c>
    </row>
    <row r="524" spans="1:32" x14ac:dyDescent="0.2">
      <c r="A524">
        <v>4152</v>
      </c>
      <c r="B524" t="s">
        <v>11</v>
      </c>
      <c r="C524">
        <v>0.35</v>
      </c>
      <c r="D524">
        <v>0.25</v>
      </c>
      <c r="E524">
        <v>7.4999999999999997E-2</v>
      </c>
      <c r="F524">
        <v>0.16950000000000001</v>
      </c>
      <c r="G524">
        <v>8.3500000000000005E-2</v>
      </c>
      <c r="H524">
        <v>3.5499999999999997E-2</v>
      </c>
      <c r="I524">
        <v>4.1000000000000002E-2</v>
      </c>
      <c r="J524">
        <v>6</v>
      </c>
      <c r="K524">
        <v>1</v>
      </c>
      <c r="L524" t="s">
        <v>8</v>
      </c>
      <c r="M524" t="s">
        <v>9</v>
      </c>
      <c r="N524" t="s">
        <v>3</v>
      </c>
      <c r="O524">
        <v>7</v>
      </c>
      <c r="P524" t="s">
        <v>42</v>
      </c>
      <c r="Q524">
        <v>2.5</v>
      </c>
      <c r="R524" t="str" cm="1">
        <f t="array" ref="R5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24" t="e">
        <f>IF(Table13[[#This Row],[Category All]]="Category 1", "Yes",NA())</f>
        <v>#N/A</v>
      </c>
      <c r="T524" t="str">
        <f>IF(Table13[[#This Row],[Category All]]="Category 2", "Yes",NA())</f>
        <v>Yes</v>
      </c>
      <c r="U524" t="e">
        <f>IF(Table13[[#This Row],[Category All]]="Category 3", "Yes",NA())</f>
        <v>#N/A</v>
      </c>
      <c r="V524">
        <f>SUM(1,(1/3)*(Table13[[#This Row],[Length]]-0.5),(1/3)*(Table13[[#This Row],[Diameter]]-0.4),(1/3)*(Table13[[#This Row],[Height]]-0.4)*Table13[[#This Row],[Whole_weight]]*0.5)</f>
        <v>0.89081874999999988</v>
      </c>
      <c r="W524" cm="1">
        <f t="array" ref="W5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0.71265499999999993</v>
      </c>
      <c r="X524" t="e">
        <f>IF(Table13[[#This Row],[Category All]]="Category 1",Table13[[#This Row],[Base Abalone Value]]*1.5,NA())</f>
        <v>#N/A</v>
      </c>
      <c r="Y524">
        <f>IF(Table13[[#This Row],[Category All]]="Category 2",Table13[[#This Row],[Base Abalone Value]]*0.8,NA())</f>
        <v>0.71265499999999993</v>
      </c>
      <c r="Z524" t="e">
        <f>IF(Table13[[#This Row],[Category All]]="Category 3",Table13[[#This Row],[Base Abalone Value]],NA())</f>
        <v>#N/A</v>
      </c>
      <c r="AA524" s="2" t="e">
        <f>IF(Table13[[#This Row],[Gender]]="M",Table13[[#This Row],[Whole_weight]],NA())</f>
        <v>#N/A</v>
      </c>
      <c r="AB524" s="2" t="e">
        <f>IF(Table13[[#This Row],[Gender]]="F",Table13[[#This Row],[Whole_weight]],NA())</f>
        <v>#N/A</v>
      </c>
      <c r="AC524" s="2">
        <f>IF(Table13[[#This Row],[Gender]]="I",Table13[[#This Row],[Whole_weight]],NA())</f>
        <v>0.16950000000000001</v>
      </c>
      <c r="AD524" s="2" t="e">
        <f>IF(Table13[[#This Row],[Gender]]="M",Table13[[#This Row],[Diameter]],NA())</f>
        <v>#N/A</v>
      </c>
      <c r="AE524" s="2" t="e">
        <f>IF(Table13[[#This Row],[Gender]]="F",Table13[[#This Row],[Diameter]],NA())</f>
        <v>#N/A</v>
      </c>
      <c r="AF524" s="2">
        <f>IF(Table13[[#This Row],[Gender]]="I",Table13[[#This Row],[Diameter]],NA())</f>
        <v>0.25</v>
      </c>
    </row>
    <row r="525" spans="1:32" x14ac:dyDescent="0.2">
      <c r="A525">
        <v>3171</v>
      </c>
      <c r="B525" t="s">
        <v>0</v>
      </c>
      <c r="C525">
        <v>0.56999999999999995</v>
      </c>
      <c r="D525">
        <v>0.46500000000000002</v>
      </c>
      <c r="E525">
        <v>0.155</v>
      </c>
      <c r="F525">
        <v>0.872</v>
      </c>
      <c r="G525">
        <v>0.32450000000000001</v>
      </c>
      <c r="H525">
        <v>0.23899999999999999</v>
      </c>
      <c r="I525">
        <v>0.28499999999999998</v>
      </c>
      <c r="J525">
        <v>14</v>
      </c>
      <c r="K525">
        <v>7</v>
      </c>
      <c r="L525" t="s">
        <v>35</v>
      </c>
      <c r="M525" t="s">
        <v>36</v>
      </c>
      <c r="N525" t="s">
        <v>37</v>
      </c>
      <c r="O525">
        <v>6</v>
      </c>
      <c r="P525" t="s">
        <v>47</v>
      </c>
      <c r="Q525">
        <v>14.1</v>
      </c>
      <c r="R525" t="str" cm="1">
        <f t="array" ref="R5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25" t="e">
        <f>IF(Table13[[#This Row],[Category All]]="Category 1", "Yes",NA())</f>
        <v>#N/A</v>
      </c>
      <c r="T525" t="str">
        <f>IF(Table13[[#This Row],[Category All]]="Category 2", "Yes",NA())</f>
        <v>Yes</v>
      </c>
      <c r="U525" t="e">
        <f>IF(Table13[[#This Row],[Category All]]="Category 3", "Yes",NA())</f>
        <v>#N/A</v>
      </c>
      <c r="V525">
        <f>SUM(1,(1/3)*(Table13[[#This Row],[Length]]-0.5),(1/3)*(Table13[[#This Row],[Diameter]]-0.4),(1/3)*(Table13[[#This Row],[Height]]-0.4)*Table13[[#This Row],[Whole_weight]]*0.5)</f>
        <v>1.0093933333333336</v>
      </c>
      <c r="W525" cm="1">
        <f t="array" ref="W5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0.80751466666666694</v>
      </c>
      <c r="X525" t="e">
        <f>IF(Table13[[#This Row],[Category All]]="Category 1",Table13[[#This Row],[Base Abalone Value]]*1.5,NA())</f>
        <v>#N/A</v>
      </c>
      <c r="Y525">
        <f>IF(Table13[[#This Row],[Category All]]="Category 2",Table13[[#This Row],[Base Abalone Value]]*0.8,NA())</f>
        <v>0.80751466666666694</v>
      </c>
      <c r="Z525" t="e">
        <f>IF(Table13[[#This Row],[Category All]]="Category 3",Table13[[#This Row],[Base Abalone Value]],NA())</f>
        <v>#N/A</v>
      </c>
      <c r="AA525" s="2" t="e">
        <f>IF(Table13[[#This Row],[Gender]]="M",Table13[[#This Row],[Whole_weight]],NA())</f>
        <v>#N/A</v>
      </c>
      <c r="AB525" s="2">
        <f>IF(Table13[[#This Row],[Gender]]="F",Table13[[#This Row],[Whole_weight]],NA())</f>
        <v>0.872</v>
      </c>
      <c r="AC525" s="2" t="e">
        <f>IF(Table13[[#This Row],[Gender]]="I",Table13[[#This Row],[Whole_weight]],NA())</f>
        <v>#N/A</v>
      </c>
      <c r="AD525" s="2" t="e">
        <f>IF(Table13[[#This Row],[Gender]]="M",Table13[[#This Row],[Diameter]],NA())</f>
        <v>#N/A</v>
      </c>
      <c r="AE525" s="2">
        <f>IF(Table13[[#This Row],[Gender]]="F",Table13[[#This Row],[Diameter]],NA())</f>
        <v>0.46500000000000002</v>
      </c>
      <c r="AF525" s="2" t="e">
        <f>IF(Table13[[#This Row],[Gender]]="I",Table13[[#This Row],[Diameter]],NA())</f>
        <v>#N/A</v>
      </c>
    </row>
    <row r="526" spans="1:32" x14ac:dyDescent="0.2">
      <c r="A526">
        <v>1308</v>
      </c>
      <c r="B526" t="s">
        <v>11</v>
      </c>
      <c r="C526">
        <v>0.54500000000000004</v>
      </c>
      <c r="D526">
        <v>0.435</v>
      </c>
      <c r="E526">
        <v>0.13500000000000001</v>
      </c>
      <c r="F526">
        <v>0.77149999999999996</v>
      </c>
      <c r="G526">
        <v>0.372</v>
      </c>
      <c r="H526">
        <v>0.14799999999999999</v>
      </c>
      <c r="I526">
        <v>0.22700000000000001</v>
      </c>
      <c r="J526">
        <v>8</v>
      </c>
      <c r="K526">
        <v>12</v>
      </c>
      <c r="L526" t="s">
        <v>1</v>
      </c>
      <c r="M526" t="s">
        <v>2</v>
      </c>
      <c r="N526" t="s">
        <v>3</v>
      </c>
      <c r="O526">
        <v>5</v>
      </c>
      <c r="P526" t="s">
        <v>14</v>
      </c>
      <c r="Q526">
        <v>12.8</v>
      </c>
      <c r="R526" t="str" cm="1">
        <f t="array" ref="R5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26" t="e">
        <f>IF(Table13[[#This Row],[Category All]]="Category 1", "Yes",NA())</f>
        <v>#N/A</v>
      </c>
      <c r="T526" t="str">
        <f>IF(Table13[[#This Row],[Category All]]="Category 2", "Yes",NA())</f>
        <v>Yes</v>
      </c>
      <c r="U526" t="e">
        <f>IF(Table13[[#This Row],[Category All]]="Category 3", "Yes",NA())</f>
        <v>#N/A</v>
      </c>
      <c r="V526">
        <f>SUM(1,(1/3)*(Table13[[#This Row],[Length]]-0.5),(1/3)*(Table13[[#This Row],[Diameter]]-0.4),(1/3)*(Table13[[#This Row],[Height]]-0.4)*Table13[[#This Row],[Whole_weight]]*0.5)</f>
        <v>0.99259208333333349</v>
      </c>
      <c r="W526" cm="1">
        <f t="array" ref="W5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0.79407366666666679</v>
      </c>
      <c r="X526" t="e">
        <f>IF(Table13[[#This Row],[Category All]]="Category 1",Table13[[#This Row],[Base Abalone Value]]*1.5,NA())</f>
        <v>#N/A</v>
      </c>
      <c r="Y526">
        <f>IF(Table13[[#This Row],[Category All]]="Category 2",Table13[[#This Row],[Base Abalone Value]]*0.8,NA())</f>
        <v>0.79407366666666679</v>
      </c>
      <c r="Z526" t="e">
        <f>IF(Table13[[#This Row],[Category All]]="Category 3",Table13[[#This Row],[Base Abalone Value]],NA())</f>
        <v>#N/A</v>
      </c>
      <c r="AA526" s="2" t="e">
        <f>IF(Table13[[#This Row],[Gender]]="M",Table13[[#This Row],[Whole_weight]],NA())</f>
        <v>#N/A</v>
      </c>
      <c r="AB526" s="2" t="e">
        <f>IF(Table13[[#This Row],[Gender]]="F",Table13[[#This Row],[Whole_weight]],NA())</f>
        <v>#N/A</v>
      </c>
      <c r="AC526" s="2">
        <f>IF(Table13[[#This Row],[Gender]]="I",Table13[[#This Row],[Whole_weight]],NA())</f>
        <v>0.77149999999999996</v>
      </c>
      <c r="AD526" s="2" t="e">
        <f>IF(Table13[[#This Row],[Gender]]="M",Table13[[#This Row],[Diameter]],NA())</f>
        <v>#N/A</v>
      </c>
      <c r="AE526" s="2" t="e">
        <f>IF(Table13[[#This Row],[Gender]]="F",Table13[[#This Row],[Diameter]],NA())</f>
        <v>#N/A</v>
      </c>
      <c r="AF526" s="2">
        <f>IF(Table13[[#This Row],[Gender]]="I",Table13[[#This Row],[Diameter]],NA())</f>
        <v>0.435</v>
      </c>
    </row>
    <row r="527" spans="1:32" x14ac:dyDescent="0.2">
      <c r="A527">
        <v>1377</v>
      </c>
      <c r="B527" t="s">
        <v>15</v>
      </c>
      <c r="C527">
        <v>0.62</v>
      </c>
      <c r="D527">
        <v>0.51</v>
      </c>
      <c r="E527">
        <v>0.17499999999999999</v>
      </c>
      <c r="F527">
        <v>1.2815000000000001</v>
      </c>
      <c r="G527">
        <v>0.57150000000000001</v>
      </c>
      <c r="H527">
        <v>0.23849999999999999</v>
      </c>
      <c r="I527">
        <v>0.39</v>
      </c>
      <c r="J527">
        <v>10</v>
      </c>
      <c r="K527">
        <v>9</v>
      </c>
      <c r="L527" t="s">
        <v>20</v>
      </c>
      <c r="M527" t="s">
        <v>21</v>
      </c>
      <c r="N527" t="s">
        <v>22</v>
      </c>
      <c r="O527">
        <v>9</v>
      </c>
      <c r="P527" t="s">
        <v>46</v>
      </c>
      <c r="Q527">
        <v>1.9</v>
      </c>
      <c r="R527" t="str" cm="1">
        <f t="array" ref="R5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27" t="e">
        <f>IF(Table13[[#This Row],[Category All]]="Category 1", "Yes",NA())</f>
        <v>#N/A</v>
      </c>
      <c r="T527" t="e">
        <f>IF(Table13[[#This Row],[Category All]]="Category 2", "Yes",NA())</f>
        <v>#N/A</v>
      </c>
      <c r="U527" t="str">
        <f>IF(Table13[[#This Row],[Category All]]="Category 3", "Yes",NA())</f>
        <v>Yes</v>
      </c>
      <c r="V527">
        <f>SUM(1,(1/3)*(Table13[[#This Row],[Length]]-0.5),(1/3)*(Table13[[#This Row],[Diameter]]-0.4),(1/3)*(Table13[[#This Row],[Height]]-0.4)*Table13[[#This Row],[Whole_weight]]*0.5)</f>
        <v>1.0286104166666667</v>
      </c>
      <c r="W527" cm="1">
        <f t="array" ref="W5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1.0286104166666667</v>
      </c>
      <c r="X527" t="e">
        <f>IF(Table13[[#This Row],[Category All]]="Category 1",Table13[[#This Row],[Base Abalone Value]]*1.5,NA())</f>
        <v>#N/A</v>
      </c>
      <c r="Y527" t="e">
        <f>IF(Table13[[#This Row],[Category All]]="Category 2",Table13[[#This Row],[Base Abalone Value]]*0.8,NA())</f>
        <v>#N/A</v>
      </c>
      <c r="Z527">
        <f>IF(Table13[[#This Row],[Category All]]="Category 3",Table13[[#This Row],[Base Abalone Value]],NA())</f>
        <v>1.0286104166666667</v>
      </c>
      <c r="AA527" s="2">
        <f>IF(Table13[[#This Row],[Gender]]="M",Table13[[#This Row],[Whole_weight]],NA())</f>
        <v>1.2815000000000001</v>
      </c>
      <c r="AB527" s="2" t="e">
        <f>IF(Table13[[#This Row],[Gender]]="F",Table13[[#This Row],[Whole_weight]],NA())</f>
        <v>#N/A</v>
      </c>
      <c r="AC527" s="2" t="e">
        <f>IF(Table13[[#This Row],[Gender]]="I",Table13[[#This Row],[Whole_weight]],NA())</f>
        <v>#N/A</v>
      </c>
      <c r="AD527" s="2">
        <f>IF(Table13[[#This Row],[Gender]]="M",Table13[[#This Row],[Diameter]],NA())</f>
        <v>0.51</v>
      </c>
      <c r="AE527" s="2" t="e">
        <f>IF(Table13[[#This Row],[Gender]]="F",Table13[[#This Row],[Diameter]],NA())</f>
        <v>#N/A</v>
      </c>
      <c r="AF527" s="2" t="e">
        <f>IF(Table13[[#This Row],[Gender]]="I",Table13[[#This Row],[Diameter]],NA())</f>
        <v>#N/A</v>
      </c>
    </row>
    <row r="528" spans="1:32" x14ac:dyDescent="0.2">
      <c r="A528">
        <v>510</v>
      </c>
      <c r="B528" t="s">
        <v>11</v>
      </c>
      <c r="C528">
        <v>0.56000000000000005</v>
      </c>
      <c r="D528">
        <v>0.44500000000000001</v>
      </c>
      <c r="E528">
        <v>0.155</v>
      </c>
      <c r="F528">
        <v>0.87350000000000005</v>
      </c>
      <c r="G528">
        <v>0.30049999999999999</v>
      </c>
      <c r="H528">
        <v>0.20899999999999999</v>
      </c>
      <c r="I528">
        <v>0.27500000000000002</v>
      </c>
      <c r="J528">
        <v>16</v>
      </c>
      <c r="K528">
        <v>6</v>
      </c>
      <c r="L528" t="s">
        <v>39</v>
      </c>
      <c r="M528" t="s">
        <v>40</v>
      </c>
      <c r="N528" t="s">
        <v>41</v>
      </c>
      <c r="O528">
        <v>3</v>
      </c>
      <c r="P528" t="s">
        <v>48</v>
      </c>
      <c r="Q528">
        <v>3.6</v>
      </c>
      <c r="R528" t="str" cm="1">
        <f t="array" ref="R5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528" t="str">
        <f>IF(Table13[[#This Row],[Category All]]="Category 1", "Yes",NA())</f>
        <v>Yes</v>
      </c>
      <c r="T528" t="e">
        <f>IF(Table13[[#This Row],[Category All]]="Category 2", "Yes",NA())</f>
        <v>#N/A</v>
      </c>
      <c r="U528" t="e">
        <f>IF(Table13[[#This Row],[Category All]]="Category 3", "Yes",NA())</f>
        <v>#N/A</v>
      </c>
      <c r="V528">
        <f>SUM(1,(1/3)*(Table13[[#This Row],[Length]]-0.5),(1/3)*(Table13[[#This Row],[Diameter]]-0.4),(1/3)*(Table13[[#This Row],[Height]]-0.4)*Table13[[#This Row],[Whole_weight]]*0.5)</f>
        <v>0.99933208333333323</v>
      </c>
      <c r="W528" cm="1">
        <f t="array" ref="W5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1.498998125</v>
      </c>
      <c r="X528">
        <f>IF(Table13[[#This Row],[Category All]]="Category 1",Table13[[#This Row],[Base Abalone Value]]*1.5,NA())</f>
        <v>1.498998125</v>
      </c>
      <c r="Y528" t="e">
        <f>IF(Table13[[#This Row],[Category All]]="Category 2",Table13[[#This Row],[Base Abalone Value]]*0.8,NA())</f>
        <v>#N/A</v>
      </c>
      <c r="Z528" t="e">
        <f>IF(Table13[[#This Row],[Category All]]="Category 3",Table13[[#This Row],[Base Abalone Value]],NA())</f>
        <v>#N/A</v>
      </c>
      <c r="AA528" s="2" t="e">
        <f>IF(Table13[[#This Row],[Gender]]="M",Table13[[#This Row],[Whole_weight]],NA())</f>
        <v>#N/A</v>
      </c>
      <c r="AB528" s="2" t="e">
        <f>IF(Table13[[#This Row],[Gender]]="F",Table13[[#This Row],[Whole_weight]],NA())</f>
        <v>#N/A</v>
      </c>
      <c r="AC528" s="2">
        <f>IF(Table13[[#This Row],[Gender]]="I",Table13[[#This Row],[Whole_weight]],NA())</f>
        <v>0.87350000000000005</v>
      </c>
      <c r="AD528" s="2" t="e">
        <f>IF(Table13[[#This Row],[Gender]]="M",Table13[[#This Row],[Diameter]],NA())</f>
        <v>#N/A</v>
      </c>
      <c r="AE528" s="2" t="e">
        <f>IF(Table13[[#This Row],[Gender]]="F",Table13[[#This Row],[Diameter]],NA())</f>
        <v>#N/A</v>
      </c>
      <c r="AF528" s="2">
        <f>IF(Table13[[#This Row],[Gender]]="I",Table13[[#This Row],[Diameter]],NA())</f>
        <v>0.44500000000000001</v>
      </c>
    </row>
    <row r="529" spans="1:32" x14ac:dyDescent="0.2">
      <c r="A529">
        <v>2647</v>
      </c>
      <c r="B529" t="s">
        <v>11</v>
      </c>
      <c r="C529">
        <v>0.495</v>
      </c>
      <c r="D529">
        <v>0.38</v>
      </c>
      <c r="E529">
        <v>0.12</v>
      </c>
      <c r="F529">
        <v>0.51200000000000001</v>
      </c>
      <c r="G529">
        <v>0.23300000000000001</v>
      </c>
      <c r="H529">
        <v>0.1205</v>
      </c>
      <c r="I529">
        <v>0.13600000000000001</v>
      </c>
      <c r="J529">
        <v>7</v>
      </c>
      <c r="K529">
        <v>14</v>
      </c>
      <c r="L529" t="s">
        <v>23</v>
      </c>
      <c r="M529" t="s">
        <v>24</v>
      </c>
      <c r="N529" t="s">
        <v>25</v>
      </c>
      <c r="O529">
        <v>8</v>
      </c>
      <c r="P529" t="s">
        <v>19</v>
      </c>
      <c r="Q529">
        <v>12.3</v>
      </c>
      <c r="R529" t="str" cm="1">
        <f t="array" ref="R5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29" t="e">
        <f>IF(Table13[[#This Row],[Category All]]="Category 1", "Yes",NA())</f>
        <v>#N/A</v>
      </c>
      <c r="T529" t="str">
        <f>IF(Table13[[#This Row],[Category All]]="Category 2", "Yes",NA())</f>
        <v>Yes</v>
      </c>
      <c r="U529" t="e">
        <f>IF(Table13[[#This Row],[Category All]]="Category 3", "Yes",NA())</f>
        <v>#N/A</v>
      </c>
      <c r="V529">
        <f>SUM(1,(1/3)*(Table13[[#This Row],[Length]]-0.5),(1/3)*(Table13[[#This Row],[Diameter]]-0.4),(1/3)*(Table13[[#This Row],[Height]]-0.4)*Table13[[#This Row],[Whole_weight]]*0.5)</f>
        <v>0.96777333333333326</v>
      </c>
      <c r="W529" cm="1">
        <f t="array" ref="W5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0.77421866666666661</v>
      </c>
      <c r="X529" t="e">
        <f>IF(Table13[[#This Row],[Category All]]="Category 1",Table13[[#This Row],[Base Abalone Value]]*1.5,NA())</f>
        <v>#N/A</v>
      </c>
      <c r="Y529">
        <f>IF(Table13[[#This Row],[Category All]]="Category 2",Table13[[#This Row],[Base Abalone Value]]*0.8,NA())</f>
        <v>0.77421866666666661</v>
      </c>
      <c r="Z529" t="e">
        <f>IF(Table13[[#This Row],[Category All]]="Category 3",Table13[[#This Row],[Base Abalone Value]],NA())</f>
        <v>#N/A</v>
      </c>
      <c r="AA529" s="2" t="e">
        <f>IF(Table13[[#This Row],[Gender]]="M",Table13[[#This Row],[Whole_weight]],NA())</f>
        <v>#N/A</v>
      </c>
      <c r="AB529" s="2" t="e">
        <f>IF(Table13[[#This Row],[Gender]]="F",Table13[[#This Row],[Whole_weight]],NA())</f>
        <v>#N/A</v>
      </c>
      <c r="AC529" s="2">
        <f>IF(Table13[[#This Row],[Gender]]="I",Table13[[#This Row],[Whole_weight]],NA())</f>
        <v>0.51200000000000001</v>
      </c>
      <c r="AD529" s="2" t="e">
        <f>IF(Table13[[#This Row],[Gender]]="M",Table13[[#This Row],[Diameter]],NA())</f>
        <v>#N/A</v>
      </c>
      <c r="AE529" s="2" t="e">
        <f>IF(Table13[[#This Row],[Gender]]="F",Table13[[#This Row],[Diameter]],NA())</f>
        <v>#N/A</v>
      </c>
      <c r="AF529" s="2">
        <f>IF(Table13[[#This Row],[Gender]]="I",Table13[[#This Row],[Diameter]],NA())</f>
        <v>0.38</v>
      </c>
    </row>
    <row r="530" spans="1:32" x14ac:dyDescent="0.2">
      <c r="A530">
        <v>3472</v>
      </c>
      <c r="B530" t="s">
        <v>0</v>
      </c>
      <c r="C530">
        <v>0.72499999999999998</v>
      </c>
      <c r="D530">
        <v>0.57999999999999996</v>
      </c>
      <c r="E530">
        <v>0.185</v>
      </c>
      <c r="F530">
        <v>1.5229999999999999</v>
      </c>
      <c r="G530">
        <v>0.80449999999999999</v>
      </c>
      <c r="H530">
        <v>0.35949999999999999</v>
      </c>
      <c r="I530">
        <v>0.4375</v>
      </c>
      <c r="J530">
        <v>9</v>
      </c>
      <c r="K530">
        <v>14</v>
      </c>
      <c r="L530" t="s">
        <v>23</v>
      </c>
      <c r="M530" t="s">
        <v>24</v>
      </c>
      <c r="N530" t="s">
        <v>25</v>
      </c>
      <c r="O530">
        <v>5</v>
      </c>
      <c r="P530" t="s">
        <v>14</v>
      </c>
      <c r="Q530">
        <v>12.8</v>
      </c>
      <c r="R530" t="str" cm="1">
        <f t="array" ref="R5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30" t="e">
        <f>IF(Table13[[#This Row],[Category All]]="Category 1", "Yes",NA())</f>
        <v>#N/A</v>
      </c>
      <c r="T530" t="e">
        <f>IF(Table13[[#This Row],[Category All]]="Category 2", "Yes",NA())</f>
        <v>#N/A</v>
      </c>
      <c r="U530" t="str">
        <f>IF(Table13[[#This Row],[Category All]]="Category 3", "Yes",NA())</f>
        <v>Yes</v>
      </c>
      <c r="V530">
        <f>SUM(1,(1/3)*(Table13[[#This Row],[Length]]-0.5),(1/3)*(Table13[[#This Row],[Diameter]]-0.4),(1/3)*(Table13[[#This Row],[Height]]-0.4)*Table13[[#This Row],[Whole_weight]]*0.5)</f>
        <v>1.0804258333333334</v>
      </c>
      <c r="W530" cm="1">
        <f t="array" ref="W5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1.0804258333333334</v>
      </c>
      <c r="X530" t="e">
        <f>IF(Table13[[#This Row],[Category All]]="Category 1",Table13[[#This Row],[Base Abalone Value]]*1.5,NA())</f>
        <v>#N/A</v>
      </c>
      <c r="Y530" t="e">
        <f>IF(Table13[[#This Row],[Category All]]="Category 2",Table13[[#This Row],[Base Abalone Value]]*0.8,NA())</f>
        <v>#N/A</v>
      </c>
      <c r="Z530">
        <f>IF(Table13[[#This Row],[Category All]]="Category 3",Table13[[#This Row],[Base Abalone Value]],NA())</f>
        <v>1.0804258333333334</v>
      </c>
      <c r="AA530" s="2" t="e">
        <f>IF(Table13[[#This Row],[Gender]]="M",Table13[[#This Row],[Whole_weight]],NA())</f>
        <v>#N/A</v>
      </c>
      <c r="AB530" s="2">
        <f>IF(Table13[[#This Row],[Gender]]="F",Table13[[#This Row],[Whole_weight]],NA())</f>
        <v>1.5229999999999999</v>
      </c>
      <c r="AC530" s="2" t="e">
        <f>IF(Table13[[#This Row],[Gender]]="I",Table13[[#This Row],[Whole_weight]],NA())</f>
        <v>#N/A</v>
      </c>
      <c r="AD530" s="2" t="e">
        <f>IF(Table13[[#This Row],[Gender]]="M",Table13[[#This Row],[Diameter]],NA())</f>
        <v>#N/A</v>
      </c>
      <c r="AE530" s="2">
        <f>IF(Table13[[#This Row],[Gender]]="F",Table13[[#This Row],[Diameter]],NA())</f>
        <v>0.57999999999999996</v>
      </c>
      <c r="AF530" s="2" t="e">
        <f>IF(Table13[[#This Row],[Gender]]="I",Table13[[#This Row],[Diameter]],NA())</f>
        <v>#N/A</v>
      </c>
    </row>
    <row r="531" spans="1:32" x14ac:dyDescent="0.2">
      <c r="A531">
        <v>1611</v>
      </c>
      <c r="B531" t="s">
        <v>11</v>
      </c>
      <c r="C531">
        <v>0.54500000000000004</v>
      </c>
      <c r="D531">
        <v>0.42</v>
      </c>
      <c r="E531">
        <v>0.125</v>
      </c>
      <c r="F531">
        <v>0.71699999999999997</v>
      </c>
      <c r="G531">
        <v>0.35799999999999998</v>
      </c>
      <c r="H531">
        <v>0.112</v>
      </c>
      <c r="I531">
        <v>0.22</v>
      </c>
      <c r="J531">
        <v>8</v>
      </c>
      <c r="K531">
        <v>4</v>
      </c>
      <c r="L531" t="s">
        <v>52</v>
      </c>
      <c r="M531" t="s">
        <v>53</v>
      </c>
      <c r="N531" t="s">
        <v>54</v>
      </c>
      <c r="O531">
        <v>10</v>
      </c>
      <c r="P531" t="s">
        <v>38</v>
      </c>
      <c r="Q531">
        <v>24.1</v>
      </c>
      <c r="R531" t="str" cm="1">
        <f t="array" ref="R5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31" t="e">
        <f>IF(Table13[[#This Row],[Category All]]="Category 1", "Yes",NA())</f>
        <v>#N/A</v>
      </c>
      <c r="T531" t="str">
        <f>IF(Table13[[#This Row],[Category All]]="Category 2", "Yes",NA())</f>
        <v>Yes</v>
      </c>
      <c r="U531" t="e">
        <f>IF(Table13[[#This Row],[Category All]]="Category 3", "Yes",NA())</f>
        <v>#N/A</v>
      </c>
      <c r="V531">
        <f>SUM(1,(1/3)*(Table13[[#This Row],[Length]]-0.5),(1/3)*(Table13[[#This Row],[Diameter]]-0.4),(1/3)*(Table13[[#This Row],[Height]]-0.4)*Table13[[#This Row],[Whole_weight]]*0.5)</f>
        <v>0.98880416666666671</v>
      </c>
      <c r="W531" cm="1">
        <f t="array" ref="W5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0.79104333333333343</v>
      </c>
      <c r="X531" t="e">
        <f>IF(Table13[[#This Row],[Category All]]="Category 1",Table13[[#This Row],[Base Abalone Value]]*1.5,NA())</f>
        <v>#N/A</v>
      </c>
      <c r="Y531">
        <f>IF(Table13[[#This Row],[Category All]]="Category 2",Table13[[#This Row],[Base Abalone Value]]*0.8,NA())</f>
        <v>0.79104333333333343</v>
      </c>
      <c r="Z531" t="e">
        <f>IF(Table13[[#This Row],[Category All]]="Category 3",Table13[[#This Row],[Base Abalone Value]],NA())</f>
        <v>#N/A</v>
      </c>
      <c r="AA531" s="2" t="e">
        <f>IF(Table13[[#This Row],[Gender]]="M",Table13[[#This Row],[Whole_weight]],NA())</f>
        <v>#N/A</v>
      </c>
      <c r="AB531" s="2" t="e">
        <f>IF(Table13[[#This Row],[Gender]]="F",Table13[[#This Row],[Whole_weight]],NA())</f>
        <v>#N/A</v>
      </c>
      <c r="AC531" s="2">
        <f>IF(Table13[[#This Row],[Gender]]="I",Table13[[#This Row],[Whole_weight]],NA())</f>
        <v>0.71699999999999997</v>
      </c>
      <c r="AD531" s="2" t="e">
        <f>IF(Table13[[#This Row],[Gender]]="M",Table13[[#This Row],[Diameter]],NA())</f>
        <v>#N/A</v>
      </c>
      <c r="AE531" s="2" t="e">
        <f>IF(Table13[[#This Row],[Gender]]="F",Table13[[#This Row],[Diameter]],NA())</f>
        <v>#N/A</v>
      </c>
      <c r="AF531" s="2">
        <f>IF(Table13[[#This Row],[Gender]]="I",Table13[[#This Row],[Diameter]],NA())</f>
        <v>0.42</v>
      </c>
    </row>
    <row r="532" spans="1:32" x14ac:dyDescent="0.2">
      <c r="A532">
        <v>1398</v>
      </c>
      <c r="B532" t="s">
        <v>15</v>
      </c>
      <c r="C532">
        <v>0.64500000000000002</v>
      </c>
      <c r="D532">
        <v>0.5</v>
      </c>
      <c r="E532">
        <v>0.19500000000000001</v>
      </c>
      <c r="F532">
        <v>1.401</v>
      </c>
      <c r="G532">
        <v>0.61650000000000005</v>
      </c>
      <c r="H532">
        <v>0.35149999999999998</v>
      </c>
      <c r="I532">
        <v>0.3725</v>
      </c>
      <c r="J532">
        <v>10</v>
      </c>
      <c r="K532">
        <v>3</v>
      </c>
      <c r="L532" t="s">
        <v>43</v>
      </c>
      <c r="M532" t="s">
        <v>44</v>
      </c>
      <c r="N532" t="s">
        <v>45</v>
      </c>
      <c r="O532">
        <v>1</v>
      </c>
      <c r="P532" t="s">
        <v>4</v>
      </c>
      <c r="Q532">
        <v>22.1</v>
      </c>
      <c r="R532" t="str" cm="1">
        <f t="array" ref="R5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32" t="e">
        <f>IF(Table13[[#This Row],[Category All]]="Category 1", "Yes",NA())</f>
        <v>#N/A</v>
      </c>
      <c r="T532" t="e">
        <f>IF(Table13[[#This Row],[Category All]]="Category 2", "Yes",NA())</f>
        <v>#N/A</v>
      </c>
      <c r="U532" t="str">
        <f>IF(Table13[[#This Row],[Category All]]="Category 3", "Yes",NA())</f>
        <v>Yes</v>
      </c>
      <c r="V532">
        <f>SUM(1,(1/3)*(Table13[[#This Row],[Length]]-0.5),(1/3)*(Table13[[#This Row],[Diameter]]-0.4),(1/3)*(Table13[[#This Row],[Height]]-0.4)*Table13[[#This Row],[Whole_weight]]*0.5)</f>
        <v>1.0337991666666666</v>
      </c>
      <c r="W532" cm="1">
        <f t="array" ref="W5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1.0337991666666666</v>
      </c>
      <c r="X532" t="e">
        <f>IF(Table13[[#This Row],[Category All]]="Category 1",Table13[[#This Row],[Base Abalone Value]]*1.5,NA())</f>
        <v>#N/A</v>
      </c>
      <c r="Y532" t="e">
        <f>IF(Table13[[#This Row],[Category All]]="Category 2",Table13[[#This Row],[Base Abalone Value]]*0.8,NA())</f>
        <v>#N/A</v>
      </c>
      <c r="Z532">
        <f>IF(Table13[[#This Row],[Category All]]="Category 3",Table13[[#This Row],[Base Abalone Value]],NA())</f>
        <v>1.0337991666666666</v>
      </c>
      <c r="AA532" s="2">
        <f>IF(Table13[[#This Row],[Gender]]="M",Table13[[#This Row],[Whole_weight]],NA())</f>
        <v>1.401</v>
      </c>
      <c r="AB532" s="2" t="e">
        <f>IF(Table13[[#This Row],[Gender]]="F",Table13[[#This Row],[Whole_weight]],NA())</f>
        <v>#N/A</v>
      </c>
      <c r="AC532" s="2" t="e">
        <f>IF(Table13[[#This Row],[Gender]]="I",Table13[[#This Row],[Whole_weight]],NA())</f>
        <v>#N/A</v>
      </c>
      <c r="AD532" s="2">
        <f>IF(Table13[[#This Row],[Gender]]="M",Table13[[#This Row],[Diameter]],NA())</f>
        <v>0.5</v>
      </c>
      <c r="AE532" s="2" t="e">
        <f>IF(Table13[[#This Row],[Gender]]="F",Table13[[#This Row],[Diameter]],NA())</f>
        <v>#N/A</v>
      </c>
      <c r="AF532" s="2" t="e">
        <f>IF(Table13[[#This Row],[Gender]]="I",Table13[[#This Row],[Diameter]],NA())</f>
        <v>#N/A</v>
      </c>
    </row>
    <row r="533" spans="1:32" x14ac:dyDescent="0.2">
      <c r="A533">
        <v>2668</v>
      </c>
      <c r="B533" t="s">
        <v>0</v>
      </c>
      <c r="C533">
        <v>0.58499999999999996</v>
      </c>
      <c r="D533">
        <v>0.45</v>
      </c>
      <c r="E533">
        <v>0.15</v>
      </c>
      <c r="F533">
        <v>0.93799999999999994</v>
      </c>
      <c r="G533">
        <v>0.46700000000000003</v>
      </c>
      <c r="H533">
        <v>0.20300000000000001</v>
      </c>
      <c r="I533">
        <v>0.22500000000000001</v>
      </c>
      <c r="J533">
        <v>7</v>
      </c>
      <c r="K533">
        <v>5</v>
      </c>
      <c r="L533" t="s">
        <v>26</v>
      </c>
      <c r="M533" t="s">
        <v>27</v>
      </c>
      <c r="N533" t="s">
        <v>28</v>
      </c>
      <c r="O533">
        <v>9</v>
      </c>
      <c r="P533" t="s">
        <v>46</v>
      </c>
      <c r="Q533">
        <v>1.9</v>
      </c>
      <c r="R533" t="str" cm="1">
        <f t="array" ref="R5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33" t="e">
        <f>IF(Table13[[#This Row],[Category All]]="Category 1", "Yes",NA())</f>
        <v>#N/A</v>
      </c>
      <c r="T533" t="e">
        <f>IF(Table13[[#This Row],[Category All]]="Category 2", "Yes",NA())</f>
        <v>#N/A</v>
      </c>
      <c r="U533" t="str">
        <f>IF(Table13[[#This Row],[Category All]]="Category 3", "Yes",NA())</f>
        <v>Yes</v>
      </c>
      <c r="V533">
        <f>SUM(1,(1/3)*(Table13[[#This Row],[Length]]-0.5),(1/3)*(Table13[[#This Row],[Diameter]]-0.4),(1/3)*(Table13[[#This Row],[Height]]-0.4)*Table13[[#This Row],[Whole_weight]]*0.5)</f>
        <v>1.0059166666666666</v>
      </c>
      <c r="W533" cm="1">
        <f t="array" ref="W5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1.0059166666666666</v>
      </c>
      <c r="X533" t="e">
        <f>IF(Table13[[#This Row],[Category All]]="Category 1",Table13[[#This Row],[Base Abalone Value]]*1.5,NA())</f>
        <v>#N/A</v>
      </c>
      <c r="Y533" t="e">
        <f>IF(Table13[[#This Row],[Category All]]="Category 2",Table13[[#This Row],[Base Abalone Value]]*0.8,NA())</f>
        <v>#N/A</v>
      </c>
      <c r="Z533">
        <f>IF(Table13[[#This Row],[Category All]]="Category 3",Table13[[#This Row],[Base Abalone Value]],NA())</f>
        <v>1.0059166666666666</v>
      </c>
      <c r="AA533" s="2" t="e">
        <f>IF(Table13[[#This Row],[Gender]]="M",Table13[[#This Row],[Whole_weight]],NA())</f>
        <v>#N/A</v>
      </c>
      <c r="AB533" s="2">
        <f>IF(Table13[[#This Row],[Gender]]="F",Table13[[#This Row],[Whole_weight]],NA())</f>
        <v>0.93799999999999994</v>
      </c>
      <c r="AC533" s="2" t="e">
        <f>IF(Table13[[#This Row],[Gender]]="I",Table13[[#This Row],[Whole_weight]],NA())</f>
        <v>#N/A</v>
      </c>
      <c r="AD533" s="2" t="e">
        <f>IF(Table13[[#This Row],[Gender]]="M",Table13[[#This Row],[Diameter]],NA())</f>
        <v>#N/A</v>
      </c>
      <c r="AE533" s="2">
        <f>IF(Table13[[#This Row],[Gender]]="F",Table13[[#This Row],[Diameter]],NA())</f>
        <v>0.45</v>
      </c>
      <c r="AF533" s="2" t="e">
        <f>IF(Table13[[#This Row],[Gender]]="I",Table13[[#This Row],[Diameter]],NA())</f>
        <v>#N/A</v>
      </c>
    </row>
    <row r="534" spans="1:32" x14ac:dyDescent="0.2">
      <c r="A534">
        <v>3055</v>
      </c>
      <c r="B534" t="s">
        <v>15</v>
      </c>
      <c r="C534">
        <v>0.6</v>
      </c>
      <c r="D534">
        <v>0.45</v>
      </c>
      <c r="E534">
        <v>0.15</v>
      </c>
      <c r="F534">
        <v>0.86650000000000005</v>
      </c>
      <c r="G534">
        <v>0.3695</v>
      </c>
      <c r="H534">
        <v>0.19550000000000001</v>
      </c>
      <c r="I534">
        <v>0.255</v>
      </c>
      <c r="J534">
        <v>12</v>
      </c>
      <c r="K534">
        <v>6</v>
      </c>
      <c r="L534" t="s">
        <v>39</v>
      </c>
      <c r="M534" t="s">
        <v>40</v>
      </c>
      <c r="N534" t="s">
        <v>41</v>
      </c>
      <c r="O534">
        <v>4</v>
      </c>
      <c r="P534" t="s">
        <v>10</v>
      </c>
      <c r="Q534">
        <v>6.1</v>
      </c>
      <c r="R534" t="str" cm="1">
        <f t="array" ref="R5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34" t="e">
        <f>IF(Table13[[#This Row],[Category All]]="Category 1", "Yes",NA())</f>
        <v>#N/A</v>
      </c>
      <c r="T534" t="str">
        <f>IF(Table13[[#This Row],[Category All]]="Category 2", "Yes",NA())</f>
        <v>Yes</v>
      </c>
      <c r="U534" t="e">
        <f>IF(Table13[[#This Row],[Category All]]="Category 3", "Yes",NA())</f>
        <v>#N/A</v>
      </c>
      <c r="V534">
        <f>SUM(1,(1/3)*(Table13[[#This Row],[Length]]-0.5),(1/3)*(Table13[[#This Row],[Diameter]]-0.4),(1/3)*(Table13[[#This Row],[Height]]-0.4)*Table13[[#This Row],[Whole_weight]]*0.5)</f>
        <v>1.0138958333333332</v>
      </c>
      <c r="W534" cm="1">
        <f t="array" ref="W5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0.8111166666666666</v>
      </c>
      <c r="X534" t="e">
        <f>IF(Table13[[#This Row],[Category All]]="Category 1",Table13[[#This Row],[Base Abalone Value]]*1.5,NA())</f>
        <v>#N/A</v>
      </c>
      <c r="Y534">
        <f>IF(Table13[[#This Row],[Category All]]="Category 2",Table13[[#This Row],[Base Abalone Value]]*0.8,NA())</f>
        <v>0.8111166666666666</v>
      </c>
      <c r="Z534" t="e">
        <f>IF(Table13[[#This Row],[Category All]]="Category 3",Table13[[#This Row],[Base Abalone Value]],NA())</f>
        <v>#N/A</v>
      </c>
      <c r="AA534" s="2">
        <f>IF(Table13[[#This Row],[Gender]]="M",Table13[[#This Row],[Whole_weight]],NA())</f>
        <v>0.86650000000000005</v>
      </c>
      <c r="AB534" s="2" t="e">
        <f>IF(Table13[[#This Row],[Gender]]="F",Table13[[#This Row],[Whole_weight]],NA())</f>
        <v>#N/A</v>
      </c>
      <c r="AC534" s="2" t="e">
        <f>IF(Table13[[#This Row],[Gender]]="I",Table13[[#This Row],[Whole_weight]],NA())</f>
        <v>#N/A</v>
      </c>
      <c r="AD534" s="2">
        <f>IF(Table13[[#This Row],[Gender]]="M",Table13[[#This Row],[Diameter]],NA())</f>
        <v>0.45</v>
      </c>
      <c r="AE534" s="2" t="e">
        <f>IF(Table13[[#This Row],[Gender]]="F",Table13[[#This Row],[Diameter]],NA())</f>
        <v>#N/A</v>
      </c>
      <c r="AF534" s="2" t="e">
        <f>IF(Table13[[#This Row],[Gender]]="I",Table13[[#This Row],[Diameter]],NA())</f>
        <v>#N/A</v>
      </c>
    </row>
    <row r="535" spans="1:32" x14ac:dyDescent="0.2">
      <c r="A535">
        <v>1225</v>
      </c>
      <c r="B535" t="s">
        <v>11</v>
      </c>
      <c r="C535">
        <v>0.34499999999999997</v>
      </c>
      <c r="D535">
        <v>0.255</v>
      </c>
      <c r="E535">
        <v>9.5000000000000001E-2</v>
      </c>
      <c r="F535">
        <v>0.19450000000000001</v>
      </c>
      <c r="G535">
        <v>9.2499999999999999E-2</v>
      </c>
      <c r="H535">
        <v>3.6999999999999998E-2</v>
      </c>
      <c r="I535">
        <v>5.5E-2</v>
      </c>
      <c r="J535">
        <v>6</v>
      </c>
      <c r="K535">
        <v>7</v>
      </c>
      <c r="L535" t="s">
        <v>35</v>
      </c>
      <c r="M535" t="s">
        <v>36</v>
      </c>
      <c r="N535" t="s">
        <v>37</v>
      </c>
      <c r="O535">
        <v>10</v>
      </c>
      <c r="P535" t="s">
        <v>38</v>
      </c>
      <c r="Q535">
        <v>24.1</v>
      </c>
      <c r="R535" t="str" cm="1">
        <f t="array" ref="R5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35" t="e">
        <f>IF(Table13[[#This Row],[Category All]]="Category 1", "Yes",NA())</f>
        <v>#N/A</v>
      </c>
      <c r="T535" t="str">
        <f>IF(Table13[[#This Row],[Category All]]="Category 2", "Yes",NA())</f>
        <v>Yes</v>
      </c>
      <c r="U535" t="e">
        <f>IF(Table13[[#This Row],[Category All]]="Category 3", "Yes",NA())</f>
        <v>#N/A</v>
      </c>
      <c r="V535">
        <f>SUM(1,(1/3)*(Table13[[#This Row],[Length]]-0.5),(1/3)*(Table13[[#This Row],[Diameter]]-0.4),(1/3)*(Table13[[#This Row],[Height]]-0.4)*Table13[[#This Row],[Whole_weight]]*0.5)</f>
        <v>0.8901129166666667</v>
      </c>
      <c r="W535" cm="1">
        <f t="array" ref="W5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0.71209033333333338</v>
      </c>
      <c r="X535" t="e">
        <f>IF(Table13[[#This Row],[Category All]]="Category 1",Table13[[#This Row],[Base Abalone Value]]*1.5,NA())</f>
        <v>#N/A</v>
      </c>
      <c r="Y535">
        <f>IF(Table13[[#This Row],[Category All]]="Category 2",Table13[[#This Row],[Base Abalone Value]]*0.8,NA())</f>
        <v>0.71209033333333338</v>
      </c>
      <c r="Z535" t="e">
        <f>IF(Table13[[#This Row],[Category All]]="Category 3",Table13[[#This Row],[Base Abalone Value]],NA())</f>
        <v>#N/A</v>
      </c>
      <c r="AA535" s="2" t="e">
        <f>IF(Table13[[#This Row],[Gender]]="M",Table13[[#This Row],[Whole_weight]],NA())</f>
        <v>#N/A</v>
      </c>
      <c r="AB535" s="2" t="e">
        <f>IF(Table13[[#This Row],[Gender]]="F",Table13[[#This Row],[Whole_weight]],NA())</f>
        <v>#N/A</v>
      </c>
      <c r="AC535" s="2">
        <f>IF(Table13[[#This Row],[Gender]]="I",Table13[[#This Row],[Whole_weight]],NA())</f>
        <v>0.19450000000000001</v>
      </c>
      <c r="AD535" s="2" t="e">
        <f>IF(Table13[[#This Row],[Gender]]="M",Table13[[#This Row],[Diameter]],NA())</f>
        <v>#N/A</v>
      </c>
      <c r="AE535" s="2" t="e">
        <f>IF(Table13[[#This Row],[Gender]]="F",Table13[[#This Row],[Diameter]],NA())</f>
        <v>#N/A</v>
      </c>
      <c r="AF535" s="2">
        <f>IF(Table13[[#This Row],[Gender]]="I",Table13[[#This Row],[Diameter]],NA())</f>
        <v>0.255</v>
      </c>
    </row>
    <row r="536" spans="1:32" x14ac:dyDescent="0.2">
      <c r="A536">
        <v>766</v>
      </c>
      <c r="B536" t="s">
        <v>15</v>
      </c>
      <c r="C536">
        <v>0.54500000000000004</v>
      </c>
      <c r="D536">
        <v>0.45</v>
      </c>
      <c r="E536">
        <v>0.15</v>
      </c>
      <c r="F536">
        <v>0.97799999999999998</v>
      </c>
      <c r="G536">
        <v>0.33650000000000002</v>
      </c>
      <c r="H536">
        <v>0.1905</v>
      </c>
      <c r="I536">
        <v>0.3</v>
      </c>
      <c r="J536">
        <v>11</v>
      </c>
      <c r="K536">
        <v>13</v>
      </c>
      <c r="L536" t="s">
        <v>12</v>
      </c>
      <c r="M536" t="s">
        <v>13</v>
      </c>
      <c r="N536" t="s">
        <v>3</v>
      </c>
      <c r="O536">
        <v>7</v>
      </c>
      <c r="P536" t="s">
        <v>42</v>
      </c>
      <c r="Q536">
        <v>2.5</v>
      </c>
      <c r="R536" t="str" cm="1">
        <f t="array" ref="R5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36" t="e">
        <f>IF(Table13[[#This Row],[Category All]]="Category 1", "Yes",NA())</f>
        <v>#N/A</v>
      </c>
      <c r="T536" t="str">
        <f>IF(Table13[[#This Row],[Category All]]="Category 2", "Yes",NA())</f>
        <v>Yes</v>
      </c>
      <c r="U536" t="e">
        <f>IF(Table13[[#This Row],[Category All]]="Category 3", "Yes",NA())</f>
        <v>#N/A</v>
      </c>
      <c r="V536">
        <f>SUM(1,(1/3)*(Table13[[#This Row],[Length]]-0.5),(1/3)*(Table13[[#This Row],[Diameter]]-0.4),(1/3)*(Table13[[#This Row],[Height]]-0.4)*Table13[[#This Row],[Whole_weight]]*0.5)</f>
        <v>0.99091666666666678</v>
      </c>
      <c r="W536" cm="1">
        <f t="array" ref="W5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0.79273333333333351</v>
      </c>
      <c r="X536" t="e">
        <f>IF(Table13[[#This Row],[Category All]]="Category 1",Table13[[#This Row],[Base Abalone Value]]*1.5,NA())</f>
        <v>#N/A</v>
      </c>
      <c r="Y536">
        <f>IF(Table13[[#This Row],[Category All]]="Category 2",Table13[[#This Row],[Base Abalone Value]]*0.8,NA())</f>
        <v>0.79273333333333351</v>
      </c>
      <c r="Z536" t="e">
        <f>IF(Table13[[#This Row],[Category All]]="Category 3",Table13[[#This Row],[Base Abalone Value]],NA())</f>
        <v>#N/A</v>
      </c>
      <c r="AA536" s="2">
        <f>IF(Table13[[#This Row],[Gender]]="M",Table13[[#This Row],[Whole_weight]],NA())</f>
        <v>0.97799999999999998</v>
      </c>
      <c r="AB536" s="2" t="e">
        <f>IF(Table13[[#This Row],[Gender]]="F",Table13[[#This Row],[Whole_weight]],NA())</f>
        <v>#N/A</v>
      </c>
      <c r="AC536" s="2" t="e">
        <f>IF(Table13[[#This Row],[Gender]]="I",Table13[[#This Row],[Whole_weight]],NA())</f>
        <v>#N/A</v>
      </c>
      <c r="AD536" s="2">
        <f>IF(Table13[[#This Row],[Gender]]="M",Table13[[#This Row],[Diameter]],NA())</f>
        <v>0.45</v>
      </c>
      <c r="AE536" s="2" t="e">
        <f>IF(Table13[[#This Row],[Gender]]="F",Table13[[#This Row],[Diameter]],NA())</f>
        <v>#N/A</v>
      </c>
      <c r="AF536" s="2" t="e">
        <f>IF(Table13[[#This Row],[Gender]]="I",Table13[[#This Row],[Diameter]],NA())</f>
        <v>#N/A</v>
      </c>
    </row>
    <row r="537" spans="1:32" x14ac:dyDescent="0.2">
      <c r="A537">
        <v>1159</v>
      </c>
      <c r="B537" t="s">
        <v>15</v>
      </c>
      <c r="C537">
        <v>0.60499999999999998</v>
      </c>
      <c r="D537">
        <v>0.47499999999999998</v>
      </c>
      <c r="E537">
        <v>0.14000000000000001</v>
      </c>
      <c r="F537">
        <v>1.1174999999999999</v>
      </c>
      <c r="G537">
        <v>0.55500000000000005</v>
      </c>
      <c r="H537">
        <v>0.25700000000000001</v>
      </c>
      <c r="I537">
        <v>0.27400000000000002</v>
      </c>
      <c r="J537">
        <v>9</v>
      </c>
      <c r="K537">
        <v>7</v>
      </c>
      <c r="L537" t="s">
        <v>35</v>
      </c>
      <c r="M537" t="s">
        <v>36</v>
      </c>
      <c r="N537" t="s">
        <v>37</v>
      </c>
      <c r="O537">
        <v>5</v>
      </c>
      <c r="P537" t="s">
        <v>14</v>
      </c>
      <c r="Q537">
        <v>12.8</v>
      </c>
      <c r="R537" t="str" cm="1">
        <f t="array" ref="R5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37" t="e">
        <f>IF(Table13[[#This Row],[Category All]]="Category 1", "Yes",NA())</f>
        <v>#N/A</v>
      </c>
      <c r="T537" t="e">
        <f>IF(Table13[[#This Row],[Category All]]="Category 2", "Yes",NA())</f>
        <v>#N/A</v>
      </c>
      <c r="U537" t="str">
        <f>IF(Table13[[#This Row],[Category All]]="Category 3", "Yes",NA())</f>
        <v>Yes</v>
      </c>
      <c r="V537">
        <f>SUM(1,(1/3)*(Table13[[#This Row],[Length]]-0.5),(1/3)*(Table13[[#This Row],[Diameter]]-0.4),(1/3)*(Table13[[#This Row],[Height]]-0.4)*Table13[[#This Row],[Whole_weight]]*0.5)</f>
        <v>1.0115749999999999</v>
      </c>
      <c r="W537" cm="1">
        <f t="array" ref="W5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1.0115749999999999</v>
      </c>
      <c r="X537" t="e">
        <f>IF(Table13[[#This Row],[Category All]]="Category 1",Table13[[#This Row],[Base Abalone Value]]*1.5,NA())</f>
        <v>#N/A</v>
      </c>
      <c r="Y537" t="e">
        <f>IF(Table13[[#This Row],[Category All]]="Category 2",Table13[[#This Row],[Base Abalone Value]]*0.8,NA())</f>
        <v>#N/A</v>
      </c>
      <c r="Z537">
        <f>IF(Table13[[#This Row],[Category All]]="Category 3",Table13[[#This Row],[Base Abalone Value]],NA())</f>
        <v>1.0115749999999999</v>
      </c>
      <c r="AA537" s="2">
        <f>IF(Table13[[#This Row],[Gender]]="M",Table13[[#This Row],[Whole_weight]],NA())</f>
        <v>1.1174999999999999</v>
      </c>
      <c r="AB537" s="2" t="e">
        <f>IF(Table13[[#This Row],[Gender]]="F",Table13[[#This Row],[Whole_weight]],NA())</f>
        <v>#N/A</v>
      </c>
      <c r="AC537" s="2" t="e">
        <f>IF(Table13[[#This Row],[Gender]]="I",Table13[[#This Row],[Whole_weight]],NA())</f>
        <v>#N/A</v>
      </c>
      <c r="AD537" s="2">
        <f>IF(Table13[[#This Row],[Gender]]="M",Table13[[#This Row],[Diameter]],NA())</f>
        <v>0.47499999999999998</v>
      </c>
      <c r="AE537" s="2" t="e">
        <f>IF(Table13[[#This Row],[Gender]]="F",Table13[[#This Row],[Diameter]],NA())</f>
        <v>#N/A</v>
      </c>
      <c r="AF537" s="2" t="e">
        <f>IF(Table13[[#This Row],[Gender]]="I",Table13[[#This Row],[Diameter]],NA())</f>
        <v>#N/A</v>
      </c>
    </row>
    <row r="538" spans="1:32" x14ac:dyDescent="0.2">
      <c r="A538">
        <v>2359</v>
      </c>
      <c r="B538" t="s">
        <v>0</v>
      </c>
      <c r="C538">
        <v>0.61</v>
      </c>
      <c r="D538">
        <v>0.48499999999999999</v>
      </c>
      <c r="E538">
        <v>0.21</v>
      </c>
      <c r="F538">
        <v>1.3445</v>
      </c>
      <c r="G538">
        <v>0.53500000000000003</v>
      </c>
      <c r="H538">
        <v>0.2205</v>
      </c>
      <c r="I538">
        <v>0.51500000000000001</v>
      </c>
      <c r="J538">
        <v>20</v>
      </c>
      <c r="K538">
        <v>8</v>
      </c>
      <c r="L538" t="s">
        <v>29</v>
      </c>
      <c r="M538" t="s">
        <v>30</v>
      </c>
      <c r="N538" t="s">
        <v>31</v>
      </c>
      <c r="O538">
        <v>1</v>
      </c>
      <c r="P538" t="s">
        <v>4</v>
      </c>
      <c r="Q538">
        <v>22.1</v>
      </c>
      <c r="R538" t="str" cm="1">
        <f t="array" ref="R5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38" t="e">
        <f>IF(Table13[[#This Row],[Category All]]="Category 1", "Yes",NA())</f>
        <v>#N/A</v>
      </c>
      <c r="T538" t="str">
        <f>IF(Table13[[#This Row],[Category All]]="Category 2", "Yes",NA())</f>
        <v>Yes</v>
      </c>
      <c r="U538" t="e">
        <f>IF(Table13[[#This Row],[Category All]]="Category 3", "Yes",NA())</f>
        <v>#N/A</v>
      </c>
      <c r="V538">
        <f>SUM(1,(1/3)*(Table13[[#This Row],[Length]]-0.5),(1/3)*(Table13[[#This Row],[Diameter]]-0.4),(1/3)*(Table13[[#This Row],[Height]]-0.4)*Table13[[#This Row],[Whole_weight]]*0.5)</f>
        <v>1.0224241666666667</v>
      </c>
      <c r="W538" cm="1">
        <f t="array" ref="W5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0.81793933333333335</v>
      </c>
      <c r="X538" t="e">
        <f>IF(Table13[[#This Row],[Category All]]="Category 1",Table13[[#This Row],[Base Abalone Value]]*1.5,NA())</f>
        <v>#N/A</v>
      </c>
      <c r="Y538">
        <f>IF(Table13[[#This Row],[Category All]]="Category 2",Table13[[#This Row],[Base Abalone Value]]*0.8,NA())</f>
        <v>0.81793933333333335</v>
      </c>
      <c r="Z538" t="e">
        <f>IF(Table13[[#This Row],[Category All]]="Category 3",Table13[[#This Row],[Base Abalone Value]],NA())</f>
        <v>#N/A</v>
      </c>
      <c r="AA538" s="2" t="e">
        <f>IF(Table13[[#This Row],[Gender]]="M",Table13[[#This Row],[Whole_weight]],NA())</f>
        <v>#N/A</v>
      </c>
      <c r="AB538" s="2">
        <f>IF(Table13[[#This Row],[Gender]]="F",Table13[[#This Row],[Whole_weight]],NA())</f>
        <v>1.3445</v>
      </c>
      <c r="AC538" s="2" t="e">
        <f>IF(Table13[[#This Row],[Gender]]="I",Table13[[#This Row],[Whole_weight]],NA())</f>
        <v>#N/A</v>
      </c>
      <c r="AD538" s="2" t="e">
        <f>IF(Table13[[#This Row],[Gender]]="M",Table13[[#This Row],[Diameter]],NA())</f>
        <v>#N/A</v>
      </c>
      <c r="AE538" s="2">
        <f>IF(Table13[[#This Row],[Gender]]="F",Table13[[#This Row],[Diameter]],NA())</f>
        <v>0.48499999999999999</v>
      </c>
      <c r="AF538" s="2" t="e">
        <f>IF(Table13[[#This Row],[Gender]]="I",Table13[[#This Row],[Diameter]],NA())</f>
        <v>#N/A</v>
      </c>
    </row>
    <row r="539" spans="1:32" x14ac:dyDescent="0.2">
      <c r="A539">
        <v>1065</v>
      </c>
      <c r="B539" t="s">
        <v>11</v>
      </c>
      <c r="C539">
        <v>0.3</v>
      </c>
      <c r="D539">
        <v>0.22</v>
      </c>
      <c r="E539">
        <v>0.08</v>
      </c>
      <c r="F539">
        <v>0.1255</v>
      </c>
      <c r="G539">
        <v>5.5E-2</v>
      </c>
      <c r="H539">
        <v>2.6499999999999999E-2</v>
      </c>
      <c r="I539">
        <v>3.9E-2</v>
      </c>
      <c r="J539">
        <v>6</v>
      </c>
      <c r="K539">
        <v>12</v>
      </c>
      <c r="L539" t="s">
        <v>1</v>
      </c>
      <c r="M539" t="s">
        <v>2</v>
      </c>
      <c r="N539" t="s">
        <v>3</v>
      </c>
      <c r="O539">
        <v>3</v>
      </c>
      <c r="P539" t="s">
        <v>48</v>
      </c>
      <c r="Q539">
        <v>3.6</v>
      </c>
      <c r="R539" t="str" cm="1">
        <f t="array" ref="R5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39" t="e">
        <f>IF(Table13[[#This Row],[Category All]]="Category 1", "Yes",NA())</f>
        <v>#N/A</v>
      </c>
      <c r="T539" t="str">
        <f>IF(Table13[[#This Row],[Category All]]="Category 2", "Yes",NA())</f>
        <v>Yes</v>
      </c>
      <c r="U539" t="e">
        <f>IF(Table13[[#This Row],[Category All]]="Category 3", "Yes",NA())</f>
        <v>#N/A</v>
      </c>
      <c r="V539">
        <f>SUM(1,(1/3)*(Table13[[#This Row],[Length]]-0.5),(1/3)*(Table13[[#This Row],[Diameter]]-0.4),(1/3)*(Table13[[#This Row],[Height]]-0.4)*Table13[[#This Row],[Whole_weight]]*0.5)</f>
        <v>0.86663999999999997</v>
      </c>
      <c r="W539" cm="1">
        <f t="array" ref="W5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0.69331200000000004</v>
      </c>
      <c r="X539" t="e">
        <f>IF(Table13[[#This Row],[Category All]]="Category 1",Table13[[#This Row],[Base Abalone Value]]*1.5,NA())</f>
        <v>#N/A</v>
      </c>
      <c r="Y539">
        <f>IF(Table13[[#This Row],[Category All]]="Category 2",Table13[[#This Row],[Base Abalone Value]]*0.8,NA())</f>
        <v>0.69331200000000004</v>
      </c>
      <c r="Z539" t="e">
        <f>IF(Table13[[#This Row],[Category All]]="Category 3",Table13[[#This Row],[Base Abalone Value]],NA())</f>
        <v>#N/A</v>
      </c>
      <c r="AA539" s="2" t="e">
        <f>IF(Table13[[#This Row],[Gender]]="M",Table13[[#This Row],[Whole_weight]],NA())</f>
        <v>#N/A</v>
      </c>
      <c r="AB539" s="2" t="e">
        <f>IF(Table13[[#This Row],[Gender]]="F",Table13[[#This Row],[Whole_weight]],NA())</f>
        <v>#N/A</v>
      </c>
      <c r="AC539" s="2">
        <f>IF(Table13[[#This Row],[Gender]]="I",Table13[[#This Row],[Whole_weight]],NA())</f>
        <v>0.1255</v>
      </c>
      <c r="AD539" s="2" t="e">
        <f>IF(Table13[[#This Row],[Gender]]="M",Table13[[#This Row],[Diameter]],NA())</f>
        <v>#N/A</v>
      </c>
      <c r="AE539" s="2" t="e">
        <f>IF(Table13[[#This Row],[Gender]]="F",Table13[[#This Row],[Diameter]],NA())</f>
        <v>#N/A</v>
      </c>
      <c r="AF539" s="2">
        <f>IF(Table13[[#This Row],[Gender]]="I",Table13[[#This Row],[Diameter]],NA())</f>
        <v>0.22</v>
      </c>
    </row>
    <row r="540" spans="1:32" x14ac:dyDescent="0.2">
      <c r="A540">
        <v>406</v>
      </c>
      <c r="B540" t="s">
        <v>0</v>
      </c>
      <c r="C540">
        <v>0.52500000000000002</v>
      </c>
      <c r="D540">
        <v>0.44</v>
      </c>
      <c r="E540">
        <v>0.15</v>
      </c>
      <c r="F540">
        <v>0.84250000000000003</v>
      </c>
      <c r="G540">
        <v>0.36849999999999999</v>
      </c>
      <c r="H540">
        <v>0.19850000000000001</v>
      </c>
      <c r="I540">
        <v>0.24</v>
      </c>
      <c r="J540">
        <v>12</v>
      </c>
      <c r="K540">
        <v>12</v>
      </c>
      <c r="L540" t="s">
        <v>1</v>
      </c>
      <c r="M540" t="s">
        <v>2</v>
      </c>
      <c r="N540" t="s">
        <v>3</v>
      </c>
      <c r="O540">
        <v>2</v>
      </c>
      <c r="P540" t="s">
        <v>7</v>
      </c>
      <c r="Q540">
        <v>18</v>
      </c>
      <c r="R540" t="str" cm="1">
        <f t="array" ref="R5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40" t="e">
        <f>IF(Table13[[#This Row],[Category All]]="Category 1", "Yes",NA())</f>
        <v>#N/A</v>
      </c>
      <c r="T540" t="str">
        <f>IF(Table13[[#This Row],[Category All]]="Category 2", "Yes",NA())</f>
        <v>Yes</v>
      </c>
      <c r="U540" t="e">
        <f>IF(Table13[[#This Row],[Category All]]="Category 3", "Yes",NA())</f>
        <v>#N/A</v>
      </c>
      <c r="V540">
        <f>SUM(1,(1/3)*(Table13[[#This Row],[Length]]-0.5),(1/3)*(Table13[[#This Row],[Diameter]]-0.4),(1/3)*(Table13[[#This Row],[Height]]-0.4)*Table13[[#This Row],[Whole_weight]]*0.5)</f>
        <v>0.98656250000000001</v>
      </c>
      <c r="W540" cm="1">
        <f t="array" ref="W5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0.78925000000000001</v>
      </c>
      <c r="X540" t="e">
        <f>IF(Table13[[#This Row],[Category All]]="Category 1",Table13[[#This Row],[Base Abalone Value]]*1.5,NA())</f>
        <v>#N/A</v>
      </c>
      <c r="Y540">
        <f>IF(Table13[[#This Row],[Category All]]="Category 2",Table13[[#This Row],[Base Abalone Value]]*0.8,NA())</f>
        <v>0.78925000000000001</v>
      </c>
      <c r="Z540" t="e">
        <f>IF(Table13[[#This Row],[Category All]]="Category 3",Table13[[#This Row],[Base Abalone Value]],NA())</f>
        <v>#N/A</v>
      </c>
      <c r="AA540" s="2" t="e">
        <f>IF(Table13[[#This Row],[Gender]]="M",Table13[[#This Row],[Whole_weight]],NA())</f>
        <v>#N/A</v>
      </c>
      <c r="AB540" s="2">
        <f>IF(Table13[[#This Row],[Gender]]="F",Table13[[#This Row],[Whole_weight]],NA())</f>
        <v>0.84250000000000003</v>
      </c>
      <c r="AC540" s="2" t="e">
        <f>IF(Table13[[#This Row],[Gender]]="I",Table13[[#This Row],[Whole_weight]],NA())</f>
        <v>#N/A</v>
      </c>
      <c r="AD540" s="2" t="e">
        <f>IF(Table13[[#This Row],[Gender]]="M",Table13[[#This Row],[Diameter]],NA())</f>
        <v>#N/A</v>
      </c>
      <c r="AE540" s="2">
        <f>IF(Table13[[#This Row],[Gender]]="F",Table13[[#This Row],[Diameter]],NA())</f>
        <v>0.44</v>
      </c>
      <c r="AF540" s="2" t="e">
        <f>IF(Table13[[#This Row],[Gender]]="I",Table13[[#This Row],[Diameter]],NA())</f>
        <v>#N/A</v>
      </c>
    </row>
    <row r="541" spans="1:32" x14ac:dyDescent="0.2">
      <c r="A541">
        <v>717</v>
      </c>
      <c r="B541" t="s">
        <v>11</v>
      </c>
      <c r="C541">
        <v>0.28999999999999998</v>
      </c>
      <c r="D541">
        <v>0.20499999999999999</v>
      </c>
      <c r="E541">
        <v>7.0000000000000007E-2</v>
      </c>
      <c r="F541">
        <v>9.7500000000000003E-2</v>
      </c>
      <c r="G541">
        <v>3.5999999999999997E-2</v>
      </c>
      <c r="H541">
        <v>1.9E-2</v>
      </c>
      <c r="I541">
        <v>3.5000000000000003E-2</v>
      </c>
      <c r="J541">
        <v>8</v>
      </c>
      <c r="K541">
        <v>6</v>
      </c>
      <c r="L541" t="s">
        <v>39</v>
      </c>
      <c r="M541" t="s">
        <v>40</v>
      </c>
      <c r="N541" t="s">
        <v>41</v>
      </c>
      <c r="O541">
        <v>6</v>
      </c>
      <c r="P541" t="s">
        <v>47</v>
      </c>
      <c r="Q541">
        <v>14.1</v>
      </c>
      <c r="R541" t="str" cm="1">
        <f t="array" ref="R5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41" t="e">
        <f>IF(Table13[[#This Row],[Category All]]="Category 1", "Yes",NA())</f>
        <v>#N/A</v>
      </c>
      <c r="T541" t="str">
        <f>IF(Table13[[#This Row],[Category All]]="Category 2", "Yes",NA())</f>
        <v>Yes</v>
      </c>
      <c r="U541" t="e">
        <f>IF(Table13[[#This Row],[Category All]]="Category 3", "Yes",NA())</f>
        <v>#N/A</v>
      </c>
      <c r="V541">
        <f>SUM(1,(1/3)*(Table13[[#This Row],[Length]]-0.5),(1/3)*(Table13[[#This Row],[Diameter]]-0.4),(1/3)*(Table13[[#This Row],[Height]]-0.4)*Table13[[#This Row],[Whole_weight]]*0.5)</f>
        <v>0.85963749999999994</v>
      </c>
      <c r="W541" cm="1">
        <f t="array" ref="W5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0.68771000000000004</v>
      </c>
      <c r="X541" t="e">
        <f>IF(Table13[[#This Row],[Category All]]="Category 1",Table13[[#This Row],[Base Abalone Value]]*1.5,NA())</f>
        <v>#N/A</v>
      </c>
      <c r="Y541">
        <f>IF(Table13[[#This Row],[Category All]]="Category 2",Table13[[#This Row],[Base Abalone Value]]*0.8,NA())</f>
        <v>0.68771000000000004</v>
      </c>
      <c r="Z541" t="e">
        <f>IF(Table13[[#This Row],[Category All]]="Category 3",Table13[[#This Row],[Base Abalone Value]],NA())</f>
        <v>#N/A</v>
      </c>
      <c r="AA541" s="2" t="e">
        <f>IF(Table13[[#This Row],[Gender]]="M",Table13[[#This Row],[Whole_weight]],NA())</f>
        <v>#N/A</v>
      </c>
      <c r="AB541" s="2" t="e">
        <f>IF(Table13[[#This Row],[Gender]]="F",Table13[[#This Row],[Whole_weight]],NA())</f>
        <v>#N/A</v>
      </c>
      <c r="AC541" s="2">
        <f>IF(Table13[[#This Row],[Gender]]="I",Table13[[#This Row],[Whole_weight]],NA())</f>
        <v>9.7500000000000003E-2</v>
      </c>
      <c r="AD541" s="2" t="e">
        <f>IF(Table13[[#This Row],[Gender]]="M",Table13[[#This Row],[Diameter]],NA())</f>
        <v>#N/A</v>
      </c>
      <c r="AE541" s="2" t="e">
        <f>IF(Table13[[#This Row],[Gender]]="F",Table13[[#This Row],[Diameter]],NA())</f>
        <v>#N/A</v>
      </c>
      <c r="AF541" s="2">
        <f>IF(Table13[[#This Row],[Gender]]="I",Table13[[#This Row],[Diameter]],NA())</f>
        <v>0.20499999999999999</v>
      </c>
    </row>
    <row r="542" spans="1:32" x14ac:dyDescent="0.2">
      <c r="A542">
        <v>3263</v>
      </c>
      <c r="B542" t="s">
        <v>0</v>
      </c>
      <c r="C542">
        <v>0.59499999999999997</v>
      </c>
      <c r="D542">
        <v>0.48499999999999999</v>
      </c>
      <c r="E542">
        <v>0.14499999999999999</v>
      </c>
      <c r="F542">
        <v>1.2515000000000001</v>
      </c>
      <c r="G542">
        <v>0.50349999999999995</v>
      </c>
      <c r="H542">
        <v>0.29249999999999998</v>
      </c>
      <c r="I542">
        <v>0.33</v>
      </c>
      <c r="J542">
        <v>14</v>
      </c>
      <c r="K542">
        <v>10</v>
      </c>
      <c r="L542" t="s">
        <v>16</v>
      </c>
      <c r="M542" t="s">
        <v>17</v>
      </c>
      <c r="N542" t="s">
        <v>18</v>
      </c>
      <c r="O542">
        <v>8</v>
      </c>
      <c r="P542" t="s">
        <v>19</v>
      </c>
      <c r="Q542">
        <v>12.3</v>
      </c>
      <c r="R542" t="str" cm="1">
        <f t="array" ref="R5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42" t="e">
        <f>IF(Table13[[#This Row],[Category All]]="Category 1", "Yes",NA())</f>
        <v>#N/A</v>
      </c>
      <c r="T542" t="e">
        <f>IF(Table13[[#This Row],[Category All]]="Category 2", "Yes",NA())</f>
        <v>#N/A</v>
      </c>
      <c r="U542" t="str">
        <f>IF(Table13[[#This Row],[Category All]]="Category 3", "Yes",NA())</f>
        <v>Yes</v>
      </c>
      <c r="V542">
        <f>SUM(1,(1/3)*(Table13[[#This Row],[Length]]-0.5),(1/3)*(Table13[[#This Row],[Diameter]]-0.4),(1/3)*(Table13[[#This Row],[Height]]-0.4)*Table13[[#This Row],[Whole_weight]]*0.5)</f>
        <v>1.0068112500000002</v>
      </c>
      <c r="W542" cm="1">
        <f t="array" ref="W5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1.0068112500000002</v>
      </c>
      <c r="X542" t="e">
        <f>IF(Table13[[#This Row],[Category All]]="Category 1",Table13[[#This Row],[Base Abalone Value]]*1.5,NA())</f>
        <v>#N/A</v>
      </c>
      <c r="Y542" t="e">
        <f>IF(Table13[[#This Row],[Category All]]="Category 2",Table13[[#This Row],[Base Abalone Value]]*0.8,NA())</f>
        <v>#N/A</v>
      </c>
      <c r="Z542">
        <f>IF(Table13[[#This Row],[Category All]]="Category 3",Table13[[#This Row],[Base Abalone Value]],NA())</f>
        <v>1.0068112500000002</v>
      </c>
      <c r="AA542" s="2" t="e">
        <f>IF(Table13[[#This Row],[Gender]]="M",Table13[[#This Row],[Whole_weight]],NA())</f>
        <v>#N/A</v>
      </c>
      <c r="AB542" s="2">
        <f>IF(Table13[[#This Row],[Gender]]="F",Table13[[#This Row],[Whole_weight]],NA())</f>
        <v>1.2515000000000001</v>
      </c>
      <c r="AC542" s="2" t="e">
        <f>IF(Table13[[#This Row],[Gender]]="I",Table13[[#This Row],[Whole_weight]],NA())</f>
        <v>#N/A</v>
      </c>
      <c r="AD542" s="2" t="e">
        <f>IF(Table13[[#This Row],[Gender]]="M",Table13[[#This Row],[Diameter]],NA())</f>
        <v>#N/A</v>
      </c>
      <c r="AE542" s="2">
        <f>IF(Table13[[#This Row],[Gender]]="F",Table13[[#This Row],[Diameter]],NA())</f>
        <v>0.48499999999999999</v>
      </c>
      <c r="AF542" s="2" t="e">
        <f>IF(Table13[[#This Row],[Gender]]="I",Table13[[#This Row],[Diameter]],NA())</f>
        <v>#N/A</v>
      </c>
    </row>
    <row r="543" spans="1:32" x14ac:dyDescent="0.2">
      <c r="A543">
        <v>1098</v>
      </c>
      <c r="B543" t="s">
        <v>11</v>
      </c>
      <c r="C543">
        <v>0.48</v>
      </c>
      <c r="D543">
        <v>0.38</v>
      </c>
      <c r="E543">
        <v>0.125</v>
      </c>
      <c r="F543">
        <v>0.62450000000000006</v>
      </c>
      <c r="G543">
        <v>0.33950000000000002</v>
      </c>
      <c r="H543">
        <v>0.1085</v>
      </c>
      <c r="I543">
        <v>0.16650000000000001</v>
      </c>
      <c r="J543">
        <v>8</v>
      </c>
      <c r="K543">
        <v>5</v>
      </c>
      <c r="L543" t="s">
        <v>26</v>
      </c>
      <c r="M543" t="s">
        <v>27</v>
      </c>
      <c r="N543" t="s">
        <v>28</v>
      </c>
      <c r="O543">
        <v>4</v>
      </c>
      <c r="P543" t="s">
        <v>10</v>
      </c>
      <c r="Q543">
        <v>6.1</v>
      </c>
      <c r="R543" t="str" cm="1">
        <f t="array" ref="R5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43" t="e">
        <f>IF(Table13[[#This Row],[Category All]]="Category 1", "Yes",NA())</f>
        <v>#N/A</v>
      </c>
      <c r="T543" t="str">
        <f>IF(Table13[[#This Row],[Category All]]="Category 2", "Yes",NA())</f>
        <v>Yes</v>
      </c>
      <c r="U543" t="e">
        <f>IF(Table13[[#This Row],[Category All]]="Category 3", "Yes",NA())</f>
        <v>#N/A</v>
      </c>
      <c r="V543">
        <f>SUM(1,(1/3)*(Table13[[#This Row],[Length]]-0.5),(1/3)*(Table13[[#This Row],[Diameter]]-0.4),(1/3)*(Table13[[#This Row],[Height]]-0.4)*Table13[[#This Row],[Whole_weight]]*0.5)</f>
        <v>0.95804374999999986</v>
      </c>
      <c r="W543" cm="1">
        <f t="array" ref="W5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0.76643499999999998</v>
      </c>
      <c r="X543" t="e">
        <f>IF(Table13[[#This Row],[Category All]]="Category 1",Table13[[#This Row],[Base Abalone Value]]*1.5,NA())</f>
        <v>#N/A</v>
      </c>
      <c r="Y543">
        <f>IF(Table13[[#This Row],[Category All]]="Category 2",Table13[[#This Row],[Base Abalone Value]]*0.8,NA())</f>
        <v>0.76643499999999998</v>
      </c>
      <c r="Z543" t="e">
        <f>IF(Table13[[#This Row],[Category All]]="Category 3",Table13[[#This Row],[Base Abalone Value]],NA())</f>
        <v>#N/A</v>
      </c>
      <c r="AA543" s="2" t="e">
        <f>IF(Table13[[#This Row],[Gender]]="M",Table13[[#This Row],[Whole_weight]],NA())</f>
        <v>#N/A</v>
      </c>
      <c r="AB543" s="2" t="e">
        <f>IF(Table13[[#This Row],[Gender]]="F",Table13[[#This Row],[Whole_weight]],NA())</f>
        <v>#N/A</v>
      </c>
      <c r="AC543" s="2">
        <f>IF(Table13[[#This Row],[Gender]]="I",Table13[[#This Row],[Whole_weight]],NA())</f>
        <v>0.62450000000000006</v>
      </c>
      <c r="AD543" s="2" t="e">
        <f>IF(Table13[[#This Row],[Gender]]="M",Table13[[#This Row],[Diameter]],NA())</f>
        <v>#N/A</v>
      </c>
      <c r="AE543" s="2" t="e">
        <f>IF(Table13[[#This Row],[Gender]]="F",Table13[[#This Row],[Diameter]],NA())</f>
        <v>#N/A</v>
      </c>
      <c r="AF543" s="2">
        <f>IF(Table13[[#This Row],[Gender]]="I",Table13[[#This Row],[Diameter]],NA())</f>
        <v>0.38</v>
      </c>
    </row>
    <row r="544" spans="1:32" x14ac:dyDescent="0.2">
      <c r="A544">
        <v>4055</v>
      </c>
      <c r="B544" t="s">
        <v>0</v>
      </c>
      <c r="C544">
        <v>0.63500000000000001</v>
      </c>
      <c r="D544">
        <v>0.5</v>
      </c>
      <c r="E544">
        <v>0.18</v>
      </c>
      <c r="F544">
        <v>1.2565</v>
      </c>
      <c r="G544">
        <v>0.53900000000000003</v>
      </c>
      <c r="H544">
        <v>0.29199999999999998</v>
      </c>
      <c r="I544">
        <v>0.35</v>
      </c>
      <c r="J544">
        <v>10</v>
      </c>
      <c r="K544">
        <v>4</v>
      </c>
      <c r="L544" t="s">
        <v>52</v>
      </c>
      <c r="M544" t="s">
        <v>53</v>
      </c>
      <c r="N544" t="s">
        <v>54</v>
      </c>
      <c r="O544">
        <v>2</v>
      </c>
      <c r="P544" t="s">
        <v>7</v>
      </c>
      <c r="Q544">
        <v>18</v>
      </c>
      <c r="R544" t="str" cm="1">
        <f t="array" ref="R5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44" t="e">
        <f>IF(Table13[[#This Row],[Category All]]="Category 1", "Yes",NA())</f>
        <v>#N/A</v>
      </c>
      <c r="T544" t="e">
        <f>IF(Table13[[#This Row],[Category All]]="Category 2", "Yes",NA())</f>
        <v>#N/A</v>
      </c>
      <c r="U544" t="str">
        <f>IF(Table13[[#This Row],[Category All]]="Category 3", "Yes",NA())</f>
        <v>Yes</v>
      </c>
      <c r="V544">
        <f>SUM(1,(1/3)*(Table13[[#This Row],[Length]]-0.5),(1/3)*(Table13[[#This Row],[Diameter]]-0.4),(1/3)*(Table13[[#This Row],[Height]]-0.4)*Table13[[#This Row],[Whole_weight]]*0.5)</f>
        <v>1.0322616666666664</v>
      </c>
      <c r="W544" cm="1">
        <f t="array" ref="W5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1.0322616666666664</v>
      </c>
      <c r="X544" t="e">
        <f>IF(Table13[[#This Row],[Category All]]="Category 1",Table13[[#This Row],[Base Abalone Value]]*1.5,NA())</f>
        <v>#N/A</v>
      </c>
      <c r="Y544" t="e">
        <f>IF(Table13[[#This Row],[Category All]]="Category 2",Table13[[#This Row],[Base Abalone Value]]*0.8,NA())</f>
        <v>#N/A</v>
      </c>
      <c r="Z544">
        <f>IF(Table13[[#This Row],[Category All]]="Category 3",Table13[[#This Row],[Base Abalone Value]],NA())</f>
        <v>1.0322616666666664</v>
      </c>
      <c r="AA544" s="2" t="e">
        <f>IF(Table13[[#This Row],[Gender]]="M",Table13[[#This Row],[Whole_weight]],NA())</f>
        <v>#N/A</v>
      </c>
      <c r="AB544" s="2">
        <f>IF(Table13[[#This Row],[Gender]]="F",Table13[[#This Row],[Whole_weight]],NA())</f>
        <v>1.2565</v>
      </c>
      <c r="AC544" s="2" t="e">
        <f>IF(Table13[[#This Row],[Gender]]="I",Table13[[#This Row],[Whole_weight]],NA())</f>
        <v>#N/A</v>
      </c>
      <c r="AD544" s="2" t="e">
        <f>IF(Table13[[#This Row],[Gender]]="M",Table13[[#This Row],[Diameter]],NA())</f>
        <v>#N/A</v>
      </c>
      <c r="AE544" s="2">
        <f>IF(Table13[[#This Row],[Gender]]="F",Table13[[#This Row],[Diameter]],NA())</f>
        <v>0.5</v>
      </c>
      <c r="AF544" s="2" t="e">
        <f>IF(Table13[[#This Row],[Gender]]="I",Table13[[#This Row],[Diameter]],NA())</f>
        <v>#N/A</v>
      </c>
    </row>
    <row r="545" spans="1:32" x14ac:dyDescent="0.2">
      <c r="A545">
        <v>4129</v>
      </c>
      <c r="B545" t="s">
        <v>15</v>
      </c>
      <c r="C545">
        <v>0.55500000000000005</v>
      </c>
      <c r="D545">
        <v>0.435</v>
      </c>
      <c r="E545">
        <v>0.14499999999999999</v>
      </c>
      <c r="F545">
        <v>0.92049999999999998</v>
      </c>
      <c r="G545">
        <v>0.40400000000000003</v>
      </c>
      <c r="H545">
        <v>0.22750000000000001</v>
      </c>
      <c r="I545">
        <v>0.255</v>
      </c>
      <c r="J545">
        <v>8</v>
      </c>
      <c r="K545">
        <v>10</v>
      </c>
      <c r="L545" t="s">
        <v>16</v>
      </c>
      <c r="M545" t="s">
        <v>17</v>
      </c>
      <c r="N545" t="s">
        <v>18</v>
      </c>
      <c r="O545">
        <v>4</v>
      </c>
      <c r="P545" t="s">
        <v>10</v>
      </c>
      <c r="Q545">
        <v>6.1</v>
      </c>
      <c r="R545" t="str" cm="1">
        <f t="array" ref="R5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45" t="e">
        <f>IF(Table13[[#This Row],[Category All]]="Category 1", "Yes",NA())</f>
        <v>#N/A</v>
      </c>
      <c r="T545" t="e">
        <f>IF(Table13[[#This Row],[Category All]]="Category 2", "Yes",NA())</f>
        <v>#N/A</v>
      </c>
      <c r="U545" t="str">
        <f>IF(Table13[[#This Row],[Category All]]="Category 3", "Yes",NA())</f>
        <v>Yes</v>
      </c>
      <c r="V545">
        <f>SUM(1,(1/3)*(Table13[[#This Row],[Length]]-0.5),(1/3)*(Table13[[#This Row],[Diameter]]-0.4),(1/3)*(Table13[[#This Row],[Height]]-0.4)*Table13[[#This Row],[Whole_weight]]*0.5)</f>
        <v>0.99087875000000003</v>
      </c>
      <c r="W545" cm="1">
        <f t="array" ref="W5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0.99087875000000003</v>
      </c>
      <c r="X545" t="e">
        <f>IF(Table13[[#This Row],[Category All]]="Category 1",Table13[[#This Row],[Base Abalone Value]]*1.5,NA())</f>
        <v>#N/A</v>
      </c>
      <c r="Y545" t="e">
        <f>IF(Table13[[#This Row],[Category All]]="Category 2",Table13[[#This Row],[Base Abalone Value]]*0.8,NA())</f>
        <v>#N/A</v>
      </c>
      <c r="Z545">
        <f>IF(Table13[[#This Row],[Category All]]="Category 3",Table13[[#This Row],[Base Abalone Value]],NA())</f>
        <v>0.99087875000000003</v>
      </c>
      <c r="AA545" s="2">
        <f>IF(Table13[[#This Row],[Gender]]="M",Table13[[#This Row],[Whole_weight]],NA())</f>
        <v>0.92049999999999998</v>
      </c>
      <c r="AB545" s="2" t="e">
        <f>IF(Table13[[#This Row],[Gender]]="F",Table13[[#This Row],[Whole_weight]],NA())</f>
        <v>#N/A</v>
      </c>
      <c r="AC545" s="2" t="e">
        <f>IF(Table13[[#This Row],[Gender]]="I",Table13[[#This Row],[Whole_weight]],NA())</f>
        <v>#N/A</v>
      </c>
      <c r="AD545" s="2">
        <f>IF(Table13[[#This Row],[Gender]]="M",Table13[[#This Row],[Diameter]],NA())</f>
        <v>0.435</v>
      </c>
      <c r="AE545" s="2" t="e">
        <f>IF(Table13[[#This Row],[Gender]]="F",Table13[[#This Row],[Diameter]],NA())</f>
        <v>#N/A</v>
      </c>
      <c r="AF545" s="2" t="e">
        <f>IF(Table13[[#This Row],[Gender]]="I",Table13[[#This Row],[Diameter]],NA())</f>
        <v>#N/A</v>
      </c>
    </row>
    <row r="546" spans="1:32" x14ac:dyDescent="0.2">
      <c r="A546">
        <v>2143</v>
      </c>
      <c r="B546" t="s">
        <v>11</v>
      </c>
      <c r="C546">
        <v>0.46</v>
      </c>
      <c r="D546">
        <v>0.35</v>
      </c>
      <c r="E546">
        <v>0.11</v>
      </c>
      <c r="F546">
        <v>0.39450000000000002</v>
      </c>
      <c r="G546">
        <v>0.16850000000000001</v>
      </c>
      <c r="H546">
        <v>8.6499999999999994E-2</v>
      </c>
      <c r="I546">
        <v>0.125</v>
      </c>
      <c r="J546">
        <v>9</v>
      </c>
      <c r="K546">
        <v>2</v>
      </c>
      <c r="L546" t="s">
        <v>32</v>
      </c>
      <c r="M546" t="s">
        <v>33</v>
      </c>
      <c r="N546" t="s">
        <v>34</v>
      </c>
      <c r="O546">
        <v>6</v>
      </c>
      <c r="P546" t="s">
        <v>47</v>
      </c>
      <c r="Q546">
        <v>14.1</v>
      </c>
      <c r="R546" t="str" cm="1">
        <f t="array" ref="R5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46" t="e">
        <f>IF(Table13[[#This Row],[Category All]]="Category 1", "Yes",NA())</f>
        <v>#N/A</v>
      </c>
      <c r="T546" t="str">
        <f>IF(Table13[[#This Row],[Category All]]="Category 2", "Yes",NA())</f>
        <v>Yes</v>
      </c>
      <c r="U546" t="e">
        <f>IF(Table13[[#This Row],[Category All]]="Category 3", "Yes",NA())</f>
        <v>#N/A</v>
      </c>
      <c r="V546">
        <f>SUM(1,(1/3)*(Table13[[#This Row],[Length]]-0.5),(1/3)*(Table13[[#This Row],[Diameter]]-0.4),(1/3)*(Table13[[#This Row],[Height]]-0.4)*Table13[[#This Row],[Whole_weight]]*0.5)</f>
        <v>0.95093249999999996</v>
      </c>
      <c r="W546" cm="1">
        <f t="array" ref="W5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0.76074600000000003</v>
      </c>
      <c r="X546" t="e">
        <f>IF(Table13[[#This Row],[Category All]]="Category 1",Table13[[#This Row],[Base Abalone Value]]*1.5,NA())</f>
        <v>#N/A</v>
      </c>
      <c r="Y546">
        <f>IF(Table13[[#This Row],[Category All]]="Category 2",Table13[[#This Row],[Base Abalone Value]]*0.8,NA())</f>
        <v>0.76074600000000003</v>
      </c>
      <c r="Z546" t="e">
        <f>IF(Table13[[#This Row],[Category All]]="Category 3",Table13[[#This Row],[Base Abalone Value]],NA())</f>
        <v>#N/A</v>
      </c>
      <c r="AA546" s="2" t="e">
        <f>IF(Table13[[#This Row],[Gender]]="M",Table13[[#This Row],[Whole_weight]],NA())</f>
        <v>#N/A</v>
      </c>
      <c r="AB546" s="2" t="e">
        <f>IF(Table13[[#This Row],[Gender]]="F",Table13[[#This Row],[Whole_weight]],NA())</f>
        <v>#N/A</v>
      </c>
      <c r="AC546" s="2">
        <f>IF(Table13[[#This Row],[Gender]]="I",Table13[[#This Row],[Whole_weight]],NA())</f>
        <v>0.39450000000000002</v>
      </c>
      <c r="AD546" s="2" t="e">
        <f>IF(Table13[[#This Row],[Gender]]="M",Table13[[#This Row],[Diameter]],NA())</f>
        <v>#N/A</v>
      </c>
      <c r="AE546" s="2" t="e">
        <f>IF(Table13[[#This Row],[Gender]]="F",Table13[[#This Row],[Diameter]],NA())</f>
        <v>#N/A</v>
      </c>
      <c r="AF546" s="2">
        <f>IF(Table13[[#This Row],[Gender]]="I",Table13[[#This Row],[Diameter]],NA())</f>
        <v>0.35</v>
      </c>
    </row>
    <row r="547" spans="1:32" x14ac:dyDescent="0.2">
      <c r="A547">
        <v>1310</v>
      </c>
      <c r="B547" t="s">
        <v>11</v>
      </c>
      <c r="C547">
        <v>0.54500000000000004</v>
      </c>
      <c r="D547">
        <v>0.43</v>
      </c>
      <c r="E547">
        <v>0.15</v>
      </c>
      <c r="F547">
        <v>0.72850000000000004</v>
      </c>
      <c r="G547">
        <v>0.30199999999999999</v>
      </c>
      <c r="H547">
        <v>0.13150000000000001</v>
      </c>
      <c r="I547">
        <v>0.2545</v>
      </c>
      <c r="J547">
        <v>10</v>
      </c>
      <c r="K547">
        <v>8</v>
      </c>
      <c r="L547" t="s">
        <v>29</v>
      </c>
      <c r="M547" t="s">
        <v>30</v>
      </c>
      <c r="N547" t="s">
        <v>31</v>
      </c>
      <c r="O547">
        <v>4</v>
      </c>
      <c r="P547" t="s">
        <v>10</v>
      </c>
      <c r="Q547">
        <v>6.1</v>
      </c>
      <c r="R547" t="str" cm="1">
        <f t="array" ref="R5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47" t="e">
        <f>IF(Table13[[#This Row],[Category All]]="Category 1", "Yes",NA())</f>
        <v>#N/A</v>
      </c>
      <c r="T547" t="str">
        <f>IF(Table13[[#This Row],[Category All]]="Category 2", "Yes",NA())</f>
        <v>Yes</v>
      </c>
      <c r="U547" t="e">
        <f>IF(Table13[[#This Row],[Category All]]="Category 3", "Yes",NA())</f>
        <v>#N/A</v>
      </c>
      <c r="V547">
        <f>SUM(1,(1/3)*(Table13[[#This Row],[Length]]-0.5),(1/3)*(Table13[[#This Row],[Diameter]]-0.4),(1/3)*(Table13[[#This Row],[Height]]-0.4)*Table13[[#This Row],[Whole_weight]]*0.5)</f>
        <v>0.99464583333333345</v>
      </c>
      <c r="W547" cm="1">
        <f t="array" ref="W5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0.79571666666666685</v>
      </c>
      <c r="X547" t="e">
        <f>IF(Table13[[#This Row],[Category All]]="Category 1",Table13[[#This Row],[Base Abalone Value]]*1.5,NA())</f>
        <v>#N/A</v>
      </c>
      <c r="Y547">
        <f>IF(Table13[[#This Row],[Category All]]="Category 2",Table13[[#This Row],[Base Abalone Value]]*0.8,NA())</f>
        <v>0.79571666666666685</v>
      </c>
      <c r="Z547" t="e">
        <f>IF(Table13[[#This Row],[Category All]]="Category 3",Table13[[#This Row],[Base Abalone Value]],NA())</f>
        <v>#N/A</v>
      </c>
      <c r="AA547" s="2" t="e">
        <f>IF(Table13[[#This Row],[Gender]]="M",Table13[[#This Row],[Whole_weight]],NA())</f>
        <v>#N/A</v>
      </c>
      <c r="AB547" s="2" t="e">
        <f>IF(Table13[[#This Row],[Gender]]="F",Table13[[#This Row],[Whole_weight]],NA())</f>
        <v>#N/A</v>
      </c>
      <c r="AC547" s="2">
        <f>IF(Table13[[#This Row],[Gender]]="I",Table13[[#This Row],[Whole_weight]],NA())</f>
        <v>0.72850000000000004</v>
      </c>
      <c r="AD547" s="2" t="e">
        <f>IF(Table13[[#This Row],[Gender]]="M",Table13[[#This Row],[Diameter]],NA())</f>
        <v>#N/A</v>
      </c>
      <c r="AE547" s="2" t="e">
        <f>IF(Table13[[#This Row],[Gender]]="F",Table13[[#This Row],[Diameter]],NA())</f>
        <v>#N/A</v>
      </c>
      <c r="AF547" s="2">
        <f>IF(Table13[[#This Row],[Gender]]="I",Table13[[#This Row],[Diameter]],NA())</f>
        <v>0.43</v>
      </c>
    </row>
    <row r="548" spans="1:32" x14ac:dyDescent="0.2">
      <c r="A548">
        <v>1429</v>
      </c>
      <c r="B548" t="s">
        <v>0</v>
      </c>
      <c r="C548">
        <v>0.81499999999999995</v>
      </c>
      <c r="D548">
        <v>0.65</v>
      </c>
      <c r="E548">
        <v>0.25</v>
      </c>
      <c r="F548">
        <v>2.2549999999999999</v>
      </c>
      <c r="G548">
        <v>0.89049999999999996</v>
      </c>
      <c r="H548">
        <v>0.42</v>
      </c>
      <c r="I548">
        <v>0.79749999999999999</v>
      </c>
      <c r="J548">
        <v>14</v>
      </c>
      <c r="K548">
        <v>12</v>
      </c>
      <c r="L548" t="s">
        <v>1</v>
      </c>
      <c r="M548" t="s">
        <v>2</v>
      </c>
      <c r="N548" t="s">
        <v>3</v>
      </c>
      <c r="O548">
        <v>4</v>
      </c>
      <c r="P548" t="s">
        <v>10</v>
      </c>
      <c r="Q548">
        <v>6.1</v>
      </c>
      <c r="R548" t="str" cm="1">
        <f t="array" ref="R5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48" t="e">
        <f>IF(Table13[[#This Row],[Category All]]="Category 1", "Yes",NA())</f>
        <v>#N/A</v>
      </c>
      <c r="T548" t="e">
        <f>IF(Table13[[#This Row],[Category All]]="Category 2", "Yes",NA())</f>
        <v>#N/A</v>
      </c>
      <c r="U548" t="str">
        <f>IF(Table13[[#This Row],[Category All]]="Category 3", "Yes",NA())</f>
        <v>Yes</v>
      </c>
      <c r="V548">
        <f>SUM(1,(1/3)*(Table13[[#This Row],[Length]]-0.5),(1/3)*(Table13[[#This Row],[Diameter]]-0.4),(1/3)*(Table13[[#This Row],[Height]]-0.4)*Table13[[#This Row],[Whole_weight]]*0.5)</f>
        <v>1.1319583333333332</v>
      </c>
      <c r="W548" cm="1">
        <f t="array" ref="W5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1.1319583333333332</v>
      </c>
      <c r="X548" t="e">
        <f>IF(Table13[[#This Row],[Category All]]="Category 1",Table13[[#This Row],[Base Abalone Value]]*1.5,NA())</f>
        <v>#N/A</v>
      </c>
      <c r="Y548" t="e">
        <f>IF(Table13[[#This Row],[Category All]]="Category 2",Table13[[#This Row],[Base Abalone Value]]*0.8,NA())</f>
        <v>#N/A</v>
      </c>
      <c r="Z548">
        <f>IF(Table13[[#This Row],[Category All]]="Category 3",Table13[[#This Row],[Base Abalone Value]],NA())</f>
        <v>1.1319583333333332</v>
      </c>
      <c r="AA548" s="2" t="e">
        <f>IF(Table13[[#This Row],[Gender]]="M",Table13[[#This Row],[Whole_weight]],NA())</f>
        <v>#N/A</v>
      </c>
      <c r="AB548" s="2">
        <f>IF(Table13[[#This Row],[Gender]]="F",Table13[[#This Row],[Whole_weight]],NA())</f>
        <v>2.2549999999999999</v>
      </c>
      <c r="AC548" s="2" t="e">
        <f>IF(Table13[[#This Row],[Gender]]="I",Table13[[#This Row],[Whole_weight]],NA())</f>
        <v>#N/A</v>
      </c>
      <c r="AD548" s="2" t="e">
        <f>IF(Table13[[#This Row],[Gender]]="M",Table13[[#This Row],[Diameter]],NA())</f>
        <v>#N/A</v>
      </c>
      <c r="AE548" s="2">
        <f>IF(Table13[[#This Row],[Gender]]="F",Table13[[#This Row],[Diameter]],NA())</f>
        <v>0.65</v>
      </c>
      <c r="AF548" s="2" t="e">
        <f>IF(Table13[[#This Row],[Gender]]="I",Table13[[#This Row],[Diameter]],NA())</f>
        <v>#N/A</v>
      </c>
    </row>
    <row r="549" spans="1:32" x14ac:dyDescent="0.2">
      <c r="A549">
        <v>442</v>
      </c>
      <c r="B549" t="s">
        <v>11</v>
      </c>
      <c r="C549">
        <v>0.33500000000000002</v>
      </c>
      <c r="D549">
        <v>0.26</v>
      </c>
      <c r="E549">
        <v>0.1</v>
      </c>
      <c r="F549">
        <v>0.192</v>
      </c>
      <c r="G549">
        <v>7.85E-2</v>
      </c>
      <c r="H549">
        <v>5.8500000000000003E-2</v>
      </c>
      <c r="I549">
        <v>7.0000000000000007E-2</v>
      </c>
      <c r="J549">
        <v>8</v>
      </c>
      <c r="K549">
        <v>15</v>
      </c>
      <c r="L549" t="s">
        <v>49</v>
      </c>
      <c r="M549" t="s">
        <v>50</v>
      </c>
      <c r="N549" t="s">
        <v>3</v>
      </c>
      <c r="O549">
        <v>9</v>
      </c>
      <c r="P549" t="s">
        <v>46</v>
      </c>
      <c r="Q549">
        <v>1.9</v>
      </c>
      <c r="R549" t="str" cm="1">
        <f t="array" ref="R5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49" t="e">
        <f>IF(Table13[[#This Row],[Category All]]="Category 1", "Yes",NA())</f>
        <v>#N/A</v>
      </c>
      <c r="T549" t="str">
        <f>IF(Table13[[#This Row],[Category All]]="Category 2", "Yes",NA())</f>
        <v>Yes</v>
      </c>
      <c r="U549" t="e">
        <f>IF(Table13[[#This Row],[Category All]]="Category 3", "Yes",NA())</f>
        <v>#N/A</v>
      </c>
      <c r="V549">
        <f>SUM(1,(1/3)*(Table13[[#This Row],[Length]]-0.5),(1/3)*(Table13[[#This Row],[Diameter]]-0.4),(1/3)*(Table13[[#This Row],[Height]]-0.4)*Table13[[#This Row],[Whole_weight]]*0.5)</f>
        <v>0.88873333333333338</v>
      </c>
      <c r="W549" cm="1">
        <f t="array" ref="W5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0.71098666666666677</v>
      </c>
      <c r="X549" t="e">
        <f>IF(Table13[[#This Row],[Category All]]="Category 1",Table13[[#This Row],[Base Abalone Value]]*1.5,NA())</f>
        <v>#N/A</v>
      </c>
      <c r="Y549">
        <f>IF(Table13[[#This Row],[Category All]]="Category 2",Table13[[#This Row],[Base Abalone Value]]*0.8,NA())</f>
        <v>0.71098666666666677</v>
      </c>
      <c r="Z549" t="e">
        <f>IF(Table13[[#This Row],[Category All]]="Category 3",Table13[[#This Row],[Base Abalone Value]],NA())</f>
        <v>#N/A</v>
      </c>
      <c r="AA549" s="2" t="e">
        <f>IF(Table13[[#This Row],[Gender]]="M",Table13[[#This Row],[Whole_weight]],NA())</f>
        <v>#N/A</v>
      </c>
      <c r="AB549" s="2" t="e">
        <f>IF(Table13[[#This Row],[Gender]]="F",Table13[[#This Row],[Whole_weight]],NA())</f>
        <v>#N/A</v>
      </c>
      <c r="AC549" s="2">
        <f>IF(Table13[[#This Row],[Gender]]="I",Table13[[#This Row],[Whole_weight]],NA())</f>
        <v>0.192</v>
      </c>
      <c r="AD549" s="2" t="e">
        <f>IF(Table13[[#This Row],[Gender]]="M",Table13[[#This Row],[Diameter]],NA())</f>
        <v>#N/A</v>
      </c>
      <c r="AE549" s="2" t="e">
        <f>IF(Table13[[#This Row],[Gender]]="F",Table13[[#This Row],[Diameter]],NA())</f>
        <v>#N/A</v>
      </c>
      <c r="AF549" s="2">
        <f>IF(Table13[[#This Row],[Gender]]="I",Table13[[#This Row],[Diameter]],NA())</f>
        <v>0.26</v>
      </c>
    </row>
    <row r="550" spans="1:32" x14ac:dyDescent="0.2">
      <c r="A550">
        <v>72</v>
      </c>
      <c r="B550" t="s">
        <v>0</v>
      </c>
      <c r="C550">
        <v>0.4</v>
      </c>
      <c r="D550">
        <v>0.32</v>
      </c>
      <c r="E550">
        <v>0.11</v>
      </c>
      <c r="F550">
        <v>0.35299999999999998</v>
      </c>
      <c r="G550">
        <v>0.14050000000000001</v>
      </c>
      <c r="H550">
        <v>9.8500000000000004E-2</v>
      </c>
      <c r="I550">
        <v>0.1</v>
      </c>
      <c r="J550">
        <v>8</v>
      </c>
      <c r="K550">
        <v>9</v>
      </c>
      <c r="L550" t="s">
        <v>20</v>
      </c>
      <c r="M550" t="s">
        <v>21</v>
      </c>
      <c r="N550" t="s">
        <v>22</v>
      </c>
      <c r="O550">
        <v>1</v>
      </c>
      <c r="P550" t="s">
        <v>4</v>
      </c>
      <c r="Q550">
        <v>22.1</v>
      </c>
      <c r="R550" t="str" cm="1">
        <f t="array" ref="R5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50" t="e">
        <f>IF(Table13[[#This Row],[Category All]]="Category 1", "Yes",NA())</f>
        <v>#N/A</v>
      </c>
      <c r="T550" t="str">
        <f>IF(Table13[[#This Row],[Category All]]="Category 2", "Yes",NA())</f>
        <v>Yes</v>
      </c>
      <c r="U550" t="e">
        <f>IF(Table13[[#This Row],[Category All]]="Category 3", "Yes",NA())</f>
        <v>#N/A</v>
      </c>
      <c r="V550">
        <f>SUM(1,(1/3)*(Table13[[#This Row],[Length]]-0.5),(1/3)*(Table13[[#This Row],[Diameter]]-0.4),(1/3)*(Table13[[#This Row],[Height]]-0.4)*Table13[[#This Row],[Whole_weight]]*0.5)</f>
        <v>0.92293833333333331</v>
      </c>
      <c r="W550" cm="1">
        <f t="array" ref="W5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0.73835066666666671</v>
      </c>
      <c r="X550" t="e">
        <f>IF(Table13[[#This Row],[Category All]]="Category 1",Table13[[#This Row],[Base Abalone Value]]*1.5,NA())</f>
        <v>#N/A</v>
      </c>
      <c r="Y550">
        <f>IF(Table13[[#This Row],[Category All]]="Category 2",Table13[[#This Row],[Base Abalone Value]]*0.8,NA())</f>
        <v>0.73835066666666671</v>
      </c>
      <c r="Z550" t="e">
        <f>IF(Table13[[#This Row],[Category All]]="Category 3",Table13[[#This Row],[Base Abalone Value]],NA())</f>
        <v>#N/A</v>
      </c>
      <c r="AA550" s="2" t="e">
        <f>IF(Table13[[#This Row],[Gender]]="M",Table13[[#This Row],[Whole_weight]],NA())</f>
        <v>#N/A</v>
      </c>
      <c r="AB550" s="2">
        <f>IF(Table13[[#This Row],[Gender]]="F",Table13[[#This Row],[Whole_weight]],NA())</f>
        <v>0.35299999999999998</v>
      </c>
      <c r="AC550" s="2" t="e">
        <f>IF(Table13[[#This Row],[Gender]]="I",Table13[[#This Row],[Whole_weight]],NA())</f>
        <v>#N/A</v>
      </c>
      <c r="AD550" s="2" t="e">
        <f>IF(Table13[[#This Row],[Gender]]="M",Table13[[#This Row],[Diameter]],NA())</f>
        <v>#N/A</v>
      </c>
      <c r="AE550" s="2">
        <f>IF(Table13[[#This Row],[Gender]]="F",Table13[[#This Row],[Diameter]],NA())</f>
        <v>0.32</v>
      </c>
      <c r="AF550" s="2" t="e">
        <f>IF(Table13[[#This Row],[Gender]]="I",Table13[[#This Row],[Diameter]],NA())</f>
        <v>#N/A</v>
      </c>
    </row>
    <row r="551" spans="1:32" x14ac:dyDescent="0.2">
      <c r="A551">
        <v>1538</v>
      </c>
      <c r="B551" t="s">
        <v>11</v>
      </c>
      <c r="C551">
        <v>0.35</v>
      </c>
      <c r="D551">
        <v>0.26</v>
      </c>
      <c r="E551">
        <v>7.4999999999999997E-2</v>
      </c>
      <c r="F551">
        <v>0.18</v>
      </c>
      <c r="G551">
        <v>0.09</v>
      </c>
      <c r="H551">
        <v>2.4500000000000001E-2</v>
      </c>
      <c r="I551">
        <v>5.5E-2</v>
      </c>
      <c r="J551">
        <v>5</v>
      </c>
      <c r="K551">
        <v>8</v>
      </c>
      <c r="L551" t="s">
        <v>29</v>
      </c>
      <c r="M551" t="s">
        <v>30</v>
      </c>
      <c r="N551" t="s">
        <v>31</v>
      </c>
      <c r="O551">
        <v>10</v>
      </c>
      <c r="P551" t="s">
        <v>38</v>
      </c>
      <c r="Q551">
        <v>24.1</v>
      </c>
      <c r="R551" t="str" cm="1">
        <f t="array" ref="R5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51" t="e">
        <f>IF(Table13[[#This Row],[Category All]]="Category 1", "Yes",NA())</f>
        <v>#N/A</v>
      </c>
      <c r="T551" t="str">
        <f>IF(Table13[[#This Row],[Category All]]="Category 2", "Yes",NA())</f>
        <v>Yes</v>
      </c>
      <c r="U551" t="e">
        <f>IF(Table13[[#This Row],[Category All]]="Category 3", "Yes",NA())</f>
        <v>#N/A</v>
      </c>
      <c r="V551">
        <f>SUM(1,(1/3)*(Table13[[#This Row],[Length]]-0.5),(1/3)*(Table13[[#This Row],[Diameter]]-0.4),(1/3)*(Table13[[#This Row],[Height]]-0.4)*Table13[[#This Row],[Whole_weight]]*0.5)</f>
        <v>0.89358333333333329</v>
      </c>
      <c r="W551" cm="1">
        <f t="array" ref="W5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0.71486666666666665</v>
      </c>
      <c r="X551" t="e">
        <f>IF(Table13[[#This Row],[Category All]]="Category 1",Table13[[#This Row],[Base Abalone Value]]*1.5,NA())</f>
        <v>#N/A</v>
      </c>
      <c r="Y551">
        <f>IF(Table13[[#This Row],[Category All]]="Category 2",Table13[[#This Row],[Base Abalone Value]]*0.8,NA())</f>
        <v>0.71486666666666665</v>
      </c>
      <c r="Z551" t="e">
        <f>IF(Table13[[#This Row],[Category All]]="Category 3",Table13[[#This Row],[Base Abalone Value]],NA())</f>
        <v>#N/A</v>
      </c>
      <c r="AA551" s="2" t="e">
        <f>IF(Table13[[#This Row],[Gender]]="M",Table13[[#This Row],[Whole_weight]],NA())</f>
        <v>#N/A</v>
      </c>
      <c r="AB551" s="2" t="e">
        <f>IF(Table13[[#This Row],[Gender]]="F",Table13[[#This Row],[Whole_weight]],NA())</f>
        <v>#N/A</v>
      </c>
      <c r="AC551" s="2">
        <f>IF(Table13[[#This Row],[Gender]]="I",Table13[[#This Row],[Whole_weight]],NA())</f>
        <v>0.18</v>
      </c>
      <c r="AD551" s="2" t="e">
        <f>IF(Table13[[#This Row],[Gender]]="M",Table13[[#This Row],[Diameter]],NA())</f>
        <v>#N/A</v>
      </c>
      <c r="AE551" s="2" t="e">
        <f>IF(Table13[[#This Row],[Gender]]="F",Table13[[#This Row],[Diameter]],NA())</f>
        <v>#N/A</v>
      </c>
      <c r="AF551" s="2">
        <f>IF(Table13[[#This Row],[Gender]]="I",Table13[[#This Row],[Diameter]],NA())</f>
        <v>0.26</v>
      </c>
    </row>
    <row r="552" spans="1:32" x14ac:dyDescent="0.2">
      <c r="A552">
        <v>4172</v>
      </c>
      <c r="B552" t="s">
        <v>15</v>
      </c>
      <c r="C552">
        <v>0.56000000000000005</v>
      </c>
      <c r="D552">
        <v>0.43</v>
      </c>
      <c r="E552">
        <v>0.155</v>
      </c>
      <c r="F552">
        <v>0.86750000000000005</v>
      </c>
      <c r="G552">
        <v>0.4</v>
      </c>
      <c r="H552">
        <v>0.17199999999999999</v>
      </c>
      <c r="I552">
        <v>0.22900000000000001</v>
      </c>
      <c r="J552">
        <v>8</v>
      </c>
      <c r="K552">
        <v>9</v>
      </c>
      <c r="L552" t="s">
        <v>20</v>
      </c>
      <c r="M552" t="s">
        <v>21</v>
      </c>
      <c r="N552" t="s">
        <v>22</v>
      </c>
      <c r="O552">
        <v>6</v>
      </c>
      <c r="P552" t="s">
        <v>47</v>
      </c>
      <c r="Q552">
        <v>14.1</v>
      </c>
      <c r="R552" t="str" cm="1">
        <f t="array" ref="R5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52" t="e">
        <f>IF(Table13[[#This Row],[Category All]]="Category 1", "Yes",NA())</f>
        <v>#N/A</v>
      </c>
      <c r="T552" t="e">
        <f>IF(Table13[[#This Row],[Category All]]="Category 2", "Yes",NA())</f>
        <v>#N/A</v>
      </c>
      <c r="U552" t="str">
        <f>IF(Table13[[#This Row],[Category All]]="Category 3", "Yes",NA())</f>
        <v>Yes</v>
      </c>
      <c r="V552">
        <f>SUM(1,(1/3)*(Table13[[#This Row],[Length]]-0.5),(1/3)*(Table13[[#This Row],[Diameter]]-0.4),(1/3)*(Table13[[#This Row],[Height]]-0.4)*Table13[[#This Row],[Whole_weight]]*0.5)</f>
        <v>0.99457708333333339</v>
      </c>
      <c r="W552" cm="1">
        <f t="array" ref="W5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0.99457708333333339</v>
      </c>
      <c r="X552" t="e">
        <f>IF(Table13[[#This Row],[Category All]]="Category 1",Table13[[#This Row],[Base Abalone Value]]*1.5,NA())</f>
        <v>#N/A</v>
      </c>
      <c r="Y552" t="e">
        <f>IF(Table13[[#This Row],[Category All]]="Category 2",Table13[[#This Row],[Base Abalone Value]]*0.8,NA())</f>
        <v>#N/A</v>
      </c>
      <c r="Z552">
        <f>IF(Table13[[#This Row],[Category All]]="Category 3",Table13[[#This Row],[Base Abalone Value]],NA())</f>
        <v>0.99457708333333339</v>
      </c>
      <c r="AA552" s="2">
        <f>IF(Table13[[#This Row],[Gender]]="M",Table13[[#This Row],[Whole_weight]],NA())</f>
        <v>0.86750000000000005</v>
      </c>
      <c r="AB552" s="2" t="e">
        <f>IF(Table13[[#This Row],[Gender]]="F",Table13[[#This Row],[Whole_weight]],NA())</f>
        <v>#N/A</v>
      </c>
      <c r="AC552" s="2" t="e">
        <f>IF(Table13[[#This Row],[Gender]]="I",Table13[[#This Row],[Whole_weight]],NA())</f>
        <v>#N/A</v>
      </c>
      <c r="AD552" s="2">
        <f>IF(Table13[[#This Row],[Gender]]="M",Table13[[#This Row],[Diameter]],NA())</f>
        <v>0.43</v>
      </c>
      <c r="AE552" s="2" t="e">
        <f>IF(Table13[[#This Row],[Gender]]="F",Table13[[#This Row],[Diameter]],NA())</f>
        <v>#N/A</v>
      </c>
      <c r="AF552" s="2" t="e">
        <f>IF(Table13[[#This Row],[Gender]]="I",Table13[[#This Row],[Diameter]],NA())</f>
        <v>#N/A</v>
      </c>
    </row>
    <row r="553" spans="1:32" x14ac:dyDescent="0.2">
      <c r="A553">
        <v>987</v>
      </c>
      <c r="B553" t="s">
        <v>0</v>
      </c>
      <c r="C553">
        <v>0.56999999999999995</v>
      </c>
      <c r="D553">
        <v>0.45500000000000002</v>
      </c>
      <c r="E553">
        <v>0.15</v>
      </c>
      <c r="F553">
        <v>1.107</v>
      </c>
      <c r="G553">
        <v>0.54</v>
      </c>
      <c r="H553">
        <v>0.255</v>
      </c>
      <c r="I553">
        <v>0.27</v>
      </c>
      <c r="J553">
        <v>8</v>
      </c>
      <c r="K553">
        <v>13</v>
      </c>
      <c r="L553" t="s">
        <v>12</v>
      </c>
      <c r="M553" t="s">
        <v>13</v>
      </c>
      <c r="N553" t="s">
        <v>3</v>
      </c>
      <c r="O553">
        <v>6</v>
      </c>
      <c r="P553" t="s">
        <v>47</v>
      </c>
      <c r="Q553">
        <v>14.1</v>
      </c>
      <c r="R553" t="str" cm="1">
        <f t="array" ref="R5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53" t="e">
        <f>IF(Table13[[#This Row],[Category All]]="Category 1", "Yes",NA())</f>
        <v>#N/A</v>
      </c>
      <c r="T553" t="e">
        <f>IF(Table13[[#This Row],[Category All]]="Category 2", "Yes",NA())</f>
        <v>#N/A</v>
      </c>
      <c r="U553" t="str">
        <f>IF(Table13[[#This Row],[Category All]]="Category 3", "Yes",NA())</f>
        <v>Yes</v>
      </c>
      <c r="V553">
        <f>SUM(1,(1/3)*(Table13[[#This Row],[Length]]-0.5),(1/3)*(Table13[[#This Row],[Diameter]]-0.4),(1/3)*(Table13[[#This Row],[Height]]-0.4)*Table13[[#This Row],[Whole_weight]]*0.5)</f>
        <v>0.99554166666666677</v>
      </c>
      <c r="W553" cm="1">
        <f t="array" ref="W5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0.99554166666666677</v>
      </c>
      <c r="X553" t="e">
        <f>IF(Table13[[#This Row],[Category All]]="Category 1",Table13[[#This Row],[Base Abalone Value]]*1.5,NA())</f>
        <v>#N/A</v>
      </c>
      <c r="Y553" t="e">
        <f>IF(Table13[[#This Row],[Category All]]="Category 2",Table13[[#This Row],[Base Abalone Value]]*0.8,NA())</f>
        <v>#N/A</v>
      </c>
      <c r="Z553">
        <f>IF(Table13[[#This Row],[Category All]]="Category 3",Table13[[#This Row],[Base Abalone Value]],NA())</f>
        <v>0.99554166666666677</v>
      </c>
      <c r="AA553" s="2" t="e">
        <f>IF(Table13[[#This Row],[Gender]]="M",Table13[[#This Row],[Whole_weight]],NA())</f>
        <v>#N/A</v>
      </c>
      <c r="AB553" s="2">
        <f>IF(Table13[[#This Row],[Gender]]="F",Table13[[#This Row],[Whole_weight]],NA())</f>
        <v>1.107</v>
      </c>
      <c r="AC553" s="2" t="e">
        <f>IF(Table13[[#This Row],[Gender]]="I",Table13[[#This Row],[Whole_weight]],NA())</f>
        <v>#N/A</v>
      </c>
      <c r="AD553" s="2" t="e">
        <f>IF(Table13[[#This Row],[Gender]]="M",Table13[[#This Row],[Diameter]],NA())</f>
        <v>#N/A</v>
      </c>
      <c r="AE553" s="2">
        <f>IF(Table13[[#This Row],[Gender]]="F",Table13[[#This Row],[Diameter]],NA())</f>
        <v>0.45500000000000002</v>
      </c>
      <c r="AF553" s="2" t="e">
        <f>IF(Table13[[#This Row],[Gender]]="I",Table13[[#This Row],[Diameter]],NA())</f>
        <v>#N/A</v>
      </c>
    </row>
    <row r="554" spans="1:32" x14ac:dyDescent="0.2">
      <c r="A554">
        <v>163</v>
      </c>
      <c r="B554" t="s">
        <v>15</v>
      </c>
      <c r="C554">
        <v>0.61</v>
      </c>
      <c r="D554">
        <v>0.48499999999999999</v>
      </c>
      <c r="E554">
        <v>0.17499999999999999</v>
      </c>
      <c r="F554">
        <v>1.2444999999999999</v>
      </c>
      <c r="G554">
        <v>0.54400000000000004</v>
      </c>
      <c r="H554">
        <v>0.29699999999999999</v>
      </c>
      <c r="I554">
        <v>0.34499999999999997</v>
      </c>
      <c r="J554">
        <v>12</v>
      </c>
      <c r="K554">
        <v>7</v>
      </c>
      <c r="L554" t="s">
        <v>35</v>
      </c>
      <c r="M554" t="s">
        <v>36</v>
      </c>
      <c r="N554" t="s">
        <v>37</v>
      </c>
      <c r="O554">
        <v>10</v>
      </c>
      <c r="P554" t="s">
        <v>38</v>
      </c>
      <c r="Q554">
        <v>24.1</v>
      </c>
      <c r="R554" t="str" cm="1">
        <f t="array" ref="R5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54" t="e">
        <f>IF(Table13[[#This Row],[Category All]]="Category 1", "Yes",NA())</f>
        <v>#N/A</v>
      </c>
      <c r="T554" t="e">
        <f>IF(Table13[[#This Row],[Category All]]="Category 2", "Yes",NA())</f>
        <v>#N/A</v>
      </c>
      <c r="U554" t="str">
        <f>IF(Table13[[#This Row],[Category All]]="Category 3", "Yes",NA())</f>
        <v>Yes</v>
      </c>
      <c r="V554">
        <f>SUM(1,(1/3)*(Table13[[#This Row],[Length]]-0.5),(1/3)*(Table13[[#This Row],[Diameter]]-0.4),(1/3)*(Table13[[#This Row],[Height]]-0.4)*Table13[[#This Row],[Whole_weight]]*0.5)</f>
        <v>1.0183312499999999</v>
      </c>
      <c r="W554" cm="1">
        <f t="array" ref="W5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1.0183312499999999</v>
      </c>
      <c r="X554" t="e">
        <f>IF(Table13[[#This Row],[Category All]]="Category 1",Table13[[#This Row],[Base Abalone Value]]*1.5,NA())</f>
        <v>#N/A</v>
      </c>
      <c r="Y554" t="e">
        <f>IF(Table13[[#This Row],[Category All]]="Category 2",Table13[[#This Row],[Base Abalone Value]]*0.8,NA())</f>
        <v>#N/A</v>
      </c>
      <c r="Z554">
        <f>IF(Table13[[#This Row],[Category All]]="Category 3",Table13[[#This Row],[Base Abalone Value]],NA())</f>
        <v>1.0183312499999999</v>
      </c>
      <c r="AA554" s="2">
        <f>IF(Table13[[#This Row],[Gender]]="M",Table13[[#This Row],[Whole_weight]],NA())</f>
        <v>1.2444999999999999</v>
      </c>
      <c r="AB554" s="2" t="e">
        <f>IF(Table13[[#This Row],[Gender]]="F",Table13[[#This Row],[Whole_weight]],NA())</f>
        <v>#N/A</v>
      </c>
      <c r="AC554" s="2" t="e">
        <f>IF(Table13[[#This Row],[Gender]]="I",Table13[[#This Row],[Whole_weight]],NA())</f>
        <v>#N/A</v>
      </c>
      <c r="AD554" s="2">
        <f>IF(Table13[[#This Row],[Gender]]="M",Table13[[#This Row],[Diameter]],NA())</f>
        <v>0.48499999999999999</v>
      </c>
      <c r="AE554" s="2" t="e">
        <f>IF(Table13[[#This Row],[Gender]]="F",Table13[[#This Row],[Diameter]],NA())</f>
        <v>#N/A</v>
      </c>
      <c r="AF554" s="2" t="e">
        <f>IF(Table13[[#This Row],[Gender]]="I",Table13[[#This Row],[Diameter]],NA())</f>
        <v>#N/A</v>
      </c>
    </row>
    <row r="555" spans="1:32" x14ac:dyDescent="0.2">
      <c r="A555">
        <v>371</v>
      </c>
      <c r="B555" t="s">
        <v>0</v>
      </c>
      <c r="C555">
        <v>0.65</v>
      </c>
      <c r="D555">
        <v>0.54500000000000004</v>
      </c>
      <c r="E555">
        <v>0.16500000000000001</v>
      </c>
      <c r="F555">
        <v>1.5660000000000001</v>
      </c>
      <c r="G555">
        <v>0.66449999999999998</v>
      </c>
      <c r="H555">
        <v>0.34549999999999997</v>
      </c>
      <c r="I555">
        <v>0.41499999999999998</v>
      </c>
      <c r="J555">
        <v>16</v>
      </c>
      <c r="K555">
        <v>9</v>
      </c>
      <c r="L555" t="s">
        <v>20</v>
      </c>
      <c r="M555" t="s">
        <v>21</v>
      </c>
      <c r="N555" t="s">
        <v>22</v>
      </c>
      <c r="O555">
        <v>2</v>
      </c>
      <c r="P555" t="s">
        <v>7</v>
      </c>
      <c r="Q555">
        <v>18</v>
      </c>
      <c r="R555" t="str" cm="1">
        <f t="array" ref="R5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55" t="e">
        <f>IF(Table13[[#This Row],[Category All]]="Category 1", "Yes",NA())</f>
        <v>#N/A</v>
      </c>
      <c r="T555" t="e">
        <f>IF(Table13[[#This Row],[Category All]]="Category 2", "Yes",NA())</f>
        <v>#N/A</v>
      </c>
      <c r="U555" t="str">
        <f>IF(Table13[[#This Row],[Category All]]="Category 3", "Yes",NA())</f>
        <v>Yes</v>
      </c>
      <c r="V555">
        <f>SUM(1,(1/3)*(Table13[[#This Row],[Length]]-0.5),(1/3)*(Table13[[#This Row],[Diameter]]-0.4),(1/3)*(Table13[[#This Row],[Height]]-0.4)*Table13[[#This Row],[Whole_weight]]*0.5)</f>
        <v>1.0369983333333335</v>
      </c>
      <c r="W555" cm="1">
        <f t="array" ref="W5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1.0369983333333335</v>
      </c>
      <c r="X555" t="e">
        <f>IF(Table13[[#This Row],[Category All]]="Category 1",Table13[[#This Row],[Base Abalone Value]]*1.5,NA())</f>
        <v>#N/A</v>
      </c>
      <c r="Y555" t="e">
        <f>IF(Table13[[#This Row],[Category All]]="Category 2",Table13[[#This Row],[Base Abalone Value]]*0.8,NA())</f>
        <v>#N/A</v>
      </c>
      <c r="Z555">
        <f>IF(Table13[[#This Row],[Category All]]="Category 3",Table13[[#This Row],[Base Abalone Value]],NA())</f>
        <v>1.0369983333333335</v>
      </c>
      <c r="AA555" s="2" t="e">
        <f>IF(Table13[[#This Row],[Gender]]="M",Table13[[#This Row],[Whole_weight]],NA())</f>
        <v>#N/A</v>
      </c>
      <c r="AB555" s="2">
        <f>IF(Table13[[#This Row],[Gender]]="F",Table13[[#This Row],[Whole_weight]],NA())</f>
        <v>1.5660000000000001</v>
      </c>
      <c r="AC555" s="2" t="e">
        <f>IF(Table13[[#This Row],[Gender]]="I",Table13[[#This Row],[Whole_weight]],NA())</f>
        <v>#N/A</v>
      </c>
      <c r="AD555" s="2" t="e">
        <f>IF(Table13[[#This Row],[Gender]]="M",Table13[[#This Row],[Diameter]],NA())</f>
        <v>#N/A</v>
      </c>
      <c r="AE555" s="2">
        <f>IF(Table13[[#This Row],[Gender]]="F",Table13[[#This Row],[Diameter]],NA())</f>
        <v>0.54500000000000004</v>
      </c>
      <c r="AF555" s="2" t="e">
        <f>IF(Table13[[#This Row],[Gender]]="I",Table13[[#This Row],[Diameter]],NA())</f>
        <v>#N/A</v>
      </c>
    </row>
    <row r="556" spans="1:32" x14ac:dyDescent="0.2">
      <c r="A556">
        <v>3997</v>
      </c>
      <c r="B556" t="s">
        <v>11</v>
      </c>
      <c r="C556">
        <v>0.315</v>
      </c>
      <c r="D556">
        <v>0.23</v>
      </c>
      <c r="E556">
        <v>0</v>
      </c>
      <c r="F556">
        <v>0.13400000000000001</v>
      </c>
      <c r="G556">
        <v>5.7500000000000002E-2</v>
      </c>
      <c r="H556">
        <v>2.8500000000000001E-2</v>
      </c>
      <c r="I556">
        <v>0.35049999999999998</v>
      </c>
      <c r="J556">
        <v>6</v>
      </c>
      <c r="K556">
        <v>9</v>
      </c>
      <c r="L556" t="s">
        <v>20</v>
      </c>
      <c r="M556" t="s">
        <v>21</v>
      </c>
      <c r="N556" t="s">
        <v>22</v>
      </c>
      <c r="O556">
        <v>5</v>
      </c>
      <c r="P556" t="s">
        <v>14</v>
      </c>
      <c r="Q556">
        <v>12.8</v>
      </c>
      <c r="R556" t="str" cm="1">
        <f t="array" ref="R5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56" t="e">
        <f>IF(Table13[[#This Row],[Category All]]="Category 1", "Yes",NA())</f>
        <v>#N/A</v>
      </c>
      <c r="T556" t="str">
        <f>IF(Table13[[#This Row],[Category All]]="Category 2", "Yes",NA())</f>
        <v>Yes</v>
      </c>
      <c r="U556" t="e">
        <f>IF(Table13[[#This Row],[Category All]]="Category 3", "Yes",NA())</f>
        <v>#N/A</v>
      </c>
      <c r="V556">
        <f>SUM(1,(1/3)*(Table13[[#This Row],[Length]]-0.5),(1/3)*(Table13[[#This Row],[Diameter]]-0.4),(1/3)*(Table13[[#This Row],[Height]]-0.4)*Table13[[#This Row],[Whole_weight]]*0.5)</f>
        <v>0.87273333333333336</v>
      </c>
      <c r="W556" cm="1">
        <f t="array" ref="W5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0.69818666666666673</v>
      </c>
      <c r="X556" t="e">
        <f>IF(Table13[[#This Row],[Category All]]="Category 1",Table13[[#This Row],[Base Abalone Value]]*1.5,NA())</f>
        <v>#N/A</v>
      </c>
      <c r="Y556">
        <f>IF(Table13[[#This Row],[Category All]]="Category 2",Table13[[#This Row],[Base Abalone Value]]*0.8,NA())</f>
        <v>0.69818666666666673</v>
      </c>
      <c r="Z556" t="e">
        <f>IF(Table13[[#This Row],[Category All]]="Category 3",Table13[[#This Row],[Base Abalone Value]],NA())</f>
        <v>#N/A</v>
      </c>
      <c r="AA556" s="2" t="e">
        <f>IF(Table13[[#This Row],[Gender]]="M",Table13[[#This Row],[Whole_weight]],NA())</f>
        <v>#N/A</v>
      </c>
      <c r="AB556" s="2" t="e">
        <f>IF(Table13[[#This Row],[Gender]]="F",Table13[[#This Row],[Whole_weight]],NA())</f>
        <v>#N/A</v>
      </c>
      <c r="AC556" s="2">
        <f>IF(Table13[[#This Row],[Gender]]="I",Table13[[#This Row],[Whole_weight]],NA())</f>
        <v>0.13400000000000001</v>
      </c>
      <c r="AD556" s="2" t="e">
        <f>IF(Table13[[#This Row],[Gender]]="M",Table13[[#This Row],[Diameter]],NA())</f>
        <v>#N/A</v>
      </c>
      <c r="AE556" s="2" t="e">
        <f>IF(Table13[[#This Row],[Gender]]="F",Table13[[#This Row],[Diameter]],NA())</f>
        <v>#N/A</v>
      </c>
      <c r="AF556" s="2">
        <f>IF(Table13[[#This Row],[Gender]]="I",Table13[[#This Row],[Diameter]],NA())</f>
        <v>0.23</v>
      </c>
    </row>
    <row r="557" spans="1:32" x14ac:dyDescent="0.2">
      <c r="A557">
        <v>1133</v>
      </c>
      <c r="B557" t="s">
        <v>0</v>
      </c>
      <c r="C557">
        <v>0.56499999999999995</v>
      </c>
      <c r="D557">
        <v>0.45</v>
      </c>
      <c r="E557">
        <v>0.17499999999999999</v>
      </c>
      <c r="F557">
        <v>1.0095000000000001</v>
      </c>
      <c r="G557">
        <v>0.44700000000000001</v>
      </c>
      <c r="H557">
        <v>0.23749999999999999</v>
      </c>
      <c r="I557">
        <v>0.26450000000000001</v>
      </c>
      <c r="J557">
        <v>9</v>
      </c>
      <c r="K557">
        <v>6</v>
      </c>
      <c r="L557" t="s">
        <v>39</v>
      </c>
      <c r="M557" t="s">
        <v>40</v>
      </c>
      <c r="N557" t="s">
        <v>41</v>
      </c>
      <c r="O557">
        <v>4</v>
      </c>
      <c r="P557" t="s">
        <v>10</v>
      </c>
      <c r="Q557">
        <v>6.1</v>
      </c>
      <c r="R557" t="str" cm="1">
        <f t="array" ref="R5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57" t="e">
        <f>IF(Table13[[#This Row],[Category All]]="Category 1", "Yes",NA())</f>
        <v>#N/A</v>
      </c>
      <c r="T557" t="e">
        <f>IF(Table13[[#This Row],[Category All]]="Category 2", "Yes",NA())</f>
        <v>#N/A</v>
      </c>
      <c r="U557" t="str">
        <f>IF(Table13[[#This Row],[Category All]]="Category 3", "Yes",NA())</f>
        <v>Yes</v>
      </c>
      <c r="V557">
        <f>SUM(1,(1/3)*(Table13[[#This Row],[Length]]-0.5),(1/3)*(Table13[[#This Row],[Diameter]]-0.4),(1/3)*(Table13[[#This Row],[Height]]-0.4)*Table13[[#This Row],[Whole_weight]]*0.5)</f>
        <v>1.0004770833333334</v>
      </c>
      <c r="W557" cm="1">
        <f t="array" ref="W5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1.0004770833333334</v>
      </c>
      <c r="X557" t="e">
        <f>IF(Table13[[#This Row],[Category All]]="Category 1",Table13[[#This Row],[Base Abalone Value]]*1.5,NA())</f>
        <v>#N/A</v>
      </c>
      <c r="Y557" t="e">
        <f>IF(Table13[[#This Row],[Category All]]="Category 2",Table13[[#This Row],[Base Abalone Value]]*0.8,NA())</f>
        <v>#N/A</v>
      </c>
      <c r="Z557">
        <f>IF(Table13[[#This Row],[Category All]]="Category 3",Table13[[#This Row],[Base Abalone Value]],NA())</f>
        <v>1.0004770833333334</v>
      </c>
      <c r="AA557" s="2" t="e">
        <f>IF(Table13[[#This Row],[Gender]]="M",Table13[[#This Row],[Whole_weight]],NA())</f>
        <v>#N/A</v>
      </c>
      <c r="AB557" s="2">
        <f>IF(Table13[[#This Row],[Gender]]="F",Table13[[#This Row],[Whole_weight]],NA())</f>
        <v>1.0095000000000001</v>
      </c>
      <c r="AC557" s="2" t="e">
        <f>IF(Table13[[#This Row],[Gender]]="I",Table13[[#This Row],[Whole_weight]],NA())</f>
        <v>#N/A</v>
      </c>
      <c r="AD557" s="2" t="e">
        <f>IF(Table13[[#This Row],[Gender]]="M",Table13[[#This Row],[Diameter]],NA())</f>
        <v>#N/A</v>
      </c>
      <c r="AE557" s="2">
        <f>IF(Table13[[#This Row],[Gender]]="F",Table13[[#This Row],[Diameter]],NA())</f>
        <v>0.45</v>
      </c>
      <c r="AF557" s="2" t="e">
        <f>IF(Table13[[#This Row],[Gender]]="I",Table13[[#This Row],[Diameter]],NA())</f>
        <v>#N/A</v>
      </c>
    </row>
    <row r="558" spans="1:32" x14ac:dyDescent="0.2">
      <c r="A558">
        <v>1450</v>
      </c>
      <c r="B558" t="s">
        <v>15</v>
      </c>
      <c r="C558">
        <v>0.45</v>
      </c>
      <c r="D558">
        <v>0.33500000000000002</v>
      </c>
      <c r="E558">
        <v>0.125</v>
      </c>
      <c r="F558">
        <v>0.44750000000000001</v>
      </c>
      <c r="G558">
        <v>0.2165</v>
      </c>
      <c r="H558">
        <v>0.126</v>
      </c>
      <c r="I558">
        <v>0.11</v>
      </c>
      <c r="J558">
        <v>6</v>
      </c>
      <c r="K558">
        <v>9</v>
      </c>
      <c r="L558" t="s">
        <v>20</v>
      </c>
      <c r="M558" t="s">
        <v>21</v>
      </c>
      <c r="N558" t="s">
        <v>22</v>
      </c>
      <c r="O558">
        <v>8</v>
      </c>
      <c r="P558" t="s">
        <v>19</v>
      </c>
      <c r="Q558">
        <v>12.3</v>
      </c>
      <c r="R558" t="str" cm="1">
        <f t="array" ref="R5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58" t="e">
        <f>IF(Table13[[#This Row],[Category All]]="Category 1", "Yes",NA())</f>
        <v>#N/A</v>
      </c>
      <c r="T558" t="str">
        <f>IF(Table13[[#This Row],[Category All]]="Category 2", "Yes",NA())</f>
        <v>Yes</v>
      </c>
      <c r="U558" t="e">
        <f>IF(Table13[[#This Row],[Category All]]="Category 3", "Yes",NA())</f>
        <v>#N/A</v>
      </c>
      <c r="V558">
        <f>SUM(1,(1/3)*(Table13[[#This Row],[Length]]-0.5),(1/3)*(Table13[[#This Row],[Diameter]]-0.4),(1/3)*(Table13[[#This Row],[Height]]-0.4)*Table13[[#This Row],[Whole_weight]]*0.5)</f>
        <v>0.94115625000000003</v>
      </c>
      <c r="W558" cm="1">
        <f t="array" ref="W5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0.75292500000000007</v>
      </c>
      <c r="X558" t="e">
        <f>IF(Table13[[#This Row],[Category All]]="Category 1",Table13[[#This Row],[Base Abalone Value]]*1.5,NA())</f>
        <v>#N/A</v>
      </c>
      <c r="Y558">
        <f>IF(Table13[[#This Row],[Category All]]="Category 2",Table13[[#This Row],[Base Abalone Value]]*0.8,NA())</f>
        <v>0.75292500000000007</v>
      </c>
      <c r="Z558" t="e">
        <f>IF(Table13[[#This Row],[Category All]]="Category 3",Table13[[#This Row],[Base Abalone Value]],NA())</f>
        <v>#N/A</v>
      </c>
      <c r="AA558" s="2">
        <f>IF(Table13[[#This Row],[Gender]]="M",Table13[[#This Row],[Whole_weight]],NA())</f>
        <v>0.44750000000000001</v>
      </c>
      <c r="AB558" s="2" t="e">
        <f>IF(Table13[[#This Row],[Gender]]="F",Table13[[#This Row],[Whole_weight]],NA())</f>
        <v>#N/A</v>
      </c>
      <c r="AC558" s="2" t="e">
        <f>IF(Table13[[#This Row],[Gender]]="I",Table13[[#This Row],[Whole_weight]],NA())</f>
        <v>#N/A</v>
      </c>
      <c r="AD558" s="2">
        <f>IF(Table13[[#This Row],[Gender]]="M",Table13[[#This Row],[Diameter]],NA())</f>
        <v>0.33500000000000002</v>
      </c>
      <c r="AE558" s="2" t="e">
        <f>IF(Table13[[#This Row],[Gender]]="F",Table13[[#This Row],[Diameter]],NA())</f>
        <v>#N/A</v>
      </c>
      <c r="AF558" s="2" t="e">
        <f>IF(Table13[[#This Row],[Gender]]="I",Table13[[#This Row],[Diameter]],NA())</f>
        <v>#N/A</v>
      </c>
    </row>
    <row r="559" spans="1:32" x14ac:dyDescent="0.2">
      <c r="A559">
        <v>354</v>
      </c>
      <c r="B559" t="s">
        <v>15</v>
      </c>
      <c r="C559">
        <v>0.57999999999999996</v>
      </c>
      <c r="D559">
        <v>0.45500000000000002</v>
      </c>
      <c r="E559">
        <v>0.17</v>
      </c>
      <c r="F559">
        <v>0.93</v>
      </c>
      <c r="G559">
        <v>0.40799999999999997</v>
      </c>
      <c r="H559">
        <v>0.25900000000000001</v>
      </c>
      <c r="I559">
        <v>0.22</v>
      </c>
      <c r="J559">
        <v>9</v>
      </c>
      <c r="K559">
        <v>2</v>
      </c>
      <c r="L559" t="s">
        <v>32</v>
      </c>
      <c r="M559" t="s">
        <v>33</v>
      </c>
      <c r="N559" t="s">
        <v>34</v>
      </c>
      <c r="O559">
        <v>1</v>
      </c>
      <c r="P559" t="s">
        <v>4</v>
      </c>
      <c r="Q559">
        <v>22.1</v>
      </c>
      <c r="R559" t="str" cm="1">
        <f t="array" ref="R5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59" t="e">
        <f>IF(Table13[[#This Row],[Category All]]="Category 1", "Yes",NA())</f>
        <v>#N/A</v>
      </c>
      <c r="T559" t="e">
        <f>IF(Table13[[#This Row],[Category All]]="Category 2", "Yes",NA())</f>
        <v>#N/A</v>
      </c>
      <c r="U559" t="str">
        <f>IF(Table13[[#This Row],[Category All]]="Category 3", "Yes",NA())</f>
        <v>Yes</v>
      </c>
      <c r="V559">
        <f>SUM(1,(1/3)*(Table13[[#This Row],[Length]]-0.5),(1/3)*(Table13[[#This Row],[Diameter]]-0.4),(1/3)*(Table13[[#This Row],[Height]]-0.4)*Table13[[#This Row],[Whole_weight]]*0.5)</f>
        <v>1.00935</v>
      </c>
      <c r="W559" cm="1">
        <f t="array" ref="W5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1.00935</v>
      </c>
      <c r="X559" t="e">
        <f>IF(Table13[[#This Row],[Category All]]="Category 1",Table13[[#This Row],[Base Abalone Value]]*1.5,NA())</f>
        <v>#N/A</v>
      </c>
      <c r="Y559" t="e">
        <f>IF(Table13[[#This Row],[Category All]]="Category 2",Table13[[#This Row],[Base Abalone Value]]*0.8,NA())</f>
        <v>#N/A</v>
      </c>
      <c r="Z559">
        <f>IF(Table13[[#This Row],[Category All]]="Category 3",Table13[[#This Row],[Base Abalone Value]],NA())</f>
        <v>1.00935</v>
      </c>
      <c r="AA559" s="2">
        <f>IF(Table13[[#This Row],[Gender]]="M",Table13[[#This Row],[Whole_weight]],NA())</f>
        <v>0.93</v>
      </c>
      <c r="AB559" s="2" t="e">
        <f>IF(Table13[[#This Row],[Gender]]="F",Table13[[#This Row],[Whole_weight]],NA())</f>
        <v>#N/A</v>
      </c>
      <c r="AC559" s="2" t="e">
        <f>IF(Table13[[#This Row],[Gender]]="I",Table13[[#This Row],[Whole_weight]],NA())</f>
        <v>#N/A</v>
      </c>
      <c r="AD559" s="2">
        <f>IF(Table13[[#This Row],[Gender]]="M",Table13[[#This Row],[Diameter]],NA())</f>
        <v>0.45500000000000002</v>
      </c>
      <c r="AE559" s="2" t="e">
        <f>IF(Table13[[#This Row],[Gender]]="F",Table13[[#This Row],[Diameter]],NA())</f>
        <v>#N/A</v>
      </c>
      <c r="AF559" s="2" t="e">
        <f>IF(Table13[[#This Row],[Gender]]="I",Table13[[#This Row],[Diameter]],NA())</f>
        <v>#N/A</v>
      </c>
    </row>
    <row r="560" spans="1:32" x14ac:dyDescent="0.2">
      <c r="A560">
        <v>585</v>
      </c>
      <c r="B560" t="s">
        <v>0</v>
      </c>
      <c r="C560">
        <v>0.41</v>
      </c>
      <c r="D560">
        <v>0.30499999999999999</v>
      </c>
      <c r="E560">
        <v>0.1</v>
      </c>
      <c r="F560">
        <v>0.36299999999999999</v>
      </c>
      <c r="G560">
        <v>0.17349999999999999</v>
      </c>
      <c r="H560">
        <v>6.5000000000000002E-2</v>
      </c>
      <c r="I560">
        <v>0.11</v>
      </c>
      <c r="J560">
        <v>11</v>
      </c>
      <c r="K560">
        <v>12</v>
      </c>
      <c r="L560" t="s">
        <v>1</v>
      </c>
      <c r="M560" t="s">
        <v>2</v>
      </c>
      <c r="N560" t="s">
        <v>3</v>
      </c>
      <c r="O560">
        <v>10</v>
      </c>
      <c r="P560" t="s">
        <v>38</v>
      </c>
      <c r="Q560">
        <v>24.1</v>
      </c>
      <c r="R560" t="str" cm="1">
        <f t="array" ref="R5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60" t="e">
        <f>IF(Table13[[#This Row],[Category All]]="Category 1", "Yes",NA())</f>
        <v>#N/A</v>
      </c>
      <c r="T560" t="str">
        <f>IF(Table13[[#This Row],[Category All]]="Category 2", "Yes",NA())</f>
        <v>Yes</v>
      </c>
      <c r="U560" t="e">
        <f>IF(Table13[[#This Row],[Category All]]="Category 3", "Yes",NA())</f>
        <v>#N/A</v>
      </c>
      <c r="V560">
        <f>SUM(1,(1/3)*(Table13[[#This Row],[Length]]-0.5),(1/3)*(Table13[[#This Row],[Diameter]]-0.4),(1/3)*(Table13[[#This Row],[Height]]-0.4)*Table13[[#This Row],[Whole_weight]]*0.5)</f>
        <v>0.92018333333333324</v>
      </c>
      <c r="W560" cm="1">
        <f t="array" ref="W5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0.73614666666666662</v>
      </c>
      <c r="X560" t="e">
        <f>IF(Table13[[#This Row],[Category All]]="Category 1",Table13[[#This Row],[Base Abalone Value]]*1.5,NA())</f>
        <v>#N/A</v>
      </c>
      <c r="Y560">
        <f>IF(Table13[[#This Row],[Category All]]="Category 2",Table13[[#This Row],[Base Abalone Value]]*0.8,NA())</f>
        <v>0.73614666666666662</v>
      </c>
      <c r="Z560" t="e">
        <f>IF(Table13[[#This Row],[Category All]]="Category 3",Table13[[#This Row],[Base Abalone Value]],NA())</f>
        <v>#N/A</v>
      </c>
      <c r="AA560" s="2" t="e">
        <f>IF(Table13[[#This Row],[Gender]]="M",Table13[[#This Row],[Whole_weight]],NA())</f>
        <v>#N/A</v>
      </c>
      <c r="AB560" s="2">
        <f>IF(Table13[[#This Row],[Gender]]="F",Table13[[#This Row],[Whole_weight]],NA())</f>
        <v>0.36299999999999999</v>
      </c>
      <c r="AC560" s="2" t="e">
        <f>IF(Table13[[#This Row],[Gender]]="I",Table13[[#This Row],[Whole_weight]],NA())</f>
        <v>#N/A</v>
      </c>
      <c r="AD560" s="2" t="e">
        <f>IF(Table13[[#This Row],[Gender]]="M",Table13[[#This Row],[Diameter]],NA())</f>
        <v>#N/A</v>
      </c>
      <c r="AE560" s="2">
        <f>IF(Table13[[#This Row],[Gender]]="F",Table13[[#This Row],[Diameter]],NA())</f>
        <v>0.30499999999999999</v>
      </c>
      <c r="AF560" s="2" t="e">
        <f>IF(Table13[[#This Row],[Gender]]="I",Table13[[#This Row],[Diameter]],NA())</f>
        <v>#N/A</v>
      </c>
    </row>
    <row r="561" spans="1:32" x14ac:dyDescent="0.2">
      <c r="A561">
        <v>1981</v>
      </c>
      <c r="B561" t="s">
        <v>0</v>
      </c>
      <c r="C561">
        <v>0.70499999999999996</v>
      </c>
      <c r="D561">
        <v>0.53500000000000003</v>
      </c>
      <c r="E561">
        <v>0.22</v>
      </c>
      <c r="F561">
        <v>1.8660000000000001</v>
      </c>
      <c r="G561">
        <v>0.92900000000000005</v>
      </c>
      <c r="H561">
        <v>0.38350000000000001</v>
      </c>
      <c r="I561">
        <v>0.4395</v>
      </c>
      <c r="J561">
        <v>10</v>
      </c>
      <c r="K561">
        <v>3</v>
      </c>
      <c r="L561" t="s">
        <v>43</v>
      </c>
      <c r="M561" t="s">
        <v>44</v>
      </c>
      <c r="N561" t="s">
        <v>45</v>
      </c>
      <c r="O561">
        <v>1</v>
      </c>
      <c r="P561" t="s">
        <v>4</v>
      </c>
      <c r="Q561">
        <v>22.1</v>
      </c>
      <c r="R561" t="str" cm="1">
        <f t="array" ref="R5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61" t="e">
        <f>IF(Table13[[#This Row],[Category All]]="Category 1", "Yes",NA())</f>
        <v>#N/A</v>
      </c>
      <c r="T561" t="e">
        <f>IF(Table13[[#This Row],[Category All]]="Category 2", "Yes",NA())</f>
        <v>#N/A</v>
      </c>
      <c r="U561" t="str">
        <f>IF(Table13[[#This Row],[Category All]]="Category 3", "Yes",NA())</f>
        <v>Yes</v>
      </c>
      <c r="V561">
        <f>SUM(1,(1/3)*(Table13[[#This Row],[Length]]-0.5),(1/3)*(Table13[[#This Row],[Diameter]]-0.4),(1/3)*(Table13[[#This Row],[Height]]-0.4)*Table13[[#This Row],[Whole_weight]]*0.5)</f>
        <v>1.0573533333333334</v>
      </c>
      <c r="W561" cm="1">
        <f t="array" ref="W5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1.0573533333333334</v>
      </c>
      <c r="X561" t="e">
        <f>IF(Table13[[#This Row],[Category All]]="Category 1",Table13[[#This Row],[Base Abalone Value]]*1.5,NA())</f>
        <v>#N/A</v>
      </c>
      <c r="Y561" t="e">
        <f>IF(Table13[[#This Row],[Category All]]="Category 2",Table13[[#This Row],[Base Abalone Value]]*0.8,NA())</f>
        <v>#N/A</v>
      </c>
      <c r="Z561">
        <f>IF(Table13[[#This Row],[Category All]]="Category 3",Table13[[#This Row],[Base Abalone Value]],NA())</f>
        <v>1.0573533333333334</v>
      </c>
      <c r="AA561" s="2" t="e">
        <f>IF(Table13[[#This Row],[Gender]]="M",Table13[[#This Row],[Whole_weight]],NA())</f>
        <v>#N/A</v>
      </c>
      <c r="AB561" s="2">
        <f>IF(Table13[[#This Row],[Gender]]="F",Table13[[#This Row],[Whole_weight]],NA())</f>
        <v>1.8660000000000001</v>
      </c>
      <c r="AC561" s="2" t="e">
        <f>IF(Table13[[#This Row],[Gender]]="I",Table13[[#This Row],[Whole_weight]],NA())</f>
        <v>#N/A</v>
      </c>
      <c r="AD561" s="2" t="e">
        <f>IF(Table13[[#This Row],[Gender]]="M",Table13[[#This Row],[Diameter]],NA())</f>
        <v>#N/A</v>
      </c>
      <c r="AE561" s="2">
        <f>IF(Table13[[#This Row],[Gender]]="F",Table13[[#This Row],[Diameter]],NA())</f>
        <v>0.53500000000000003</v>
      </c>
      <c r="AF561" s="2" t="e">
        <f>IF(Table13[[#This Row],[Gender]]="I",Table13[[#This Row],[Diameter]],NA())</f>
        <v>#N/A</v>
      </c>
    </row>
    <row r="562" spans="1:32" x14ac:dyDescent="0.2">
      <c r="A562">
        <v>1448</v>
      </c>
      <c r="B562" t="s">
        <v>15</v>
      </c>
      <c r="C562">
        <v>0.44</v>
      </c>
      <c r="D562">
        <v>0.32</v>
      </c>
      <c r="E562">
        <v>0.12</v>
      </c>
      <c r="F562">
        <v>0.45650000000000002</v>
      </c>
      <c r="G562">
        <v>0.24349999999999999</v>
      </c>
      <c r="H562">
        <v>9.1999999999999998E-2</v>
      </c>
      <c r="I562">
        <v>0.10249999999999999</v>
      </c>
      <c r="J562">
        <v>8</v>
      </c>
      <c r="K562">
        <v>6</v>
      </c>
      <c r="L562" t="s">
        <v>39</v>
      </c>
      <c r="M562" t="s">
        <v>40</v>
      </c>
      <c r="N562" t="s">
        <v>41</v>
      </c>
      <c r="O562">
        <v>8</v>
      </c>
      <c r="P562" t="s">
        <v>19</v>
      </c>
      <c r="Q562">
        <v>12.3</v>
      </c>
      <c r="R562" t="str" cm="1">
        <f t="array" ref="R5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62" t="e">
        <f>IF(Table13[[#This Row],[Category All]]="Category 1", "Yes",NA())</f>
        <v>#N/A</v>
      </c>
      <c r="T562" t="str">
        <f>IF(Table13[[#This Row],[Category All]]="Category 2", "Yes",NA())</f>
        <v>Yes</v>
      </c>
      <c r="U562" t="e">
        <f>IF(Table13[[#This Row],[Category All]]="Category 3", "Yes",NA())</f>
        <v>#N/A</v>
      </c>
      <c r="V562">
        <f>SUM(1,(1/3)*(Table13[[#This Row],[Length]]-0.5),(1/3)*(Table13[[#This Row],[Diameter]]-0.4),(1/3)*(Table13[[#This Row],[Height]]-0.4)*Table13[[#This Row],[Whole_weight]]*0.5)</f>
        <v>0.93203000000000003</v>
      </c>
      <c r="W562" cm="1">
        <f t="array" ref="W5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0.74562400000000006</v>
      </c>
      <c r="X562" t="e">
        <f>IF(Table13[[#This Row],[Category All]]="Category 1",Table13[[#This Row],[Base Abalone Value]]*1.5,NA())</f>
        <v>#N/A</v>
      </c>
      <c r="Y562">
        <f>IF(Table13[[#This Row],[Category All]]="Category 2",Table13[[#This Row],[Base Abalone Value]]*0.8,NA())</f>
        <v>0.74562400000000006</v>
      </c>
      <c r="Z562" t="e">
        <f>IF(Table13[[#This Row],[Category All]]="Category 3",Table13[[#This Row],[Base Abalone Value]],NA())</f>
        <v>#N/A</v>
      </c>
      <c r="AA562" s="2">
        <f>IF(Table13[[#This Row],[Gender]]="M",Table13[[#This Row],[Whole_weight]],NA())</f>
        <v>0.45650000000000002</v>
      </c>
      <c r="AB562" s="2" t="e">
        <f>IF(Table13[[#This Row],[Gender]]="F",Table13[[#This Row],[Whole_weight]],NA())</f>
        <v>#N/A</v>
      </c>
      <c r="AC562" s="2" t="e">
        <f>IF(Table13[[#This Row],[Gender]]="I",Table13[[#This Row],[Whole_weight]],NA())</f>
        <v>#N/A</v>
      </c>
      <c r="AD562" s="2">
        <f>IF(Table13[[#This Row],[Gender]]="M",Table13[[#This Row],[Diameter]],NA())</f>
        <v>0.32</v>
      </c>
      <c r="AE562" s="2" t="e">
        <f>IF(Table13[[#This Row],[Gender]]="F",Table13[[#This Row],[Diameter]],NA())</f>
        <v>#N/A</v>
      </c>
      <c r="AF562" s="2" t="e">
        <f>IF(Table13[[#This Row],[Gender]]="I",Table13[[#This Row],[Diameter]],NA())</f>
        <v>#N/A</v>
      </c>
    </row>
    <row r="563" spans="1:32" x14ac:dyDescent="0.2">
      <c r="A563">
        <v>2800</v>
      </c>
      <c r="B563" t="s">
        <v>15</v>
      </c>
      <c r="C563">
        <v>0.64</v>
      </c>
      <c r="D563">
        <v>0.495</v>
      </c>
      <c r="E563">
        <v>0.17</v>
      </c>
      <c r="F563">
        <v>1.139</v>
      </c>
      <c r="G563">
        <v>0.53949999999999998</v>
      </c>
      <c r="H563">
        <v>0.28199999999999997</v>
      </c>
      <c r="I563">
        <v>0.28499999999999998</v>
      </c>
      <c r="J563">
        <v>10</v>
      </c>
      <c r="K563">
        <v>5</v>
      </c>
      <c r="L563" t="s">
        <v>26</v>
      </c>
      <c r="M563" t="s">
        <v>27</v>
      </c>
      <c r="N563" t="s">
        <v>28</v>
      </c>
      <c r="O563">
        <v>8</v>
      </c>
      <c r="P563" t="s">
        <v>19</v>
      </c>
      <c r="Q563">
        <v>12.3</v>
      </c>
      <c r="R563" t="str" cm="1">
        <f t="array" ref="R5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63" t="e">
        <f>IF(Table13[[#This Row],[Category All]]="Category 1", "Yes",NA())</f>
        <v>#N/A</v>
      </c>
      <c r="T563" t="e">
        <f>IF(Table13[[#This Row],[Category All]]="Category 2", "Yes",NA())</f>
        <v>#N/A</v>
      </c>
      <c r="U563" t="str">
        <f>IF(Table13[[#This Row],[Category All]]="Category 3", "Yes",NA())</f>
        <v>Yes</v>
      </c>
      <c r="V563">
        <f>SUM(1,(1/3)*(Table13[[#This Row],[Length]]-0.5),(1/3)*(Table13[[#This Row],[Diameter]]-0.4),(1/3)*(Table13[[#This Row],[Height]]-0.4)*Table13[[#This Row],[Whole_weight]]*0.5)</f>
        <v>1.0346716666666667</v>
      </c>
      <c r="W563" cm="1">
        <f t="array" ref="W5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1.0346716666666667</v>
      </c>
      <c r="X563" t="e">
        <f>IF(Table13[[#This Row],[Category All]]="Category 1",Table13[[#This Row],[Base Abalone Value]]*1.5,NA())</f>
        <v>#N/A</v>
      </c>
      <c r="Y563" t="e">
        <f>IF(Table13[[#This Row],[Category All]]="Category 2",Table13[[#This Row],[Base Abalone Value]]*0.8,NA())</f>
        <v>#N/A</v>
      </c>
      <c r="Z563">
        <f>IF(Table13[[#This Row],[Category All]]="Category 3",Table13[[#This Row],[Base Abalone Value]],NA())</f>
        <v>1.0346716666666667</v>
      </c>
      <c r="AA563" s="2">
        <f>IF(Table13[[#This Row],[Gender]]="M",Table13[[#This Row],[Whole_weight]],NA())</f>
        <v>1.139</v>
      </c>
      <c r="AB563" s="2" t="e">
        <f>IF(Table13[[#This Row],[Gender]]="F",Table13[[#This Row],[Whole_weight]],NA())</f>
        <v>#N/A</v>
      </c>
      <c r="AC563" s="2" t="e">
        <f>IF(Table13[[#This Row],[Gender]]="I",Table13[[#This Row],[Whole_weight]],NA())</f>
        <v>#N/A</v>
      </c>
      <c r="AD563" s="2">
        <f>IF(Table13[[#This Row],[Gender]]="M",Table13[[#This Row],[Diameter]],NA())</f>
        <v>0.495</v>
      </c>
      <c r="AE563" s="2" t="e">
        <f>IF(Table13[[#This Row],[Gender]]="F",Table13[[#This Row],[Diameter]],NA())</f>
        <v>#N/A</v>
      </c>
      <c r="AF563" s="2" t="e">
        <f>IF(Table13[[#This Row],[Gender]]="I",Table13[[#This Row],[Diameter]],NA())</f>
        <v>#N/A</v>
      </c>
    </row>
    <row r="564" spans="1:32" x14ac:dyDescent="0.2">
      <c r="A564">
        <v>2474</v>
      </c>
      <c r="B564" t="s">
        <v>0</v>
      </c>
      <c r="C564">
        <v>0.61499999999999999</v>
      </c>
      <c r="D564">
        <v>0.47</v>
      </c>
      <c r="E564">
        <v>0.17499999999999999</v>
      </c>
      <c r="F564">
        <v>1.2985</v>
      </c>
      <c r="G564">
        <v>0.51349999999999996</v>
      </c>
      <c r="H564">
        <v>0.34300000000000003</v>
      </c>
      <c r="I564">
        <v>0.32</v>
      </c>
      <c r="J564">
        <v>14</v>
      </c>
      <c r="K564">
        <v>9</v>
      </c>
      <c r="L564" t="s">
        <v>20</v>
      </c>
      <c r="M564" t="s">
        <v>21</v>
      </c>
      <c r="N564" t="s">
        <v>22</v>
      </c>
      <c r="O564">
        <v>3</v>
      </c>
      <c r="P564" t="s">
        <v>48</v>
      </c>
      <c r="Q564">
        <v>3.6</v>
      </c>
      <c r="R564" t="str" cm="1">
        <f t="array" ref="R5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64" t="e">
        <f>IF(Table13[[#This Row],[Category All]]="Category 1", "Yes",NA())</f>
        <v>#N/A</v>
      </c>
      <c r="T564" t="e">
        <f>IF(Table13[[#This Row],[Category All]]="Category 2", "Yes",NA())</f>
        <v>#N/A</v>
      </c>
      <c r="U564" t="str">
        <f>IF(Table13[[#This Row],[Category All]]="Category 3", "Yes",NA())</f>
        <v>Yes</v>
      </c>
      <c r="V564">
        <f>SUM(1,(1/3)*(Table13[[#This Row],[Length]]-0.5),(1/3)*(Table13[[#This Row],[Diameter]]-0.4),(1/3)*(Table13[[#This Row],[Height]]-0.4)*Table13[[#This Row],[Whole_weight]]*0.5)</f>
        <v>1.0129729166666666</v>
      </c>
      <c r="W564" cm="1">
        <f t="array" ref="W5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1.0129729166666666</v>
      </c>
      <c r="X564" t="e">
        <f>IF(Table13[[#This Row],[Category All]]="Category 1",Table13[[#This Row],[Base Abalone Value]]*1.5,NA())</f>
        <v>#N/A</v>
      </c>
      <c r="Y564" t="e">
        <f>IF(Table13[[#This Row],[Category All]]="Category 2",Table13[[#This Row],[Base Abalone Value]]*0.8,NA())</f>
        <v>#N/A</v>
      </c>
      <c r="Z564">
        <f>IF(Table13[[#This Row],[Category All]]="Category 3",Table13[[#This Row],[Base Abalone Value]],NA())</f>
        <v>1.0129729166666666</v>
      </c>
      <c r="AA564" s="2" t="e">
        <f>IF(Table13[[#This Row],[Gender]]="M",Table13[[#This Row],[Whole_weight]],NA())</f>
        <v>#N/A</v>
      </c>
      <c r="AB564" s="2">
        <f>IF(Table13[[#This Row],[Gender]]="F",Table13[[#This Row],[Whole_weight]],NA())</f>
        <v>1.2985</v>
      </c>
      <c r="AC564" s="2" t="e">
        <f>IF(Table13[[#This Row],[Gender]]="I",Table13[[#This Row],[Whole_weight]],NA())</f>
        <v>#N/A</v>
      </c>
      <c r="AD564" s="2" t="e">
        <f>IF(Table13[[#This Row],[Gender]]="M",Table13[[#This Row],[Diameter]],NA())</f>
        <v>#N/A</v>
      </c>
      <c r="AE564" s="2">
        <f>IF(Table13[[#This Row],[Gender]]="F",Table13[[#This Row],[Diameter]],NA())</f>
        <v>0.47</v>
      </c>
      <c r="AF564" s="2" t="e">
        <f>IF(Table13[[#This Row],[Gender]]="I",Table13[[#This Row],[Diameter]],NA())</f>
        <v>#N/A</v>
      </c>
    </row>
    <row r="565" spans="1:32" x14ac:dyDescent="0.2">
      <c r="A565">
        <v>468</v>
      </c>
      <c r="B565" t="s">
        <v>15</v>
      </c>
      <c r="C565">
        <v>0.65500000000000003</v>
      </c>
      <c r="D565">
        <v>0.53</v>
      </c>
      <c r="E565">
        <v>0.19500000000000001</v>
      </c>
      <c r="F565">
        <v>1.3879999999999999</v>
      </c>
      <c r="G565">
        <v>0.56699999999999995</v>
      </c>
      <c r="H565">
        <v>0.27350000000000002</v>
      </c>
      <c r="I565">
        <v>0.41</v>
      </c>
      <c r="J565">
        <v>13</v>
      </c>
      <c r="K565">
        <v>15</v>
      </c>
      <c r="L565" t="s">
        <v>49</v>
      </c>
      <c r="M565" t="s">
        <v>50</v>
      </c>
      <c r="N565" t="s">
        <v>3</v>
      </c>
      <c r="O565">
        <v>9</v>
      </c>
      <c r="P565" t="s">
        <v>46</v>
      </c>
      <c r="Q565">
        <v>1.9</v>
      </c>
      <c r="R565" t="str" cm="1">
        <f t="array" ref="R5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65" t="e">
        <f>IF(Table13[[#This Row],[Category All]]="Category 1", "Yes",NA())</f>
        <v>#N/A</v>
      </c>
      <c r="T565" t="e">
        <f>IF(Table13[[#This Row],[Category All]]="Category 2", "Yes",NA())</f>
        <v>#N/A</v>
      </c>
      <c r="U565" t="str">
        <f>IF(Table13[[#This Row],[Category All]]="Category 3", "Yes",NA())</f>
        <v>Yes</v>
      </c>
      <c r="V565">
        <f>SUM(1,(1/3)*(Table13[[#This Row],[Length]]-0.5),(1/3)*(Table13[[#This Row],[Diameter]]-0.4),(1/3)*(Table13[[#This Row],[Height]]-0.4)*Table13[[#This Row],[Whole_weight]]*0.5)</f>
        <v>1.0475766666666668</v>
      </c>
      <c r="W565" cm="1">
        <f t="array" ref="W5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1.0475766666666668</v>
      </c>
      <c r="X565" t="e">
        <f>IF(Table13[[#This Row],[Category All]]="Category 1",Table13[[#This Row],[Base Abalone Value]]*1.5,NA())</f>
        <v>#N/A</v>
      </c>
      <c r="Y565" t="e">
        <f>IF(Table13[[#This Row],[Category All]]="Category 2",Table13[[#This Row],[Base Abalone Value]]*0.8,NA())</f>
        <v>#N/A</v>
      </c>
      <c r="Z565">
        <f>IF(Table13[[#This Row],[Category All]]="Category 3",Table13[[#This Row],[Base Abalone Value]],NA())</f>
        <v>1.0475766666666668</v>
      </c>
      <c r="AA565" s="2">
        <f>IF(Table13[[#This Row],[Gender]]="M",Table13[[#This Row],[Whole_weight]],NA())</f>
        <v>1.3879999999999999</v>
      </c>
      <c r="AB565" s="2" t="e">
        <f>IF(Table13[[#This Row],[Gender]]="F",Table13[[#This Row],[Whole_weight]],NA())</f>
        <v>#N/A</v>
      </c>
      <c r="AC565" s="2" t="e">
        <f>IF(Table13[[#This Row],[Gender]]="I",Table13[[#This Row],[Whole_weight]],NA())</f>
        <v>#N/A</v>
      </c>
      <c r="AD565" s="2">
        <f>IF(Table13[[#This Row],[Gender]]="M",Table13[[#This Row],[Diameter]],NA())</f>
        <v>0.53</v>
      </c>
      <c r="AE565" s="2" t="e">
        <f>IF(Table13[[#This Row],[Gender]]="F",Table13[[#This Row],[Diameter]],NA())</f>
        <v>#N/A</v>
      </c>
      <c r="AF565" s="2" t="e">
        <f>IF(Table13[[#This Row],[Gender]]="I",Table13[[#This Row],[Diameter]],NA())</f>
        <v>#N/A</v>
      </c>
    </row>
    <row r="566" spans="1:32" x14ac:dyDescent="0.2">
      <c r="A566">
        <v>3005</v>
      </c>
      <c r="B566" t="s">
        <v>0</v>
      </c>
      <c r="C566">
        <v>0.67</v>
      </c>
      <c r="D566">
        <v>0.51500000000000001</v>
      </c>
      <c r="E566">
        <v>0.17</v>
      </c>
      <c r="F566">
        <v>1.4265000000000001</v>
      </c>
      <c r="G566">
        <v>0.66049999999999998</v>
      </c>
      <c r="H566">
        <v>0.33950000000000002</v>
      </c>
      <c r="I566">
        <v>0.37</v>
      </c>
      <c r="J566">
        <v>11</v>
      </c>
      <c r="K566">
        <v>3</v>
      </c>
      <c r="L566" t="s">
        <v>43</v>
      </c>
      <c r="M566" t="s">
        <v>44</v>
      </c>
      <c r="N566" t="s">
        <v>45</v>
      </c>
      <c r="O566">
        <v>1</v>
      </c>
      <c r="P566" t="s">
        <v>4</v>
      </c>
      <c r="Q566">
        <v>22.1</v>
      </c>
      <c r="R566" t="str" cm="1">
        <f t="array" ref="R5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66" t="e">
        <f>IF(Table13[[#This Row],[Category All]]="Category 1", "Yes",NA())</f>
        <v>#N/A</v>
      </c>
      <c r="T566" t="e">
        <f>IF(Table13[[#This Row],[Category All]]="Category 2", "Yes",NA())</f>
        <v>#N/A</v>
      </c>
      <c r="U566" t="str">
        <f>IF(Table13[[#This Row],[Category All]]="Category 3", "Yes",NA())</f>
        <v>Yes</v>
      </c>
      <c r="V566">
        <f>SUM(1,(1/3)*(Table13[[#This Row],[Length]]-0.5),(1/3)*(Table13[[#This Row],[Diameter]]-0.4),(1/3)*(Table13[[#This Row],[Height]]-0.4)*Table13[[#This Row],[Whole_weight]]*0.5)</f>
        <v>1.0403175</v>
      </c>
      <c r="W566" cm="1">
        <f t="array" ref="W5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1.0403175</v>
      </c>
      <c r="X566" t="e">
        <f>IF(Table13[[#This Row],[Category All]]="Category 1",Table13[[#This Row],[Base Abalone Value]]*1.5,NA())</f>
        <v>#N/A</v>
      </c>
      <c r="Y566" t="e">
        <f>IF(Table13[[#This Row],[Category All]]="Category 2",Table13[[#This Row],[Base Abalone Value]]*0.8,NA())</f>
        <v>#N/A</v>
      </c>
      <c r="Z566">
        <f>IF(Table13[[#This Row],[Category All]]="Category 3",Table13[[#This Row],[Base Abalone Value]],NA())</f>
        <v>1.0403175</v>
      </c>
      <c r="AA566" s="2" t="e">
        <f>IF(Table13[[#This Row],[Gender]]="M",Table13[[#This Row],[Whole_weight]],NA())</f>
        <v>#N/A</v>
      </c>
      <c r="AB566" s="2">
        <f>IF(Table13[[#This Row],[Gender]]="F",Table13[[#This Row],[Whole_weight]],NA())</f>
        <v>1.4265000000000001</v>
      </c>
      <c r="AC566" s="2" t="e">
        <f>IF(Table13[[#This Row],[Gender]]="I",Table13[[#This Row],[Whole_weight]],NA())</f>
        <v>#N/A</v>
      </c>
      <c r="AD566" s="2" t="e">
        <f>IF(Table13[[#This Row],[Gender]]="M",Table13[[#This Row],[Diameter]],NA())</f>
        <v>#N/A</v>
      </c>
      <c r="AE566" s="2">
        <f>IF(Table13[[#This Row],[Gender]]="F",Table13[[#This Row],[Diameter]],NA())</f>
        <v>0.51500000000000001</v>
      </c>
      <c r="AF566" s="2" t="e">
        <f>IF(Table13[[#This Row],[Gender]]="I",Table13[[#This Row],[Diameter]],NA())</f>
        <v>#N/A</v>
      </c>
    </row>
    <row r="567" spans="1:32" x14ac:dyDescent="0.2">
      <c r="A567">
        <v>2145</v>
      </c>
      <c r="B567" t="s">
        <v>15</v>
      </c>
      <c r="C567">
        <v>0.45500000000000002</v>
      </c>
      <c r="D567">
        <v>0.35</v>
      </c>
      <c r="E567">
        <v>0.105</v>
      </c>
      <c r="F567">
        <v>0.40100000000000002</v>
      </c>
      <c r="G567">
        <v>0.1575</v>
      </c>
      <c r="H567">
        <v>8.3000000000000004E-2</v>
      </c>
      <c r="I567">
        <v>0.13500000000000001</v>
      </c>
      <c r="J567">
        <v>9</v>
      </c>
      <c r="K567">
        <v>13</v>
      </c>
      <c r="L567" t="s">
        <v>12</v>
      </c>
      <c r="M567" t="s">
        <v>13</v>
      </c>
      <c r="N567" t="s">
        <v>3</v>
      </c>
      <c r="O567">
        <v>6</v>
      </c>
      <c r="P567" t="s">
        <v>47</v>
      </c>
      <c r="Q567">
        <v>14.1</v>
      </c>
      <c r="R567" t="str" cm="1">
        <f t="array" ref="R5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67" t="e">
        <f>IF(Table13[[#This Row],[Category All]]="Category 1", "Yes",NA())</f>
        <v>#N/A</v>
      </c>
      <c r="T567" t="str">
        <f>IF(Table13[[#This Row],[Category All]]="Category 2", "Yes",NA())</f>
        <v>Yes</v>
      </c>
      <c r="U567" t="e">
        <f>IF(Table13[[#This Row],[Category All]]="Category 3", "Yes",NA())</f>
        <v>#N/A</v>
      </c>
      <c r="V567">
        <f>SUM(1,(1/3)*(Table13[[#This Row],[Length]]-0.5),(1/3)*(Table13[[#This Row],[Diameter]]-0.4),(1/3)*(Table13[[#This Row],[Height]]-0.4)*Table13[[#This Row],[Whole_weight]]*0.5)</f>
        <v>0.94861749999999989</v>
      </c>
      <c r="W567" cm="1">
        <f t="array" ref="W5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0.75889399999999996</v>
      </c>
      <c r="X567" t="e">
        <f>IF(Table13[[#This Row],[Category All]]="Category 1",Table13[[#This Row],[Base Abalone Value]]*1.5,NA())</f>
        <v>#N/A</v>
      </c>
      <c r="Y567">
        <f>IF(Table13[[#This Row],[Category All]]="Category 2",Table13[[#This Row],[Base Abalone Value]]*0.8,NA())</f>
        <v>0.75889399999999996</v>
      </c>
      <c r="Z567" t="e">
        <f>IF(Table13[[#This Row],[Category All]]="Category 3",Table13[[#This Row],[Base Abalone Value]],NA())</f>
        <v>#N/A</v>
      </c>
      <c r="AA567" s="2">
        <f>IF(Table13[[#This Row],[Gender]]="M",Table13[[#This Row],[Whole_weight]],NA())</f>
        <v>0.40100000000000002</v>
      </c>
      <c r="AB567" s="2" t="e">
        <f>IF(Table13[[#This Row],[Gender]]="F",Table13[[#This Row],[Whole_weight]],NA())</f>
        <v>#N/A</v>
      </c>
      <c r="AC567" s="2" t="e">
        <f>IF(Table13[[#This Row],[Gender]]="I",Table13[[#This Row],[Whole_weight]],NA())</f>
        <v>#N/A</v>
      </c>
      <c r="AD567" s="2">
        <f>IF(Table13[[#This Row],[Gender]]="M",Table13[[#This Row],[Diameter]],NA())</f>
        <v>0.35</v>
      </c>
      <c r="AE567" s="2" t="e">
        <f>IF(Table13[[#This Row],[Gender]]="F",Table13[[#This Row],[Diameter]],NA())</f>
        <v>#N/A</v>
      </c>
      <c r="AF567" s="2" t="e">
        <f>IF(Table13[[#This Row],[Gender]]="I",Table13[[#This Row],[Diameter]],NA())</f>
        <v>#N/A</v>
      </c>
    </row>
    <row r="568" spans="1:32" x14ac:dyDescent="0.2">
      <c r="A568">
        <v>40</v>
      </c>
      <c r="B568" t="s">
        <v>15</v>
      </c>
      <c r="C568">
        <v>0.35499999999999998</v>
      </c>
      <c r="D568">
        <v>0.28999999999999998</v>
      </c>
      <c r="E568">
        <v>0.09</v>
      </c>
      <c r="F568">
        <v>0.32750000000000001</v>
      </c>
      <c r="G568">
        <v>0.13400000000000001</v>
      </c>
      <c r="H568">
        <v>8.5999999999999993E-2</v>
      </c>
      <c r="I568">
        <v>0.09</v>
      </c>
      <c r="J568">
        <v>9</v>
      </c>
      <c r="K568">
        <v>8</v>
      </c>
      <c r="L568" t="s">
        <v>29</v>
      </c>
      <c r="M568" t="s">
        <v>30</v>
      </c>
      <c r="N568" t="s">
        <v>31</v>
      </c>
      <c r="O568">
        <v>4</v>
      </c>
      <c r="P568" t="s">
        <v>10</v>
      </c>
      <c r="Q568">
        <v>6.1</v>
      </c>
      <c r="R568" t="str" cm="1">
        <f t="array" ref="R5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68" t="e">
        <f>IF(Table13[[#This Row],[Category All]]="Category 1", "Yes",NA())</f>
        <v>#N/A</v>
      </c>
      <c r="T568" t="str">
        <f>IF(Table13[[#This Row],[Category All]]="Category 2", "Yes",NA())</f>
        <v>Yes</v>
      </c>
      <c r="U568" t="e">
        <f>IF(Table13[[#This Row],[Category All]]="Category 3", "Yes",NA())</f>
        <v>#N/A</v>
      </c>
      <c r="V568">
        <f>SUM(1,(1/3)*(Table13[[#This Row],[Length]]-0.5),(1/3)*(Table13[[#This Row],[Diameter]]-0.4),(1/3)*(Table13[[#This Row],[Height]]-0.4)*Table13[[#This Row],[Whole_weight]]*0.5)</f>
        <v>0.89807916666666665</v>
      </c>
      <c r="W568" cm="1">
        <f t="array" ref="W5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0.71846333333333334</v>
      </c>
      <c r="X568" t="e">
        <f>IF(Table13[[#This Row],[Category All]]="Category 1",Table13[[#This Row],[Base Abalone Value]]*1.5,NA())</f>
        <v>#N/A</v>
      </c>
      <c r="Y568">
        <f>IF(Table13[[#This Row],[Category All]]="Category 2",Table13[[#This Row],[Base Abalone Value]]*0.8,NA())</f>
        <v>0.71846333333333334</v>
      </c>
      <c r="Z568" t="e">
        <f>IF(Table13[[#This Row],[Category All]]="Category 3",Table13[[#This Row],[Base Abalone Value]],NA())</f>
        <v>#N/A</v>
      </c>
      <c r="AA568" s="2">
        <f>IF(Table13[[#This Row],[Gender]]="M",Table13[[#This Row],[Whole_weight]],NA())</f>
        <v>0.32750000000000001</v>
      </c>
      <c r="AB568" s="2" t="e">
        <f>IF(Table13[[#This Row],[Gender]]="F",Table13[[#This Row],[Whole_weight]],NA())</f>
        <v>#N/A</v>
      </c>
      <c r="AC568" s="2" t="e">
        <f>IF(Table13[[#This Row],[Gender]]="I",Table13[[#This Row],[Whole_weight]],NA())</f>
        <v>#N/A</v>
      </c>
      <c r="AD568" s="2">
        <f>IF(Table13[[#This Row],[Gender]]="M",Table13[[#This Row],[Diameter]],NA())</f>
        <v>0.28999999999999998</v>
      </c>
      <c r="AE568" s="2" t="e">
        <f>IF(Table13[[#This Row],[Gender]]="F",Table13[[#This Row],[Diameter]],NA())</f>
        <v>#N/A</v>
      </c>
      <c r="AF568" s="2" t="e">
        <f>IF(Table13[[#This Row],[Gender]]="I",Table13[[#This Row],[Diameter]],NA())</f>
        <v>#N/A</v>
      </c>
    </row>
    <row r="569" spans="1:32" x14ac:dyDescent="0.2">
      <c r="A569">
        <v>332</v>
      </c>
      <c r="B569" t="s">
        <v>0</v>
      </c>
      <c r="C569">
        <v>0.4</v>
      </c>
      <c r="D569">
        <v>0.32500000000000001</v>
      </c>
      <c r="E569">
        <v>0.12</v>
      </c>
      <c r="F569">
        <v>0.31850000000000001</v>
      </c>
      <c r="G569">
        <v>0.13400000000000001</v>
      </c>
      <c r="H569">
        <v>5.6500000000000002E-2</v>
      </c>
      <c r="I569">
        <v>9.5000000000000001E-2</v>
      </c>
      <c r="J569">
        <v>8</v>
      </c>
      <c r="K569">
        <v>11</v>
      </c>
      <c r="L569" t="s">
        <v>5</v>
      </c>
      <c r="M569" t="s">
        <v>6</v>
      </c>
      <c r="N569" t="s">
        <v>3</v>
      </c>
      <c r="O569">
        <v>3</v>
      </c>
      <c r="P569" t="s">
        <v>48</v>
      </c>
      <c r="Q569">
        <v>3.6</v>
      </c>
      <c r="R569" t="str" cm="1">
        <f t="array" ref="R5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69" t="e">
        <f>IF(Table13[[#This Row],[Category All]]="Category 1", "Yes",NA())</f>
        <v>#N/A</v>
      </c>
      <c r="T569" t="str">
        <f>IF(Table13[[#This Row],[Category All]]="Category 2", "Yes",NA())</f>
        <v>Yes</v>
      </c>
      <c r="U569" t="e">
        <f>IF(Table13[[#This Row],[Category All]]="Category 3", "Yes",NA())</f>
        <v>#N/A</v>
      </c>
      <c r="V569">
        <f>SUM(1,(1/3)*(Table13[[#This Row],[Length]]-0.5),(1/3)*(Table13[[#This Row],[Diameter]]-0.4),(1/3)*(Table13[[#This Row],[Height]]-0.4)*Table13[[#This Row],[Whole_weight]]*0.5)</f>
        <v>0.92680333333333331</v>
      </c>
      <c r="W569" cm="1">
        <f t="array" ref="W5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0.74144266666666669</v>
      </c>
      <c r="X569" t="e">
        <f>IF(Table13[[#This Row],[Category All]]="Category 1",Table13[[#This Row],[Base Abalone Value]]*1.5,NA())</f>
        <v>#N/A</v>
      </c>
      <c r="Y569">
        <f>IF(Table13[[#This Row],[Category All]]="Category 2",Table13[[#This Row],[Base Abalone Value]]*0.8,NA())</f>
        <v>0.74144266666666669</v>
      </c>
      <c r="Z569" t="e">
        <f>IF(Table13[[#This Row],[Category All]]="Category 3",Table13[[#This Row],[Base Abalone Value]],NA())</f>
        <v>#N/A</v>
      </c>
      <c r="AA569" s="2" t="e">
        <f>IF(Table13[[#This Row],[Gender]]="M",Table13[[#This Row],[Whole_weight]],NA())</f>
        <v>#N/A</v>
      </c>
      <c r="AB569" s="2">
        <f>IF(Table13[[#This Row],[Gender]]="F",Table13[[#This Row],[Whole_weight]],NA())</f>
        <v>0.31850000000000001</v>
      </c>
      <c r="AC569" s="2" t="e">
        <f>IF(Table13[[#This Row],[Gender]]="I",Table13[[#This Row],[Whole_weight]],NA())</f>
        <v>#N/A</v>
      </c>
      <c r="AD569" s="2" t="e">
        <f>IF(Table13[[#This Row],[Gender]]="M",Table13[[#This Row],[Diameter]],NA())</f>
        <v>#N/A</v>
      </c>
      <c r="AE569" s="2">
        <f>IF(Table13[[#This Row],[Gender]]="F",Table13[[#This Row],[Diameter]],NA())</f>
        <v>0.32500000000000001</v>
      </c>
      <c r="AF569" s="2" t="e">
        <f>IF(Table13[[#This Row],[Gender]]="I",Table13[[#This Row],[Diameter]],NA())</f>
        <v>#N/A</v>
      </c>
    </row>
    <row r="570" spans="1:32" x14ac:dyDescent="0.2">
      <c r="A570">
        <v>1894</v>
      </c>
      <c r="B570" t="s">
        <v>11</v>
      </c>
      <c r="C570">
        <v>0.56499999999999995</v>
      </c>
      <c r="D570">
        <v>0.46</v>
      </c>
      <c r="E570">
        <v>0.155</v>
      </c>
      <c r="F570">
        <v>0.87150000000000005</v>
      </c>
      <c r="G570">
        <v>0.3755</v>
      </c>
      <c r="H570">
        <v>0.215</v>
      </c>
      <c r="I570">
        <v>0.25</v>
      </c>
      <c r="J570">
        <v>10</v>
      </c>
      <c r="K570">
        <v>5</v>
      </c>
      <c r="L570" t="s">
        <v>26</v>
      </c>
      <c r="M570" t="s">
        <v>27</v>
      </c>
      <c r="N570" t="s">
        <v>28</v>
      </c>
      <c r="O570">
        <v>6</v>
      </c>
      <c r="P570" t="s">
        <v>47</v>
      </c>
      <c r="Q570">
        <v>14.1</v>
      </c>
      <c r="R570" t="str" cm="1">
        <f t="array" ref="R5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0" t="e">
        <f>IF(Table13[[#This Row],[Category All]]="Category 1", "Yes",NA())</f>
        <v>#N/A</v>
      </c>
      <c r="T570" t="str">
        <f>IF(Table13[[#This Row],[Category All]]="Category 2", "Yes",NA())</f>
        <v>Yes</v>
      </c>
      <c r="U570" t="e">
        <f>IF(Table13[[#This Row],[Category All]]="Category 3", "Yes",NA())</f>
        <v>#N/A</v>
      </c>
      <c r="V570">
        <f>SUM(1,(1/3)*(Table13[[#This Row],[Length]]-0.5),(1/3)*(Table13[[#This Row],[Diameter]]-0.4),(1/3)*(Table13[[#This Row],[Height]]-0.4)*Table13[[#This Row],[Whole_weight]]*0.5)</f>
        <v>1.0060804166666668</v>
      </c>
      <c r="W570" cm="1">
        <f t="array" ref="W5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0.80486433333333351</v>
      </c>
      <c r="X570" t="e">
        <f>IF(Table13[[#This Row],[Category All]]="Category 1",Table13[[#This Row],[Base Abalone Value]]*1.5,NA())</f>
        <v>#N/A</v>
      </c>
      <c r="Y570">
        <f>IF(Table13[[#This Row],[Category All]]="Category 2",Table13[[#This Row],[Base Abalone Value]]*0.8,NA())</f>
        <v>0.80486433333333351</v>
      </c>
      <c r="Z570" t="e">
        <f>IF(Table13[[#This Row],[Category All]]="Category 3",Table13[[#This Row],[Base Abalone Value]],NA())</f>
        <v>#N/A</v>
      </c>
      <c r="AA570" s="2" t="e">
        <f>IF(Table13[[#This Row],[Gender]]="M",Table13[[#This Row],[Whole_weight]],NA())</f>
        <v>#N/A</v>
      </c>
      <c r="AB570" s="2" t="e">
        <f>IF(Table13[[#This Row],[Gender]]="F",Table13[[#This Row],[Whole_weight]],NA())</f>
        <v>#N/A</v>
      </c>
      <c r="AC570" s="2">
        <f>IF(Table13[[#This Row],[Gender]]="I",Table13[[#This Row],[Whole_weight]],NA())</f>
        <v>0.87150000000000005</v>
      </c>
      <c r="AD570" s="2" t="e">
        <f>IF(Table13[[#This Row],[Gender]]="M",Table13[[#This Row],[Diameter]],NA())</f>
        <v>#N/A</v>
      </c>
      <c r="AE570" s="2" t="e">
        <f>IF(Table13[[#This Row],[Gender]]="F",Table13[[#This Row],[Diameter]],NA())</f>
        <v>#N/A</v>
      </c>
      <c r="AF570" s="2">
        <f>IF(Table13[[#This Row],[Gender]]="I",Table13[[#This Row],[Diameter]],NA())</f>
        <v>0.46</v>
      </c>
    </row>
    <row r="571" spans="1:32" x14ac:dyDescent="0.2">
      <c r="A571">
        <v>2017</v>
      </c>
      <c r="B571" t="s">
        <v>15</v>
      </c>
      <c r="C571">
        <v>0.505</v>
      </c>
      <c r="D571">
        <v>0.39</v>
      </c>
      <c r="E571">
        <v>0.12</v>
      </c>
      <c r="F571">
        <v>0.65300000000000002</v>
      </c>
      <c r="G571">
        <v>0.33150000000000002</v>
      </c>
      <c r="H571">
        <v>0.13850000000000001</v>
      </c>
      <c r="I571">
        <v>0.16700000000000001</v>
      </c>
      <c r="J571">
        <v>9</v>
      </c>
      <c r="K571">
        <v>11</v>
      </c>
      <c r="L571" t="s">
        <v>5</v>
      </c>
      <c r="M571" t="s">
        <v>6</v>
      </c>
      <c r="N571" t="s">
        <v>3</v>
      </c>
      <c r="O571">
        <v>3</v>
      </c>
      <c r="P571" t="s">
        <v>48</v>
      </c>
      <c r="Q571">
        <v>3.6</v>
      </c>
      <c r="R571" t="str" cm="1">
        <f t="array" ref="R5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1" t="e">
        <f>IF(Table13[[#This Row],[Category All]]="Category 1", "Yes",NA())</f>
        <v>#N/A</v>
      </c>
      <c r="T571" t="str">
        <f>IF(Table13[[#This Row],[Category All]]="Category 2", "Yes",NA())</f>
        <v>Yes</v>
      </c>
      <c r="U571" t="e">
        <f>IF(Table13[[#This Row],[Category All]]="Category 3", "Yes",NA())</f>
        <v>#N/A</v>
      </c>
      <c r="V571">
        <f>SUM(1,(1/3)*(Table13[[#This Row],[Length]]-0.5),(1/3)*(Table13[[#This Row],[Diameter]]-0.4),(1/3)*(Table13[[#This Row],[Height]]-0.4)*Table13[[#This Row],[Whole_weight]]*0.5)</f>
        <v>0.96786000000000005</v>
      </c>
      <c r="W571" cm="1">
        <f t="array" ref="W5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0.77428800000000009</v>
      </c>
      <c r="X571" t="e">
        <f>IF(Table13[[#This Row],[Category All]]="Category 1",Table13[[#This Row],[Base Abalone Value]]*1.5,NA())</f>
        <v>#N/A</v>
      </c>
      <c r="Y571">
        <f>IF(Table13[[#This Row],[Category All]]="Category 2",Table13[[#This Row],[Base Abalone Value]]*0.8,NA())</f>
        <v>0.77428800000000009</v>
      </c>
      <c r="Z571" t="e">
        <f>IF(Table13[[#This Row],[Category All]]="Category 3",Table13[[#This Row],[Base Abalone Value]],NA())</f>
        <v>#N/A</v>
      </c>
      <c r="AA571" s="2">
        <f>IF(Table13[[#This Row],[Gender]]="M",Table13[[#This Row],[Whole_weight]],NA())</f>
        <v>0.65300000000000002</v>
      </c>
      <c r="AB571" s="2" t="e">
        <f>IF(Table13[[#This Row],[Gender]]="F",Table13[[#This Row],[Whole_weight]],NA())</f>
        <v>#N/A</v>
      </c>
      <c r="AC571" s="2" t="e">
        <f>IF(Table13[[#This Row],[Gender]]="I",Table13[[#This Row],[Whole_weight]],NA())</f>
        <v>#N/A</v>
      </c>
      <c r="AD571" s="2">
        <f>IF(Table13[[#This Row],[Gender]]="M",Table13[[#This Row],[Diameter]],NA())</f>
        <v>0.39</v>
      </c>
      <c r="AE571" s="2" t="e">
        <f>IF(Table13[[#This Row],[Gender]]="F",Table13[[#This Row],[Diameter]],NA())</f>
        <v>#N/A</v>
      </c>
      <c r="AF571" s="2" t="e">
        <f>IF(Table13[[#This Row],[Gender]]="I",Table13[[#This Row],[Diameter]],NA())</f>
        <v>#N/A</v>
      </c>
    </row>
    <row r="572" spans="1:32" x14ac:dyDescent="0.2">
      <c r="A572">
        <v>844</v>
      </c>
      <c r="B572" t="s">
        <v>15</v>
      </c>
      <c r="C572">
        <v>0.505</v>
      </c>
      <c r="D572">
        <v>0.44</v>
      </c>
      <c r="E572">
        <v>0.14000000000000001</v>
      </c>
      <c r="F572">
        <v>0.82750000000000001</v>
      </c>
      <c r="G572">
        <v>0.34150000000000003</v>
      </c>
      <c r="H572">
        <v>0.1855</v>
      </c>
      <c r="I572">
        <v>0.23899999999999999</v>
      </c>
      <c r="J572">
        <v>8</v>
      </c>
      <c r="K572">
        <v>13</v>
      </c>
      <c r="L572" t="s">
        <v>12</v>
      </c>
      <c r="M572" t="s">
        <v>13</v>
      </c>
      <c r="N572" t="s">
        <v>3</v>
      </c>
      <c r="O572">
        <v>2</v>
      </c>
      <c r="P572" t="s">
        <v>7</v>
      </c>
      <c r="Q572">
        <v>18</v>
      </c>
      <c r="R572" t="str" cm="1">
        <f t="array" ref="R5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2" t="e">
        <f>IF(Table13[[#This Row],[Category All]]="Category 1", "Yes",NA())</f>
        <v>#N/A</v>
      </c>
      <c r="T572" t="str">
        <f>IF(Table13[[#This Row],[Category All]]="Category 2", "Yes",NA())</f>
        <v>Yes</v>
      </c>
      <c r="U572" t="e">
        <f>IF(Table13[[#This Row],[Category All]]="Category 3", "Yes",NA())</f>
        <v>#N/A</v>
      </c>
      <c r="V572">
        <f>SUM(1,(1/3)*(Table13[[#This Row],[Length]]-0.5),(1/3)*(Table13[[#This Row],[Diameter]]-0.4),(1/3)*(Table13[[#This Row],[Height]]-0.4)*Table13[[#This Row],[Whole_weight]]*0.5)</f>
        <v>0.9791416666666668</v>
      </c>
      <c r="W572" cm="1">
        <f t="array" ref="W5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0.78331333333333353</v>
      </c>
      <c r="X572" t="e">
        <f>IF(Table13[[#This Row],[Category All]]="Category 1",Table13[[#This Row],[Base Abalone Value]]*1.5,NA())</f>
        <v>#N/A</v>
      </c>
      <c r="Y572">
        <f>IF(Table13[[#This Row],[Category All]]="Category 2",Table13[[#This Row],[Base Abalone Value]]*0.8,NA())</f>
        <v>0.78331333333333353</v>
      </c>
      <c r="Z572" t="e">
        <f>IF(Table13[[#This Row],[Category All]]="Category 3",Table13[[#This Row],[Base Abalone Value]],NA())</f>
        <v>#N/A</v>
      </c>
      <c r="AA572" s="2">
        <f>IF(Table13[[#This Row],[Gender]]="M",Table13[[#This Row],[Whole_weight]],NA())</f>
        <v>0.82750000000000001</v>
      </c>
      <c r="AB572" s="2" t="e">
        <f>IF(Table13[[#This Row],[Gender]]="F",Table13[[#This Row],[Whole_weight]],NA())</f>
        <v>#N/A</v>
      </c>
      <c r="AC572" s="2" t="e">
        <f>IF(Table13[[#This Row],[Gender]]="I",Table13[[#This Row],[Whole_weight]],NA())</f>
        <v>#N/A</v>
      </c>
      <c r="AD572" s="2">
        <f>IF(Table13[[#This Row],[Gender]]="M",Table13[[#This Row],[Diameter]],NA())</f>
        <v>0.44</v>
      </c>
      <c r="AE572" s="2" t="e">
        <f>IF(Table13[[#This Row],[Gender]]="F",Table13[[#This Row],[Diameter]],NA())</f>
        <v>#N/A</v>
      </c>
      <c r="AF572" s="2" t="e">
        <f>IF(Table13[[#This Row],[Gender]]="I",Table13[[#This Row],[Diameter]],NA())</f>
        <v>#N/A</v>
      </c>
    </row>
    <row r="573" spans="1:32" x14ac:dyDescent="0.2">
      <c r="A573">
        <v>3264</v>
      </c>
      <c r="B573" t="s">
        <v>15</v>
      </c>
      <c r="C573">
        <v>0.56499999999999995</v>
      </c>
      <c r="D573">
        <v>0.45</v>
      </c>
      <c r="E573">
        <v>0.115</v>
      </c>
      <c r="F573">
        <v>0.90849999999999997</v>
      </c>
      <c r="G573">
        <v>0.39800000000000002</v>
      </c>
      <c r="H573">
        <v>0.19700000000000001</v>
      </c>
      <c r="I573">
        <v>0.28999999999999998</v>
      </c>
      <c r="J573">
        <v>17</v>
      </c>
      <c r="K573">
        <v>3</v>
      </c>
      <c r="L573" t="s">
        <v>43</v>
      </c>
      <c r="M573" t="s">
        <v>44</v>
      </c>
      <c r="N573" t="s">
        <v>45</v>
      </c>
      <c r="O573">
        <v>9</v>
      </c>
      <c r="P573" t="s">
        <v>46</v>
      </c>
      <c r="Q573">
        <v>1.9</v>
      </c>
      <c r="R573" t="str" cm="1">
        <f t="array" ref="R5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3" t="e">
        <f>IF(Table13[[#This Row],[Category All]]="Category 1", "Yes",NA())</f>
        <v>#N/A</v>
      </c>
      <c r="T573" t="str">
        <f>IF(Table13[[#This Row],[Category All]]="Category 2", "Yes",NA())</f>
        <v>Yes</v>
      </c>
      <c r="U573" t="e">
        <f>IF(Table13[[#This Row],[Category All]]="Category 3", "Yes",NA())</f>
        <v>#N/A</v>
      </c>
      <c r="V573">
        <f>SUM(1,(1/3)*(Table13[[#This Row],[Length]]-0.5),(1/3)*(Table13[[#This Row],[Diameter]]-0.4),(1/3)*(Table13[[#This Row],[Height]]-0.4)*Table13[[#This Row],[Whole_weight]]*0.5)</f>
        <v>0.99517958333333334</v>
      </c>
      <c r="W573" cm="1">
        <f t="array" ref="W5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0.79614366666666669</v>
      </c>
      <c r="X573" t="e">
        <f>IF(Table13[[#This Row],[Category All]]="Category 1",Table13[[#This Row],[Base Abalone Value]]*1.5,NA())</f>
        <v>#N/A</v>
      </c>
      <c r="Y573">
        <f>IF(Table13[[#This Row],[Category All]]="Category 2",Table13[[#This Row],[Base Abalone Value]]*0.8,NA())</f>
        <v>0.79614366666666669</v>
      </c>
      <c r="Z573" t="e">
        <f>IF(Table13[[#This Row],[Category All]]="Category 3",Table13[[#This Row],[Base Abalone Value]],NA())</f>
        <v>#N/A</v>
      </c>
      <c r="AA573" s="2">
        <f>IF(Table13[[#This Row],[Gender]]="M",Table13[[#This Row],[Whole_weight]],NA())</f>
        <v>0.90849999999999997</v>
      </c>
      <c r="AB573" s="2" t="e">
        <f>IF(Table13[[#This Row],[Gender]]="F",Table13[[#This Row],[Whole_weight]],NA())</f>
        <v>#N/A</v>
      </c>
      <c r="AC573" s="2" t="e">
        <f>IF(Table13[[#This Row],[Gender]]="I",Table13[[#This Row],[Whole_weight]],NA())</f>
        <v>#N/A</v>
      </c>
      <c r="AD573" s="2">
        <f>IF(Table13[[#This Row],[Gender]]="M",Table13[[#This Row],[Diameter]],NA())</f>
        <v>0.45</v>
      </c>
      <c r="AE573" s="2" t="e">
        <f>IF(Table13[[#This Row],[Gender]]="F",Table13[[#This Row],[Diameter]],NA())</f>
        <v>#N/A</v>
      </c>
      <c r="AF573" s="2" t="e">
        <f>IF(Table13[[#This Row],[Gender]]="I",Table13[[#This Row],[Diameter]],NA())</f>
        <v>#N/A</v>
      </c>
    </row>
    <row r="574" spans="1:32" x14ac:dyDescent="0.2">
      <c r="A574">
        <v>235</v>
      </c>
      <c r="B574" t="s">
        <v>11</v>
      </c>
      <c r="C574">
        <v>0.44</v>
      </c>
      <c r="D574">
        <v>0.35</v>
      </c>
      <c r="E574">
        <v>0.13500000000000001</v>
      </c>
      <c r="F574">
        <v>0.435</v>
      </c>
      <c r="G574">
        <v>0.18149999999999999</v>
      </c>
      <c r="H574">
        <v>8.3000000000000004E-2</v>
      </c>
      <c r="I574">
        <v>0.125</v>
      </c>
      <c r="J574">
        <v>12</v>
      </c>
      <c r="K574">
        <v>5</v>
      </c>
      <c r="L574" t="s">
        <v>26</v>
      </c>
      <c r="M574" t="s">
        <v>27</v>
      </c>
      <c r="N574" t="s">
        <v>28</v>
      </c>
      <c r="O574">
        <v>5</v>
      </c>
      <c r="P574" t="s">
        <v>14</v>
      </c>
      <c r="Q574">
        <v>12.8</v>
      </c>
      <c r="R574" t="str" cm="1">
        <f t="array" ref="R5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4" t="e">
        <f>IF(Table13[[#This Row],[Category All]]="Category 1", "Yes",NA())</f>
        <v>#N/A</v>
      </c>
      <c r="T574" t="str">
        <f>IF(Table13[[#This Row],[Category All]]="Category 2", "Yes",NA())</f>
        <v>Yes</v>
      </c>
      <c r="U574" t="e">
        <f>IF(Table13[[#This Row],[Category All]]="Category 3", "Yes",NA())</f>
        <v>#N/A</v>
      </c>
      <c r="V574">
        <f>SUM(1,(1/3)*(Table13[[#This Row],[Length]]-0.5),(1/3)*(Table13[[#This Row],[Diameter]]-0.4),(1/3)*(Table13[[#This Row],[Height]]-0.4)*Table13[[#This Row],[Whole_weight]]*0.5)</f>
        <v>0.9441208333333333</v>
      </c>
      <c r="W574" cm="1">
        <f t="array" ref="W5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0.75529666666666673</v>
      </c>
      <c r="X574" t="e">
        <f>IF(Table13[[#This Row],[Category All]]="Category 1",Table13[[#This Row],[Base Abalone Value]]*1.5,NA())</f>
        <v>#N/A</v>
      </c>
      <c r="Y574">
        <f>IF(Table13[[#This Row],[Category All]]="Category 2",Table13[[#This Row],[Base Abalone Value]]*0.8,NA())</f>
        <v>0.75529666666666673</v>
      </c>
      <c r="Z574" t="e">
        <f>IF(Table13[[#This Row],[Category All]]="Category 3",Table13[[#This Row],[Base Abalone Value]],NA())</f>
        <v>#N/A</v>
      </c>
      <c r="AA574" s="2" t="e">
        <f>IF(Table13[[#This Row],[Gender]]="M",Table13[[#This Row],[Whole_weight]],NA())</f>
        <v>#N/A</v>
      </c>
      <c r="AB574" s="2" t="e">
        <f>IF(Table13[[#This Row],[Gender]]="F",Table13[[#This Row],[Whole_weight]],NA())</f>
        <v>#N/A</v>
      </c>
      <c r="AC574" s="2">
        <f>IF(Table13[[#This Row],[Gender]]="I",Table13[[#This Row],[Whole_weight]],NA())</f>
        <v>0.435</v>
      </c>
      <c r="AD574" s="2" t="e">
        <f>IF(Table13[[#This Row],[Gender]]="M",Table13[[#This Row],[Diameter]],NA())</f>
        <v>#N/A</v>
      </c>
      <c r="AE574" s="2" t="e">
        <f>IF(Table13[[#This Row],[Gender]]="F",Table13[[#This Row],[Diameter]],NA())</f>
        <v>#N/A</v>
      </c>
      <c r="AF574" s="2">
        <f>IF(Table13[[#This Row],[Gender]]="I",Table13[[#This Row],[Diameter]],NA())</f>
        <v>0.35</v>
      </c>
    </row>
    <row r="575" spans="1:32" x14ac:dyDescent="0.2">
      <c r="A575">
        <v>2634</v>
      </c>
      <c r="B575" t="s">
        <v>11</v>
      </c>
      <c r="C575">
        <v>0.42499999999999999</v>
      </c>
      <c r="D575">
        <v>0.33</v>
      </c>
      <c r="E575">
        <v>0.115</v>
      </c>
      <c r="F575">
        <v>0.32650000000000001</v>
      </c>
      <c r="G575">
        <v>0.13150000000000001</v>
      </c>
      <c r="H575">
        <v>7.6999999999999999E-2</v>
      </c>
      <c r="I575">
        <v>0.10299999999999999</v>
      </c>
      <c r="J575">
        <v>6</v>
      </c>
      <c r="K575">
        <v>8</v>
      </c>
      <c r="L575" t="s">
        <v>29</v>
      </c>
      <c r="M575" t="s">
        <v>30</v>
      </c>
      <c r="N575" t="s">
        <v>31</v>
      </c>
      <c r="O575">
        <v>4</v>
      </c>
      <c r="P575" t="s">
        <v>10</v>
      </c>
      <c r="Q575">
        <v>6.1</v>
      </c>
      <c r="R575" t="str" cm="1">
        <f t="array" ref="R5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5" t="e">
        <f>IF(Table13[[#This Row],[Category All]]="Category 1", "Yes",NA())</f>
        <v>#N/A</v>
      </c>
      <c r="T575" t="str">
        <f>IF(Table13[[#This Row],[Category All]]="Category 2", "Yes",NA())</f>
        <v>Yes</v>
      </c>
      <c r="U575" t="e">
        <f>IF(Table13[[#This Row],[Category All]]="Category 3", "Yes",NA())</f>
        <v>#N/A</v>
      </c>
      <c r="V575">
        <f>SUM(1,(1/3)*(Table13[[#This Row],[Length]]-0.5),(1/3)*(Table13[[#This Row],[Diameter]]-0.4),(1/3)*(Table13[[#This Row],[Height]]-0.4)*Table13[[#This Row],[Whole_weight]]*0.5)</f>
        <v>0.9361579166666667</v>
      </c>
      <c r="W575" cm="1">
        <f t="array" ref="W5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0.74892633333333336</v>
      </c>
      <c r="X575" t="e">
        <f>IF(Table13[[#This Row],[Category All]]="Category 1",Table13[[#This Row],[Base Abalone Value]]*1.5,NA())</f>
        <v>#N/A</v>
      </c>
      <c r="Y575">
        <f>IF(Table13[[#This Row],[Category All]]="Category 2",Table13[[#This Row],[Base Abalone Value]]*0.8,NA())</f>
        <v>0.74892633333333336</v>
      </c>
      <c r="Z575" t="e">
        <f>IF(Table13[[#This Row],[Category All]]="Category 3",Table13[[#This Row],[Base Abalone Value]],NA())</f>
        <v>#N/A</v>
      </c>
      <c r="AA575" s="2" t="e">
        <f>IF(Table13[[#This Row],[Gender]]="M",Table13[[#This Row],[Whole_weight]],NA())</f>
        <v>#N/A</v>
      </c>
      <c r="AB575" s="2" t="e">
        <f>IF(Table13[[#This Row],[Gender]]="F",Table13[[#This Row],[Whole_weight]],NA())</f>
        <v>#N/A</v>
      </c>
      <c r="AC575" s="2">
        <f>IF(Table13[[#This Row],[Gender]]="I",Table13[[#This Row],[Whole_weight]],NA())</f>
        <v>0.32650000000000001</v>
      </c>
      <c r="AD575" s="2" t="e">
        <f>IF(Table13[[#This Row],[Gender]]="M",Table13[[#This Row],[Diameter]],NA())</f>
        <v>#N/A</v>
      </c>
      <c r="AE575" s="2" t="e">
        <f>IF(Table13[[#This Row],[Gender]]="F",Table13[[#This Row],[Diameter]],NA())</f>
        <v>#N/A</v>
      </c>
      <c r="AF575" s="2">
        <f>IF(Table13[[#This Row],[Gender]]="I",Table13[[#This Row],[Diameter]],NA())</f>
        <v>0.33</v>
      </c>
    </row>
    <row r="576" spans="1:32" x14ac:dyDescent="0.2">
      <c r="A576">
        <v>2532</v>
      </c>
      <c r="B576" t="s">
        <v>15</v>
      </c>
      <c r="C576">
        <v>0.60499999999999998</v>
      </c>
      <c r="D576">
        <v>0.47499999999999998</v>
      </c>
      <c r="E576">
        <v>0.17499999999999999</v>
      </c>
      <c r="F576">
        <v>1.2010000000000001</v>
      </c>
      <c r="G576">
        <v>0.53949999999999998</v>
      </c>
      <c r="H576">
        <v>0.27500000000000002</v>
      </c>
      <c r="I576">
        <v>0.309</v>
      </c>
      <c r="J576">
        <v>10</v>
      </c>
      <c r="K576">
        <v>10</v>
      </c>
      <c r="L576" t="s">
        <v>16</v>
      </c>
      <c r="M576" t="s">
        <v>17</v>
      </c>
      <c r="N576" t="s">
        <v>18</v>
      </c>
      <c r="O576">
        <v>10</v>
      </c>
      <c r="P576" t="s">
        <v>38</v>
      </c>
      <c r="Q576">
        <v>24.1</v>
      </c>
      <c r="R576" t="str" cm="1">
        <f t="array" ref="R5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76" t="e">
        <f>IF(Table13[[#This Row],[Category All]]="Category 1", "Yes",NA())</f>
        <v>#N/A</v>
      </c>
      <c r="T576" t="e">
        <f>IF(Table13[[#This Row],[Category All]]="Category 2", "Yes",NA())</f>
        <v>#N/A</v>
      </c>
      <c r="U576" t="str">
        <f>IF(Table13[[#This Row],[Category All]]="Category 3", "Yes",NA())</f>
        <v>Yes</v>
      </c>
      <c r="V576">
        <f>SUM(1,(1/3)*(Table13[[#This Row],[Length]]-0.5),(1/3)*(Table13[[#This Row],[Diameter]]-0.4),(1/3)*(Table13[[#This Row],[Height]]-0.4)*Table13[[#This Row],[Whole_weight]]*0.5)</f>
        <v>1.0149624999999998</v>
      </c>
      <c r="W576" cm="1">
        <f t="array" ref="W5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1.0149624999999998</v>
      </c>
      <c r="X576" t="e">
        <f>IF(Table13[[#This Row],[Category All]]="Category 1",Table13[[#This Row],[Base Abalone Value]]*1.5,NA())</f>
        <v>#N/A</v>
      </c>
      <c r="Y576" t="e">
        <f>IF(Table13[[#This Row],[Category All]]="Category 2",Table13[[#This Row],[Base Abalone Value]]*0.8,NA())</f>
        <v>#N/A</v>
      </c>
      <c r="Z576">
        <f>IF(Table13[[#This Row],[Category All]]="Category 3",Table13[[#This Row],[Base Abalone Value]],NA())</f>
        <v>1.0149624999999998</v>
      </c>
      <c r="AA576" s="2">
        <f>IF(Table13[[#This Row],[Gender]]="M",Table13[[#This Row],[Whole_weight]],NA())</f>
        <v>1.2010000000000001</v>
      </c>
      <c r="AB576" s="2" t="e">
        <f>IF(Table13[[#This Row],[Gender]]="F",Table13[[#This Row],[Whole_weight]],NA())</f>
        <v>#N/A</v>
      </c>
      <c r="AC576" s="2" t="e">
        <f>IF(Table13[[#This Row],[Gender]]="I",Table13[[#This Row],[Whole_weight]],NA())</f>
        <v>#N/A</v>
      </c>
      <c r="AD576" s="2">
        <f>IF(Table13[[#This Row],[Gender]]="M",Table13[[#This Row],[Diameter]],NA())</f>
        <v>0.47499999999999998</v>
      </c>
      <c r="AE576" s="2" t="e">
        <f>IF(Table13[[#This Row],[Gender]]="F",Table13[[#This Row],[Diameter]],NA())</f>
        <v>#N/A</v>
      </c>
      <c r="AF576" s="2" t="e">
        <f>IF(Table13[[#This Row],[Gender]]="I",Table13[[#This Row],[Diameter]],NA())</f>
        <v>#N/A</v>
      </c>
    </row>
    <row r="577" spans="1:32" x14ac:dyDescent="0.2">
      <c r="A577">
        <v>2505</v>
      </c>
      <c r="B577" t="s">
        <v>11</v>
      </c>
      <c r="C577">
        <v>0.31</v>
      </c>
      <c r="D577">
        <v>0.24</v>
      </c>
      <c r="E577">
        <v>0.105</v>
      </c>
      <c r="F577">
        <v>0.28849999999999998</v>
      </c>
      <c r="G577">
        <v>0.11799999999999999</v>
      </c>
      <c r="H577">
        <v>6.5000000000000002E-2</v>
      </c>
      <c r="I577">
        <v>8.3000000000000004E-2</v>
      </c>
      <c r="J577">
        <v>6</v>
      </c>
      <c r="K577">
        <v>7</v>
      </c>
      <c r="L577" t="s">
        <v>35</v>
      </c>
      <c r="M577" t="s">
        <v>36</v>
      </c>
      <c r="N577" t="s">
        <v>37</v>
      </c>
      <c r="O577">
        <v>9</v>
      </c>
      <c r="P577" t="s">
        <v>46</v>
      </c>
      <c r="Q577">
        <v>1.9</v>
      </c>
      <c r="R577" t="str" cm="1">
        <f t="array" ref="R5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7" t="e">
        <f>IF(Table13[[#This Row],[Category All]]="Category 1", "Yes",NA())</f>
        <v>#N/A</v>
      </c>
      <c r="T577" t="str">
        <f>IF(Table13[[#This Row],[Category All]]="Category 2", "Yes",NA())</f>
        <v>Yes</v>
      </c>
      <c r="U577" t="e">
        <f>IF(Table13[[#This Row],[Category All]]="Category 3", "Yes",NA())</f>
        <v>#N/A</v>
      </c>
      <c r="V577">
        <f>SUM(1,(1/3)*(Table13[[#This Row],[Length]]-0.5),(1/3)*(Table13[[#This Row],[Diameter]]-0.4),(1/3)*(Table13[[#This Row],[Height]]-0.4)*Table13[[#This Row],[Whole_weight]]*0.5)</f>
        <v>0.86914874999999991</v>
      </c>
      <c r="W577" cm="1">
        <f t="array" ref="W5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0.69531900000000002</v>
      </c>
      <c r="X577" t="e">
        <f>IF(Table13[[#This Row],[Category All]]="Category 1",Table13[[#This Row],[Base Abalone Value]]*1.5,NA())</f>
        <v>#N/A</v>
      </c>
      <c r="Y577">
        <f>IF(Table13[[#This Row],[Category All]]="Category 2",Table13[[#This Row],[Base Abalone Value]]*0.8,NA())</f>
        <v>0.69531900000000002</v>
      </c>
      <c r="Z577" t="e">
        <f>IF(Table13[[#This Row],[Category All]]="Category 3",Table13[[#This Row],[Base Abalone Value]],NA())</f>
        <v>#N/A</v>
      </c>
      <c r="AA577" s="2" t="e">
        <f>IF(Table13[[#This Row],[Gender]]="M",Table13[[#This Row],[Whole_weight]],NA())</f>
        <v>#N/A</v>
      </c>
      <c r="AB577" s="2" t="e">
        <f>IF(Table13[[#This Row],[Gender]]="F",Table13[[#This Row],[Whole_weight]],NA())</f>
        <v>#N/A</v>
      </c>
      <c r="AC577" s="2">
        <f>IF(Table13[[#This Row],[Gender]]="I",Table13[[#This Row],[Whole_weight]],NA())</f>
        <v>0.28849999999999998</v>
      </c>
      <c r="AD577" s="2" t="e">
        <f>IF(Table13[[#This Row],[Gender]]="M",Table13[[#This Row],[Diameter]],NA())</f>
        <v>#N/A</v>
      </c>
      <c r="AE577" s="2" t="e">
        <f>IF(Table13[[#This Row],[Gender]]="F",Table13[[#This Row],[Diameter]],NA())</f>
        <v>#N/A</v>
      </c>
      <c r="AF577" s="2">
        <f>IF(Table13[[#This Row],[Gender]]="I",Table13[[#This Row],[Diameter]],NA())</f>
        <v>0.24</v>
      </c>
    </row>
    <row r="578" spans="1:32" x14ac:dyDescent="0.2">
      <c r="A578">
        <v>537</v>
      </c>
      <c r="B578" t="s">
        <v>11</v>
      </c>
      <c r="C578">
        <v>0.52</v>
      </c>
      <c r="D578">
        <v>0.40500000000000003</v>
      </c>
      <c r="E578">
        <v>0.14000000000000001</v>
      </c>
      <c r="F578">
        <v>0.57750000000000001</v>
      </c>
      <c r="G578">
        <v>0.2</v>
      </c>
      <c r="H578">
        <v>0.14499999999999999</v>
      </c>
      <c r="I578">
        <v>0.17899999999999999</v>
      </c>
      <c r="J578">
        <v>11</v>
      </c>
      <c r="K578">
        <v>5</v>
      </c>
      <c r="L578" t="s">
        <v>26</v>
      </c>
      <c r="M578" t="s">
        <v>27</v>
      </c>
      <c r="N578" t="s">
        <v>28</v>
      </c>
      <c r="O578">
        <v>5</v>
      </c>
      <c r="P578" t="s">
        <v>14</v>
      </c>
      <c r="Q578">
        <v>12.8</v>
      </c>
      <c r="R578" t="str" cm="1">
        <f t="array" ref="R5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8" t="e">
        <f>IF(Table13[[#This Row],[Category All]]="Category 1", "Yes",NA())</f>
        <v>#N/A</v>
      </c>
      <c r="T578" t="str">
        <f>IF(Table13[[#This Row],[Category All]]="Category 2", "Yes",NA())</f>
        <v>Yes</v>
      </c>
      <c r="U578" t="e">
        <f>IF(Table13[[#This Row],[Category All]]="Category 3", "Yes",NA())</f>
        <v>#N/A</v>
      </c>
      <c r="V578">
        <f>SUM(1,(1/3)*(Table13[[#This Row],[Length]]-0.5),(1/3)*(Table13[[#This Row],[Diameter]]-0.4),(1/3)*(Table13[[#This Row],[Height]]-0.4)*Table13[[#This Row],[Whole_weight]]*0.5)</f>
        <v>0.98330833333333334</v>
      </c>
      <c r="W578" cm="1">
        <f t="array" ref="W5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0.78664666666666672</v>
      </c>
      <c r="X578" t="e">
        <f>IF(Table13[[#This Row],[Category All]]="Category 1",Table13[[#This Row],[Base Abalone Value]]*1.5,NA())</f>
        <v>#N/A</v>
      </c>
      <c r="Y578">
        <f>IF(Table13[[#This Row],[Category All]]="Category 2",Table13[[#This Row],[Base Abalone Value]]*0.8,NA())</f>
        <v>0.78664666666666672</v>
      </c>
      <c r="Z578" t="e">
        <f>IF(Table13[[#This Row],[Category All]]="Category 3",Table13[[#This Row],[Base Abalone Value]],NA())</f>
        <v>#N/A</v>
      </c>
      <c r="AA578" s="2" t="e">
        <f>IF(Table13[[#This Row],[Gender]]="M",Table13[[#This Row],[Whole_weight]],NA())</f>
        <v>#N/A</v>
      </c>
      <c r="AB578" s="2" t="e">
        <f>IF(Table13[[#This Row],[Gender]]="F",Table13[[#This Row],[Whole_weight]],NA())</f>
        <v>#N/A</v>
      </c>
      <c r="AC578" s="2">
        <f>IF(Table13[[#This Row],[Gender]]="I",Table13[[#This Row],[Whole_weight]],NA())</f>
        <v>0.57750000000000001</v>
      </c>
      <c r="AD578" s="2" t="e">
        <f>IF(Table13[[#This Row],[Gender]]="M",Table13[[#This Row],[Diameter]],NA())</f>
        <v>#N/A</v>
      </c>
      <c r="AE578" s="2" t="e">
        <f>IF(Table13[[#This Row],[Gender]]="F",Table13[[#This Row],[Diameter]],NA())</f>
        <v>#N/A</v>
      </c>
      <c r="AF578" s="2">
        <f>IF(Table13[[#This Row],[Gender]]="I",Table13[[#This Row],[Diameter]],NA())</f>
        <v>0.40500000000000003</v>
      </c>
    </row>
    <row r="579" spans="1:32" x14ac:dyDescent="0.2">
      <c r="A579">
        <v>1458</v>
      </c>
      <c r="B579" t="s">
        <v>0</v>
      </c>
      <c r="C579">
        <v>0.47499999999999998</v>
      </c>
      <c r="D579">
        <v>0.36499999999999999</v>
      </c>
      <c r="E579">
        <v>0.115</v>
      </c>
      <c r="F579">
        <v>0.56599999999999995</v>
      </c>
      <c r="G579">
        <v>0.28100000000000003</v>
      </c>
      <c r="H579">
        <v>0.11700000000000001</v>
      </c>
      <c r="I579">
        <v>0.13350000000000001</v>
      </c>
      <c r="J579">
        <v>7</v>
      </c>
      <c r="K579">
        <v>1</v>
      </c>
      <c r="L579" t="s">
        <v>8</v>
      </c>
      <c r="M579" t="s">
        <v>9</v>
      </c>
      <c r="N579" t="s">
        <v>3</v>
      </c>
      <c r="O579">
        <v>10</v>
      </c>
      <c r="P579" t="s">
        <v>38</v>
      </c>
      <c r="Q579">
        <v>24.1</v>
      </c>
      <c r="R579" t="str" cm="1">
        <f t="array" ref="R5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9" t="e">
        <f>IF(Table13[[#This Row],[Category All]]="Category 1", "Yes",NA())</f>
        <v>#N/A</v>
      </c>
      <c r="T579" t="str">
        <f>IF(Table13[[#This Row],[Category All]]="Category 2", "Yes",NA())</f>
        <v>Yes</v>
      </c>
      <c r="U579" t="e">
        <f>IF(Table13[[#This Row],[Category All]]="Category 3", "Yes",NA())</f>
        <v>#N/A</v>
      </c>
      <c r="V579">
        <f>SUM(1,(1/3)*(Table13[[#This Row],[Length]]-0.5),(1/3)*(Table13[[#This Row],[Diameter]]-0.4),(1/3)*(Table13[[#This Row],[Height]]-0.4)*Table13[[#This Row],[Whole_weight]]*0.5)</f>
        <v>0.95311499999999993</v>
      </c>
      <c r="W579" cm="1">
        <f t="array" ref="W5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0.76249199999999995</v>
      </c>
      <c r="X579" t="e">
        <f>IF(Table13[[#This Row],[Category All]]="Category 1",Table13[[#This Row],[Base Abalone Value]]*1.5,NA())</f>
        <v>#N/A</v>
      </c>
      <c r="Y579">
        <f>IF(Table13[[#This Row],[Category All]]="Category 2",Table13[[#This Row],[Base Abalone Value]]*0.8,NA())</f>
        <v>0.76249199999999995</v>
      </c>
      <c r="Z579" t="e">
        <f>IF(Table13[[#This Row],[Category All]]="Category 3",Table13[[#This Row],[Base Abalone Value]],NA())</f>
        <v>#N/A</v>
      </c>
      <c r="AA579" s="2" t="e">
        <f>IF(Table13[[#This Row],[Gender]]="M",Table13[[#This Row],[Whole_weight]],NA())</f>
        <v>#N/A</v>
      </c>
      <c r="AB579" s="2">
        <f>IF(Table13[[#This Row],[Gender]]="F",Table13[[#This Row],[Whole_weight]],NA())</f>
        <v>0.56599999999999995</v>
      </c>
      <c r="AC579" s="2" t="e">
        <f>IF(Table13[[#This Row],[Gender]]="I",Table13[[#This Row],[Whole_weight]],NA())</f>
        <v>#N/A</v>
      </c>
      <c r="AD579" s="2" t="e">
        <f>IF(Table13[[#This Row],[Gender]]="M",Table13[[#This Row],[Diameter]],NA())</f>
        <v>#N/A</v>
      </c>
      <c r="AE579" s="2">
        <f>IF(Table13[[#This Row],[Gender]]="F",Table13[[#This Row],[Diameter]],NA())</f>
        <v>0.36499999999999999</v>
      </c>
      <c r="AF579" s="2" t="e">
        <f>IF(Table13[[#This Row],[Gender]]="I",Table13[[#This Row],[Diameter]],NA())</f>
        <v>#N/A</v>
      </c>
    </row>
    <row r="580" spans="1:32" x14ac:dyDescent="0.2">
      <c r="A580">
        <v>3345</v>
      </c>
      <c r="B580" t="s">
        <v>11</v>
      </c>
      <c r="C580">
        <v>0.495</v>
      </c>
      <c r="D580">
        <v>0.38</v>
      </c>
      <c r="E580">
        <v>0.14499999999999999</v>
      </c>
      <c r="F580">
        <v>0.51500000000000001</v>
      </c>
      <c r="G580">
        <v>0.17499999999999999</v>
      </c>
      <c r="H580">
        <v>9.8000000000000004E-2</v>
      </c>
      <c r="I580">
        <v>0.21199999999999999</v>
      </c>
      <c r="J580">
        <v>13</v>
      </c>
      <c r="K580">
        <v>15</v>
      </c>
      <c r="L580" t="s">
        <v>49</v>
      </c>
      <c r="M580" t="s">
        <v>50</v>
      </c>
      <c r="N580" t="s">
        <v>3</v>
      </c>
      <c r="O580">
        <v>8</v>
      </c>
      <c r="P580" t="s">
        <v>19</v>
      </c>
      <c r="Q580">
        <v>12.3</v>
      </c>
      <c r="R580" t="str" cm="1">
        <f t="array" ref="R5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80" t="e">
        <f>IF(Table13[[#This Row],[Category All]]="Category 1", "Yes",NA())</f>
        <v>#N/A</v>
      </c>
      <c r="T580" t="str">
        <f>IF(Table13[[#This Row],[Category All]]="Category 2", "Yes",NA())</f>
        <v>Yes</v>
      </c>
      <c r="U580" t="e">
        <f>IF(Table13[[#This Row],[Category All]]="Category 3", "Yes",NA())</f>
        <v>#N/A</v>
      </c>
      <c r="V580">
        <f>SUM(1,(1/3)*(Table13[[#This Row],[Length]]-0.5),(1/3)*(Table13[[#This Row],[Diameter]]-0.4),(1/3)*(Table13[[#This Row],[Height]]-0.4)*Table13[[#This Row],[Whole_weight]]*0.5)</f>
        <v>0.96977916666666664</v>
      </c>
      <c r="W580" cm="1">
        <f t="array" ref="W5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0.77582333333333331</v>
      </c>
      <c r="X580" t="e">
        <f>IF(Table13[[#This Row],[Category All]]="Category 1",Table13[[#This Row],[Base Abalone Value]]*1.5,NA())</f>
        <v>#N/A</v>
      </c>
      <c r="Y580">
        <f>IF(Table13[[#This Row],[Category All]]="Category 2",Table13[[#This Row],[Base Abalone Value]]*0.8,NA())</f>
        <v>0.77582333333333331</v>
      </c>
      <c r="Z580" t="e">
        <f>IF(Table13[[#This Row],[Category All]]="Category 3",Table13[[#This Row],[Base Abalone Value]],NA())</f>
        <v>#N/A</v>
      </c>
      <c r="AA580" s="2" t="e">
        <f>IF(Table13[[#This Row],[Gender]]="M",Table13[[#This Row],[Whole_weight]],NA())</f>
        <v>#N/A</v>
      </c>
      <c r="AB580" s="2" t="e">
        <f>IF(Table13[[#This Row],[Gender]]="F",Table13[[#This Row],[Whole_weight]],NA())</f>
        <v>#N/A</v>
      </c>
      <c r="AC580" s="2">
        <f>IF(Table13[[#This Row],[Gender]]="I",Table13[[#This Row],[Whole_weight]],NA())</f>
        <v>0.51500000000000001</v>
      </c>
      <c r="AD580" s="2" t="e">
        <f>IF(Table13[[#This Row],[Gender]]="M",Table13[[#This Row],[Diameter]],NA())</f>
        <v>#N/A</v>
      </c>
      <c r="AE580" s="2" t="e">
        <f>IF(Table13[[#This Row],[Gender]]="F",Table13[[#This Row],[Diameter]],NA())</f>
        <v>#N/A</v>
      </c>
      <c r="AF580" s="2">
        <f>IF(Table13[[#This Row],[Gender]]="I",Table13[[#This Row],[Diameter]],NA())</f>
        <v>0.38</v>
      </c>
    </row>
    <row r="581" spans="1:32" x14ac:dyDescent="0.2">
      <c r="A581">
        <v>3792</v>
      </c>
      <c r="B581" t="s">
        <v>0</v>
      </c>
      <c r="C581">
        <v>0.65</v>
      </c>
      <c r="D581">
        <v>0.495</v>
      </c>
      <c r="E581">
        <v>0.17499999999999999</v>
      </c>
      <c r="F581">
        <v>1.2270000000000001</v>
      </c>
      <c r="G581">
        <v>0.52800000000000002</v>
      </c>
      <c r="H581">
        <v>0.25800000000000001</v>
      </c>
      <c r="I581">
        <v>0.37</v>
      </c>
      <c r="J581">
        <v>11</v>
      </c>
      <c r="K581">
        <v>14</v>
      </c>
      <c r="L581" t="s">
        <v>23</v>
      </c>
      <c r="M581" t="s">
        <v>24</v>
      </c>
      <c r="N581" t="s">
        <v>25</v>
      </c>
      <c r="O581">
        <v>5</v>
      </c>
      <c r="P581" t="s">
        <v>14</v>
      </c>
      <c r="Q581">
        <v>12.8</v>
      </c>
      <c r="R581" t="str" cm="1">
        <f t="array" ref="R5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81" t="e">
        <f>IF(Table13[[#This Row],[Category All]]="Category 1", "Yes",NA())</f>
        <v>#N/A</v>
      </c>
      <c r="T581" t="e">
        <f>IF(Table13[[#This Row],[Category All]]="Category 2", "Yes",NA())</f>
        <v>#N/A</v>
      </c>
      <c r="U581" t="str">
        <f>IF(Table13[[#This Row],[Category All]]="Category 3", "Yes",NA())</f>
        <v>Yes</v>
      </c>
      <c r="V581">
        <f>SUM(1,(1/3)*(Table13[[#This Row],[Length]]-0.5),(1/3)*(Table13[[#This Row],[Diameter]]-0.4),(1/3)*(Table13[[#This Row],[Height]]-0.4)*Table13[[#This Row],[Whole_weight]]*0.5)</f>
        <v>1.0356541666666668</v>
      </c>
      <c r="W581" cm="1">
        <f t="array" ref="W5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1.0356541666666668</v>
      </c>
      <c r="X581" t="e">
        <f>IF(Table13[[#This Row],[Category All]]="Category 1",Table13[[#This Row],[Base Abalone Value]]*1.5,NA())</f>
        <v>#N/A</v>
      </c>
      <c r="Y581" t="e">
        <f>IF(Table13[[#This Row],[Category All]]="Category 2",Table13[[#This Row],[Base Abalone Value]]*0.8,NA())</f>
        <v>#N/A</v>
      </c>
      <c r="Z581">
        <f>IF(Table13[[#This Row],[Category All]]="Category 3",Table13[[#This Row],[Base Abalone Value]],NA())</f>
        <v>1.0356541666666668</v>
      </c>
      <c r="AA581" s="2" t="e">
        <f>IF(Table13[[#This Row],[Gender]]="M",Table13[[#This Row],[Whole_weight]],NA())</f>
        <v>#N/A</v>
      </c>
      <c r="AB581" s="2">
        <f>IF(Table13[[#This Row],[Gender]]="F",Table13[[#This Row],[Whole_weight]],NA())</f>
        <v>1.2270000000000001</v>
      </c>
      <c r="AC581" s="2" t="e">
        <f>IF(Table13[[#This Row],[Gender]]="I",Table13[[#This Row],[Whole_weight]],NA())</f>
        <v>#N/A</v>
      </c>
      <c r="AD581" s="2" t="e">
        <f>IF(Table13[[#This Row],[Gender]]="M",Table13[[#This Row],[Diameter]],NA())</f>
        <v>#N/A</v>
      </c>
      <c r="AE581" s="2">
        <f>IF(Table13[[#This Row],[Gender]]="F",Table13[[#This Row],[Diameter]],NA())</f>
        <v>0.495</v>
      </c>
      <c r="AF581" s="2" t="e">
        <f>IF(Table13[[#This Row],[Gender]]="I",Table13[[#This Row],[Diameter]],NA())</f>
        <v>#N/A</v>
      </c>
    </row>
    <row r="582" spans="1:32" x14ac:dyDescent="0.2">
      <c r="A582">
        <v>2567</v>
      </c>
      <c r="B582" t="s">
        <v>0</v>
      </c>
      <c r="C582">
        <v>0.45500000000000002</v>
      </c>
      <c r="D582">
        <v>0.35</v>
      </c>
      <c r="E582">
        <v>0.12</v>
      </c>
      <c r="F582">
        <v>0.45550000000000002</v>
      </c>
      <c r="G582">
        <v>0.19450000000000001</v>
      </c>
      <c r="H582">
        <v>0.1045</v>
      </c>
      <c r="I582">
        <v>0.13750000000000001</v>
      </c>
      <c r="J582">
        <v>7</v>
      </c>
      <c r="K582">
        <v>1</v>
      </c>
      <c r="L582" t="s">
        <v>8</v>
      </c>
      <c r="M582" t="s">
        <v>9</v>
      </c>
      <c r="N582" t="s">
        <v>3</v>
      </c>
      <c r="O582">
        <v>3</v>
      </c>
      <c r="P582" t="s">
        <v>48</v>
      </c>
      <c r="Q582">
        <v>3.6</v>
      </c>
      <c r="R582" t="str" cm="1">
        <f t="array" ref="R5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82" t="e">
        <f>IF(Table13[[#This Row],[Category All]]="Category 1", "Yes",NA())</f>
        <v>#N/A</v>
      </c>
      <c r="T582" t="str">
        <f>IF(Table13[[#This Row],[Category All]]="Category 2", "Yes",NA())</f>
        <v>Yes</v>
      </c>
      <c r="U582" t="e">
        <f>IF(Table13[[#This Row],[Category All]]="Category 3", "Yes",NA())</f>
        <v>#N/A</v>
      </c>
      <c r="V582">
        <f>SUM(1,(1/3)*(Table13[[#This Row],[Length]]-0.5),(1/3)*(Table13[[#This Row],[Diameter]]-0.4),(1/3)*(Table13[[#This Row],[Height]]-0.4)*Table13[[#This Row],[Whole_weight]]*0.5)</f>
        <v>0.94707666666666657</v>
      </c>
      <c r="W582" cm="1">
        <f t="array" ref="W5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0.7576613333333333</v>
      </c>
      <c r="X582" t="e">
        <f>IF(Table13[[#This Row],[Category All]]="Category 1",Table13[[#This Row],[Base Abalone Value]]*1.5,NA())</f>
        <v>#N/A</v>
      </c>
      <c r="Y582">
        <f>IF(Table13[[#This Row],[Category All]]="Category 2",Table13[[#This Row],[Base Abalone Value]]*0.8,NA())</f>
        <v>0.7576613333333333</v>
      </c>
      <c r="Z582" t="e">
        <f>IF(Table13[[#This Row],[Category All]]="Category 3",Table13[[#This Row],[Base Abalone Value]],NA())</f>
        <v>#N/A</v>
      </c>
      <c r="AA582" s="2" t="e">
        <f>IF(Table13[[#This Row],[Gender]]="M",Table13[[#This Row],[Whole_weight]],NA())</f>
        <v>#N/A</v>
      </c>
      <c r="AB582" s="2">
        <f>IF(Table13[[#This Row],[Gender]]="F",Table13[[#This Row],[Whole_weight]],NA())</f>
        <v>0.45550000000000002</v>
      </c>
      <c r="AC582" s="2" t="e">
        <f>IF(Table13[[#This Row],[Gender]]="I",Table13[[#This Row],[Whole_weight]],NA())</f>
        <v>#N/A</v>
      </c>
      <c r="AD582" s="2" t="e">
        <f>IF(Table13[[#This Row],[Gender]]="M",Table13[[#This Row],[Diameter]],NA())</f>
        <v>#N/A</v>
      </c>
      <c r="AE582" s="2">
        <f>IF(Table13[[#This Row],[Gender]]="F",Table13[[#This Row],[Diameter]],NA())</f>
        <v>0.35</v>
      </c>
      <c r="AF582" s="2" t="e">
        <f>IF(Table13[[#This Row],[Gender]]="I",Table13[[#This Row],[Diameter]],NA())</f>
        <v>#N/A</v>
      </c>
    </row>
    <row r="583" spans="1:32" x14ac:dyDescent="0.2">
      <c r="A583">
        <v>2315</v>
      </c>
      <c r="B583" t="s">
        <v>0</v>
      </c>
      <c r="C583">
        <v>0.57999999999999996</v>
      </c>
      <c r="D583">
        <v>0.47499999999999998</v>
      </c>
      <c r="E583">
        <v>0.13500000000000001</v>
      </c>
      <c r="F583">
        <v>0.92500000000000004</v>
      </c>
      <c r="G583">
        <v>0.39100000000000001</v>
      </c>
      <c r="H583">
        <v>0.16500000000000001</v>
      </c>
      <c r="I583">
        <v>0.27500000000000002</v>
      </c>
      <c r="J583">
        <v>14</v>
      </c>
      <c r="K583">
        <v>10</v>
      </c>
      <c r="L583" t="s">
        <v>16</v>
      </c>
      <c r="M583" t="s">
        <v>17</v>
      </c>
      <c r="N583" t="s">
        <v>18</v>
      </c>
      <c r="O583">
        <v>6</v>
      </c>
      <c r="P583" t="s">
        <v>47</v>
      </c>
      <c r="Q583">
        <v>14.1</v>
      </c>
      <c r="R583" t="str" cm="1">
        <f t="array" ref="R5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83" t="e">
        <f>IF(Table13[[#This Row],[Category All]]="Category 1", "Yes",NA())</f>
        <v>#N/A</v>
      </c>
      <c r="T583" t="str">
        <f>IF(Table13[[#This Row],[Category All]]="Category 2", "Yes",NA())</f>
        <v>Yes</v>
      </c>
      <c r="U583" t="e">
        <f>IF(Table13[[#This Row],[Category All]]="Category 3", "Yes",NA())</f>
        <v>#N/A</v>
      </c>
      <c r="V583">
        <f>SUM(1,(1/3)*(Table13[[#This Row],[Length]]-0.5),(1/3)*(Table13[[#This Row],[Diameter]]-0.4),(1/3)*(Table13[[#This Row],[Height]]-0.4)*Table13[[#This Row],[Whole_weight]]*0.5)</f>
        <v>1.0108124999999999</v>
      </c>
      <c r="W583" cm="1">
        <f t="array" ref="W5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0.80864999999999998</v>
      </c>
      <c r="X583" t="e">
        <f>IF(Table13[[#This Row],[Category All]]="Category 1",Table13[[#This Row],[Base Abalone Value]]*1.5,NA())</f>
        <v>#N/A</v>
      </c>
      <c r="Y583">
        <f>IF(Table13[[#This Row],[Category All]]="Category 2",Table13[[#This Row],[Base Abalone Value]]*0.8,NA())</f>
        <v>0.80864999999999998</v>
      </c>
      <c r="Z583" t="e">
        <f>IF(Table13[[#This Row],[Category All]]="Category 3",Table13[[#This Row],[Base Abalone Value]],NA())</f>
        <v>#N/A</v>
      </c>
      <c r="AA583" s="2" t="e">
        <f>IF(Table13[[#This Row],[Gender]]="M",Table13[[#This Row],[Whole_weight]],NA())</f>
        <v>#N/A</v>
      </c>
      <c r="AB583" s="2">
        <f>IF(Table13[[#This Row],[Gender]]="F",Table13[[#This Row],[Whole_weight]],NA())</f>
        <v>0.92500000000000004</v>
      </c>
      <c r="AC583" s="2" t="e">
        <f>IF(Table13[[#This Row],[Gender]]="I",Table13[[#This Row],[Whole_weight]],NA())</f>
        <v>#N/A</v>
      </c>
      <c r="AD583" s="2" t="e">
        <f>IF(Table13[[#This Row],[Gender]]="M",Table13[[#This Row],[Diameter]],NA())</f>
        <v>#N/A</v>
      </c>
      <c r="AE583" s="2">
        <f>IF(Table13[[#This Row],[Gender]]="F",Table13[[#This Row],[Diameter]],NA())</f>
        <v>0.47499999999999998</v>
      </c>
      <c r="AF583" s="2" t="e">
        <f>IF(Table13[[#This Row],[Gender]]="I",Table13[[#This Row],[Diameter]],NA())</f>
        <v>#N/A</v>
      </c>
    </row>
    <row r="584" spans="1:32" x14ac:dyDescent="0.2">
      <c r="A584">
        <v>3021</v>
      </c>
      <c r="B584" t="s">
        <v>11</v>
      </c>
      <c r="C584">
        <v>0.45</v>
      </c>
      <c r="D584">
        <v>0.34</v>
      </c>
      <c r="E584">
        <v>0.125</v>
      </c>
      <c r="F584">
        <v>0.40450000000000003</v>
      </c>
      <c r="G584">
        <v>0.17100000000000001</v>
      </c>
      <c r="H584">
        <v>7.0000000000000007E-2</v>
      </c>
      <c r="I584">
        <v>0.13450000000000001</v>
      </c>
      <c r="J584">
        <v>8</v>
      </c>
      <c r="K584">
        <v>15</v>
      </c>
      <c r="L584" t="s">
        <v>49</v>
      </c>
      <c r="M584" t="s">
        <v>50</v>
      </c>
      <c r="N584" t="s">
        <v>3</v>
      </c>
      <c r="O584">
        <v>10</v>
      </c>
      <c r="P584" t="s">
        <v>38</v>
      </c>
      <c r="Q584">
        <v>24.1</v>
      </c>
      <c r="R584" t="str" cm="1">
        <f t="array" ref="R5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84" t="e">
        <f>IF(Table13[[#This Row],[Category All]]="Category 1", "Yes",NA())</f>
        <v>#N/A</v>
      </c>
      <c r="T584" t="str">
        <f>IF(Table13[[#This Row],[Category All]]="Category 2", "Yes",NA())</f>
        <v>Yes</v>
      </c>
      <c r="U584" t="e">
        <f>IF(Table13[[#This Row],[Category All]]="Category 3", "Yes",NA())</f>
        <v>#N/A</v>
      </c>
      <c r="V584">
        <f>SUM(1,(1/3)*(Table13[[#This Row],[Length]]-0.5),(1/3)*(Table13[[#This Row],[Diameter]]-0.4),(1/3)*(Table13[[#This Row],[Height]]-0.4)*Table13[[#This Row],[Whole_weight]]*0.5)</f>
        <v>0.94479374999999999</v>
      </c>
      <c r="W584" cm="1">
        <f t="array" ref="W5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0.75583500000000003</v>
      </c>
      <c r="X584" t="e">
        <f>IF(Table13[[#This Row],[Category All]]="Category 1",Table13[[#This Row],[Base Abalone Value]]*1.5,NA())</f>
        <v>#N/A</v>
      </c>
      <c r="Y584">
        <f>IF(Table13[[#This Row],[Category All]]="Category 2",Table13[[#This Row],[Base Abalone Value]]*0.8,NA())</f>
        <v>0.75583500000000003</v>
      </c>
      <c r="Z584" t="e">
        <f>IF(Table13[[#This Row],[Category All]]="Category 3",Table13[[#This Row],[Base Abalone Value]],NA())</f>
        <v>#N/A</v>
      </c>
      <c r="AA584" s="2" t="e">
        <f>IF(Table13[[#This Row],[Gender]]="M",Table13[[#This Row],[Whole_weight]],NA())</f>
        <v>#N/A</v>
      </c>
      <c r="AB584" s="2" t="e">
        <f>IF(Table13[[#This Row],[Gender]]="F",Table13[[#This Row],[Whole_weight]],NA())</f>
        <v>#N/A</v>
      </c>
      <c r="AC584" s="2">
        <f>IF(Table13[[#This Row],[Gender]]="I",Table13[[#This Row],[Whole_weight]],NA())</f>
        <v>0.40450000000000003</v>
      </c>
      <c r="AD584" s="2" t="e">
        <f>IF(Table13[[#This Row],[Gender]]="M",Table13[[#This Row],[Diameter]],NA())</f>
        <v>#N/A</v>
      </c>
      <c r="AE584" s="2" t="e">
        <f>IF(Table13[[#This Row],[Gender]]="F",Table13[[#This Row],[Diameter]],NA())</f>
        <v>#N/A</v>
      </c>
      <c r="AF584" s="2">
        <f>IF(Table13[[#This Row],[Gender]]="I",Table13[[#This Row],[Diameter]],NA())</f>
        <v>0.34</v>
      </c>
    </row>
    <row r="585" spans="1:32" x14ac:dyDescent="0.2">
      <c r="A585">
        <v>232</v>
      </c>
      <c r="B585" t="s">
        <v>15</v>
      </c>
      <c r="C585">
        <v>0.56499999999999995</v>
      </c>
      <c r="D585">
        <v>0.44</v>
      </c>
      <c r="E585">
        <v>0.17499999999999999</v>
      </c>
      <c r="F585">
        <v>0.90249999999999997</v>
      </c>
      <c r="G585">
        <v>0.31</v>
      </c>
      <c r="H585">
        <v>0.193</v>
      </c>
      <c r="I585">
        <v>0.32500000000000001</v>
      </c>
      <c r="J585">
        <v>14</v>
      </c>
      <c r="K585">
        <v>5</v>
      </c>
      <c r="L585" t="s">
        <v>26</v>
      </c>
      <c r="M585" t="s">
        <v>27</v>
      </c>
      <c r="N585" t="s">
        <v>28</v>
      </c>
      <c r="O585">
        <v>7</v>
      </c>
      <c r="P585" t="s">
        <v>42</v>
      </c>
      <c r="Q585">
        <v>2.5</v>
      </c>
      <c r="R585" t="str" cm="1">
        <f t="array" ref="R5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85" t="e">
        <f>IF(Table13[[#This Row],[Category All]]="Category 1", "Yes",NA())</f>
        <v>#N/A</v>
      </c>
      <c r="T585" t="str">
        <f>IF(Table13[[#This Row],[Category All]]="Category 2", "Yes",NA())</f>
        <v>Yes</v>
      </c>
      <c r="U585" t="e">
        <f>IF(Table13[[#This Row],[Category All]]="Category 3", "Yes",NA())</f>
        <v>#N/A</v>
      </c>
      <c r="V585">
        <f>SUM(1,(1/3)*(Table13[[#This Row],[Length]]-0.5),(1/3)*(Table13[[#This Row],[Diameter]]-0.4),(1/3)*(Table13[[#This Row],[Height]]-0.4)*Table13[[#This Row],[Whole_weight]]*0.5)</f>
        <v>1.0011562500000002</v>
      </c>
      <c r="W585" cm="1">
        <f t="array" ref="W5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0.80092500000000022</v>
      </c>
      <c r="X585" t="e">
        <f>IF(Table13[[#This Row],[Category All]]="Category 1",Table13[[#This Row],[Base Abalone Value]]*1.5,NA())</f>
        <v>#N/A</v>
      </c>
      <c r="Y585">
        <f>IF(Table13[[#This Row],[Category All]]="Category 2",Table13[[#This Row],[Base Abalone Value]]*0.8,NA())</f>
        <v>0.80092500000000022</v>
      </c>
      <c r="Z585" t="e">
        <f>IF(Table13[[#This Row],[Category All]]="Category 3",Table13[[#This Row],[Base Abalone Value]],NA())</f>
        <v>#N/A</v>
      </c>
      <c r="AA585" s="2">
        <f>IF(Table13[[#This Row],[Gender]]="M",Table13[[#This Row],[Whole_weight]],NA())</f>
        <v>0.90249999999999997</v>
      </c>
      <c r="AB585" s="2" t="e">
        <f>IF(Table13[[#This Row],[Gender]]="F",Table13[[#This Row],[Whole_weight]],NA())</f>
        <v>#N/A</v>
      </c>
      <c r="AC585" s="2" t="e">
        <f>IF(Table13[[#This Row],[Gender]]="I",Table13[[#This Row],[Whole_weight]],NA())</f>
        <v>#N/A</v>
      </c>
      <c r="AD585" s="2">
        <f>IF(Table13[[#This Row],[Gender]]="M",Table13[[#This Row],[Diameter]],NA())</f>
        <v>0.44</v>
      </c>
      <c r="AE585" s="2" t="e">
        <f>IF(Table13[[#This Row],[Gender]]="F",Table13[[#This Row],[Diameter]],NA())</f>
        <v>#N/A</v>
      </c>
      <c r="AF585" s="2" t="e">
        <f>IF(Table13[[#This Row],[Gender]]="I",Table13[[#This Row],[Diameter]],NA())</f>
        <v>#N/A</v>
      </c>
    </row>
    <row r="586" spans="1:32" x14ac:dyDescent="0.2">
      <c r="A586">
        <v>25</v>
      </c>
      <c r="B586" t="s">
        <v>0</v>
      </c>
      <c r="C586">
        <v>0.61499999999999999</v>
      </c>
      <c r="D586">
        <v>0.48</v>
      </c>
      <c r="E586">
        <v>0.16500000000000001</v>
      </c>
      <c r="F586">
        <v>1.1615</v>
      </c>
      <c r="G586">
        <v>0.51300000000000001</v>
      </c>
      <c r="H586">
        <v>0.30099999999999999</v>
      </c>
      <c r="I586">
        <v>0.30499999999999999</v>
      </c>
      <c r="J586">
        <v>10</v>
      </c>
      <c r="K586">
        <v>3</v>
      </c>
      <c r="L586" t="s">
        <v>43</v>
      </c>
      <c r="M586" t="s">
        <v>44</v>
      </c>
      <c r="N586" t="s">
        <v>45</v>
      </c>
      <c r="O586">
        <v>2</v>
      </c>
      <c r="P586" t="s">
        <v>7</v>
      </c>
      <c r="Q586">
        <v>18</v>
      </c>
      <c r="R586" t="str" cm="1">
        <f t="array" ref="R5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86" t="e">
        <f>IF(Table13[[#This Row],[Category All]]="Category 1", "Yes",NA())</f>
        <v>#N/A</v>
      </c>
      <c r="T586" t="e">
        <f>IF(Table13[[#This Row],[Category All]]="Category 2", "Yes",NA())</f>
        <v>#N/A</v>
      </c>
      <c r="U586" t="str">
        <f>IF(Table13[[#This Row],[Category All]]="Category 3", "Yes",NA())</f>
        <v>Yes</v>
      </c>
      <c r="V586">
        <f>SUM(1,(1/3)*(Table13[[#This Row],[Length]]-0.5),(1/3)*(Table13[[#This Row],[Diameter]]-0.4),(1/3)*(Table13[[#This Row],[Height]]-0.4)*Table13[[#This Row],[Whole_weight]]*0.5)</f>
        <v>1.0195079166666665</v>
      </c>
      <c r="W586" cm="1">
        <f t="array" ref="W5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1.0195079166666665</v>
      </c>
      <c r="X586" t="e">
        <f>IF(Table13[[#This Row],[Category All]]="Category 1",Table13[[#This Row],[Base Abalone Value]]*1.5,NA())</f>
        <v>#N/A</v>
      </c>
      <c r="Y586" t="e">
        <f>IF(Table13[[#This Row],[Category All]]="Category 2",Table13[[#This Row],[Base Abalone Value]]*0.8,NA())</f>
        <v>#N/A</v>
      </c>
      <c r="Z586">
        <f>IF(Table13[[#This Row],[Category All]]="Category 3",Table13[[#This Row],[Base Abalone Value]],NA())</f>
        <v>1.0195079166666665</v>
      </c>
      <c r="AA586" s="2" t="e">
        <f>IF(Table13[[#This Row],[Gender]]="M",Table13[[#This Row],[Whole_weight]],NA())</f>
        <v>#N/A</v>
      </c>
      <c r="AB586" s="2">
        <f>IF(Table13[[#This Row],[Gender]]="F",Table13[[#This Row],[Whole_weight]],NA())</f>
        <v>1.1615</v>
      </c>
      <c r="AC586" s="2" t="e">
        <f>IF(Table13[[#This Row],[Gender]]="I",Table13[[#This Row],[Whole_weight]],NA())</f>
        <v>#N/A</v>
      </c>
      <c r="AD586" s="2" t="e">
        <f>IF(Table13[[#This Row],[Gender]]="M",Table13[[#This Row],[Diameter]],NA())</f>
        <v>#N/A</v>
      </c>
      <c r="AE586" s="2">
        <f>IF(Table13[[#This Row],[Gender]]="F",Table13[[#This Row],[Diameter]],NA())</f>
        <v>0.48</v>
      </c>
      <c r="AF586" s="2" t="e">
        <f>IF(Table13[[#This Row],[Gender]]="I",Table13[[#This Row],[Diameter]],NA())</f>
        <v>#N/A</v>
      </c>
    </row>
    <row r="587" spans="1:32" x14ac:dyDescent="0.2">
      <c r="A587">
        <v>55</v>
      </c>
      <c r="B587" t="s">
        <v>15</v>
      </c>
      <c r="C587">
        <v>0.40500000000000003</v>
      </c>
      <c r="D587">
        <v>0.31</v>
      </c>
      <c r="E587">
        <v>0.1</v>
      </c>
      <c r="F587">
        <v>0.38500000000000001</v>
      </c>
      <c r="G587">
        <v>0.17299999999999999</v>
      </c>
      <c r="H587">
        <v>9.1499999999999998E-2</v>
      </c>
      <c r="I587">
        <v>0.11</v>
      </c>
      <c r="J587">
        <v>7</v>
      </c>
      <c r="K587">
        <v>4</v>
      </c>
      <c r="L587" t="s">
        <v>52</v>
      </c>
      <c r="M587" t="s">
        <v>53</v>
      </c>
      <c r="N587" t="s">
        <v>54</v>
      </c>
      <c r="O587">
        <v>7</v>
      </c>
      <c r="P587" t="s">
        <v>42</v>
      </c>
      <c r="Q587">
        <v>2.5</v>
      </c>
      <c r="R587" t="str" cm="1">
        <f t="array" ref="R5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87" t="e">
        <f>IF(Table13[[#This Row],[Category All]]="Category 1", "Yes",NA())</f>
        <v>#N/A</v>
      </c>
      <c r="T587" t="str">
        <f>IF(Table13[[#This Row],[Category All]]="Category 2", "Yes",NA())</f>
        <v>Yes</v>
      </c>
      <c r="U587" t="e">
        <f>IF(Table13[[#This Row],[Category All]]="Category 3", "Yes",NA())</f>
        <v>#N/A</v>
      </c>
      <c r="V587">
        <f>SUM(1,(1/3)*(Table13[[#This Row],[Length]]-0.5),(1/3)*(Table13[[#This Row],[Diameter]]-0.4),(1/3)*(Table13[[#This Row],[Height]]-0.4)*Table13[[#This Row],[Whole_weight]]*0.5)</f>
        <v>0.91908333333333336</v>
      </c>
      <c r="W587" cm="1">
        <f t="array" ref="W5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0.73526666666666673</v>
      </c>
      <c r="X587" t="e">
        <f>IF(Table13[[#This Row],[Category All]]="Category 1",Table13[[#This Row],[Base Abalone Value]]*1.5,NA())</f>
        <v>#N/A</v>
      </c>
      <c r="Y587">
        <f>IF(Table13[[#This Row],[Category All]]="Category 2",Table13[[#This Row],[Base Abalone Value]]*0.8,NA())</f>
        <v>0.73526666666666673</v>
      </c>
      <c r="Z587" t="e">
        <f>IF(Table13[[#This Row],[Category All]]="Category 3",Table13[[#This Row],[Base Abalone Value]],NA())</f>
        <v>#N/A</v>
      </c>
      <c r="AA587" s="2">
        <f>IF(Table13[[#This Row],[Gender]]="M",Table13[[#This Row],[Whole_weight]],NA())</f>
        <v>0.38500000000000001</v>
      </c>
      <c r="AB587" s="2" t="e">
        <f>IF(Table13[[#This Row],[Gender]]="F",Table13[[#This Row],[Whole_weight]],NA())</f>
        <v>#N/A</v>
      </c>
      <c r="AC587" s="2" t="e">
        <f>IF(Table13[[#This Row],[Gender]]="I",Table13[[#This Row],[Whole_weight]],NA())</f>
        <v>#N/A</v>
      </c>
      <c r="AD587" s="2">
        <f>IF(Table13[[#This Row],[Gender]]="M",Table13[[#This Row],[Diameter]],NA())</f>
        <v>0.31</v>
      </c>
      <c r="AE587" s="2" t="e">
        <f>IF(Table13[[#This Row],[Gender]]="F",Table13[[#This Row],[Diameter]],NA())</f>
        <v>#N/A</v>
      </c>
      <c r="AF587" s="2" t="e">
        <f>IF(Table13[[#This Row],[Gender]]="I",Table13[[#This Row],[Diameter]],NA())</f>
        <v>#N/A</v>
      </c>
    </row>
    <row r="588" spans="1:32" x14ac:dyDescent="0.2">
      <c r="A588">
        <v>2414</v>
      </c>
      <c r="B588" t="s">
        <v>0</v>
      </c>
      <c r="C588">
        <v>0.505</v>
      </c>
      <c r="D588">
        <v>0.38</v>
      </c>
      <c r="E588">
        <v>0.14499999999999999</v>
      </c>
      <c r="F588">
        <v>0.65100000000000002</v>
      </c>
      <c r="G588">
        <v>0.29349999999999998</v>
      </c>
      <c r="H588">
        <v>0.19</v>
      </c>
      <c r="I588">
        <v>0.17</v>
      </c>
      <c r="J588">
        <v>12</v>
      </c>
      <c r="K588">
        <v>12</v>
      </c>
      <c r="L588" t="s">
        <v>1</v>
      </c>
      <c r="M588" t="s">
        <v>2</v>
      </c>
      <c r="N588" t="s">
        <v>3</v>
      </c>
      <c r="O588">
        <v>4</v>
      </c>
      <c r="P588" t="s">
        <v>10</v>
      </c>
      <c r="Q588">
        <v>6.1</v>
      </c>
      <c r="R588" t="str" cm="1">
        <f t="array" ref="R5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88" t="e">
        <f>IF(Table13[[#This Row],[Category All]]="Category 1", "Yes",NA())</f>
        <v>#N/A</v>
      </c>
      <c r="T588" t="str">
        <f>IF(Table13[[#This Row],[Category All]]="Category 2", "Yes",NA())</f>
        <v>Yes</v>
      </c>
      <c r="U588" t="e">
        <f>IF(Table13[[#This Row],[Category All]]="Category 3", "Yes",NA())</f>
        <v>#N/A</v>
      </c>
      <c r="V588">
        <f>SUM(1,(1/3)*(Table13[[#This Row],[Length]]-0.5),(1/3)*(Table13[[#This Row],[Diameter]]-0.4),(1/3)*(Table13[[#This Row],[Height]]-0.4)*Table13[[#This Row],[Whole_weight]]*0.5)</f>
        <v>0.96733250000000004</v>
      </c>
      <c r="W588" cm="1">
        <f t="array" ref="W5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0.77386600000000005</v>
      </c>
      <c r="X588" t="e">
        <f>IF(Table13[[#This Row],[Category All]]="Category 1",Table13[[#This Row],[Base Abalone Value]]*1.5,NA())</f>
        <v>#N/A</v>
      </c>
      <c r="Y588">
        <f>IF(Table13[[#This Row],[Category All]]="Category 2",Table13[[#This Row],[Base Abalone Value]]*0.8,NA())</f>
        <v>0.77386600000000005</v>
      </c>
      <c r="Z588" t="e">
        <f>IF(Table13[[#This Row],[Category All]]="Category 3",Table13[[#This Row],[Base Abalone Value]],NA())</f>
        <v>#N/A</v>
      </c>
      <c r="AA588" s="2" t="e">
        <f>IF(Table13[[#This Row],[Gender]]="M",Table13[[#This Row],[Whole_weight]],NA())</f>
        <v>#N/A</v>
      </c>
      <c r="AB588" s="2">
        <f>IF(Table13[[#This Row],[Gender]]="F",Table13[[#This Row],[Whole_weight]],NA())</f>
        <v>0.65100000000000002</v>
      </c>
      <c r="AC588" s="2" t="e">
        <f>IF(Table13[[#This Row],[Gender]]="I",Table13[[#This Row],[Whole_weight]],NA())</f>
        <v>#N/A</v>
      </c>
      <c r="AD588" s="2" t="e">
        <f>IF(Table13[[#This Row],[Gender]]="M",Table13[[#This Row],[Diameter]],NA())</f>
        <v>#N/A</v>
      </c>
      <c r="AE588" s="2">
        <f>IF(Table13[[#This Row],[Gender]]="F",Table13[[#This Row],[Diameter]],NA())</f>
        <v>0.38</v>
      </c>
      <c r="AF588" s="2" t="e">
        <f>IF(Table13[[#This Row],[Gender]]="I",Table13[[#This Row],[Diameter]],NA())</f>
        <v>#N/A</v>
      </c>
    </row>
    <row r="589" spans="1:32" x14ac:dyDescent="0.2">
      <c r="A589">
        <v>3320</v>
      </c>
      <c r="B589" t="s">
        <v>0</v>
      </c>
      <c r="C589">
        <v>0.70499999999999996</v>
      </c>
      <c r="D589">
        <v>0.55500000000000005</v>
      </c>
      <c r="E589">
        <v>0.2</v>
      </c>
      <c r="F589">
        <v>1.4684999999999999</v>
      </c>
      <c r="G589">
        <v>0.47149999999999997</v>
      </c>
      <c r="H589">
        <v>0.32350000000000001</v>
      </c>
      <c r="I589">
        <v>0.52</v>
      </c>
      <c r="J589">
        <v>19</v>
      </c>
      <c r="K589">
        <v>10</v>
      </c>
      <c r="L589" t="s">
        <v>16</v>
      </c>
      <c r="M589" t="s">
        <v>17</v>
      </c>
      <c r="N589" t="s">
        <v>18</v>
      </c>
      <c r="O589">
        <v>4</v>
      </c>
      <c r="P589" t="s">
        <v>10</v>
      </c>
      <c r="Q589">
        <v>6.1</v>
      </c>
      <c r="R589" t="str" cm="1">
        <f t="array" ref="R5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89" t="e">
        <f>IF(Table13[[#This Row],[Category All]]="Category 1", "Yes",NA())</f>
        <v>#N/A</v>
      </c>
      <c r="T589" t="str">
        <f>IF(Table13[[#This Row],[Category All]]="Category 2", "Yes",NA())</f>
        <v>Yes</v>
      </c>
      <c r="U589" t="e">
        <f>IF(Table13[[#This Row],[Category All]]="Category 3", "Yes",NA())</f>
        <v>#N/A</v>
      </c>
      <c r="V589">
        <f>SUM(1,(1/3)*(Table13[[#This Row],[Length]]-0.5),(1/3)*(Table13[[#This Row],[Diameter]]-0.4),(1/3)*(Table13[[#This Row],[Height]]-0.4)*Table13[[#This Row],[Whole_weight]]*0.5)</f>
        <v>1.0710500000000001</v>
      </c>
      <c r="W589" cm="1">
        <f t="array" ref="W5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0.85684000000000005</v>
      </c>
      <c r="X589" t="e">
        <f>IF(Table13[[#This Row],[Category All]]="Category 1",Table13[[#This Row],[Base Abalone Value]]*1.5,NA())</f>
        <v>#N/A</v>
      </c>
      <c r="Y589">
        <f>IF(Table13[[#This Row],[Category All]]="Category 2",Table13[[#This Row],[Base Abalone Value]]*0.8,NA())</f>
        <v>0.85684000000000005</v>
      </c>
      <c r="Z589" t="e">
        <f>IF(Table13[[#This Row],[Category All]]="Category 3",Table13[[#This Row],[Base Abalone Value]],NA())</f>
        <v>#N/A</v>
      </c>
      <c r="AA589" s="2" t="e">
        <f>IF(Table13[[#This Row],[Gender]]="M",Table13[[#This Row],[Whole_weight]],NA())</f>
        <v>#N/A</v>
      </c>
      <c r="AB589" s="2">
        <f>IF(Table13[[#This Row],[Gender]]="F",Table13[[#This Row],[Whole_weight]],NA())</f>
        <v>1.4684999999999999</v>
      </c>
      <c r="AC589" s="2" t="e">
        <f>IF(Table13[[#This Row],[Gender]]="I",Table13[[#This Row],[Whole_weight]],NA())</f>
        <v>#N/A</v>
      </c>
      <c r="AD589" s="2" t="e">
        <f>IF(Table13[[#This Row],[Gender]]="M",Table13[[#This Row],[Diameter]],NA())</f>
        <v>#N/A</v>
      </c>
      <c r="AE589" s="2">
        <f>IF(Table13[[#This Row],[Gender]]="F",Table13[[#This Row],[Diameter]],NA())</f>
        <v>0.55500000000000005</v>
      </c>
      <c r="AF589" s="2" t="e">
        <f>IF(Table13[[#This Row],[Gender]]="I",Table13[[#This Row],[Diameter]],NA())</f>
        <v>#N/A</v>
      </c>
    </row>
    <row r="590" spans="1:32" x14ac:dyDescent="0.2">
      <c r="A590">
        <v>1528</v>
      </c>
      <c r="B590" t="s">
        <v>15</v>
      </c>
      <c r="C590">
        <v>0.72</v>
      </c>
      <c r="D590">
        <v>0.56499999999999995</v>
      </c>
      <c r="E590">
        <v>0.2</v>
      </c>
      <c r="F590">
        <v>2.1055000000000001</v>
      </c>
      <c r="G590">
        <v>1.0169999999999999</v>
      </c>
      <c r="H590">
        <v>0.36299999999999999</v>
      </c>
      <c r="I590">
        <v>0.49399999999999999</v>
      </c>
      <c r="J590">
        <v>12</v>
      </c>
      <c r="K590">
        <v>6</v>
      </c>
      <c r="L590" t="s">
        <v>39</v>
      </c>
      <c r="M590" t="s">
        <v>40</v>
      </c>
      <c r="N590" t="s">
        <v>41</v>
      </c>
      <c r="O590">
        <v>8</v>
      </c>
      <c r="P590" t="s">
        <v>19</v>
      </c>
      <c r="Q590">
        <v>12.3</v>
      </c>
      <c r="R590" t="str" cm="1">
        <f t="array" ref="R5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90" t="e">
        <f>IF(Table13[[#This Row],[Category All]]="Category 1", "Yes",NA())</f>
        <v>#N/A</v>
      </c>
      <c r="T590" t="e">
        <f>IF(Table13[[#This Row],[Category All]]="Category 2", "Yes",NA())</f>
        <v>#N/A</v>
      </c>
      <c r="U590" t="str">
        <f>IF(Table13[[#This Row],[Category All]]="Category 3", "Yes",NA())</f>
        <v>Yes</v>
      </c>
      <c r="V590">
        <f>SUM(1,(1/3)*(Table13[[#This Row],[Length]]-0.5),(1/3)*(Table13[[#This Row],[Diameter]]-0.4),(1/3)*(Table13[[#This Row],[Height]]-0.4)*Table13[[#This Row],[Whole_weight]]*0.5)</f>
        <v>1.0581499999999999</v>
      </c>
      <c r="W590" cm="1">
        <f t="array" ref="W5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1.0581499999999999</v>
      </c>
      <c r="X590" t="e">
        <f>IF(Table13[[#This Row],[Category All]]="Category 1",Table13[[#This Row],[Base Abalone Value]]*1.5,NA())</f>
        <v>#N/A</v>
      </c>
      <c r="Y590" t="e">
        <f>IF(Table13[[#This Row],[Category All]]="Category 2",Table13[[#This Row],[Base Abalone Value]]*0.8,NA())</f>
        <v>#N/A</v>
      </c>
      <c r="Z590">
        <f>IF(Table13[[#This Row],[Category All]]="Category 3",Table13[[#This Row],[Base Abalone Value]],NA())</f>
        <v>1.0581499999999999</v>
      </c>
      <c r="AA590" s="2">
        <f>IF(Table13[[#This Row],[Gender]]="M",Table13[[#This Row],[Whole_weight]],NA())</f>
        <v>2.1055000000000001</v>
      </c>
      <c r="AB590" s="2" t="e">
        <f>IF(Table13[[#This Row],[Gender]]="F",Table13[[#This Row],[Whole_weight]],NA())</f>
        <v>#N/A</v>
      </c>
      <c r="AC590" s="2" t="e">
        <f>IF(Table13[[#This Row],[Gender]]="I",Table13[[#This Row],[Whole_weight]],NA())</f>
        <v>#N/A</v>
      </c>
      <c r="AD590" s="2">
        <f>IF(Table13[[#This Row],[Gender]]="M",Table13[[#This Row],[Diameter]],NA())</f>
        <v>0.56499999999999995</v>
      </c>
      <c r="AE590" s="2" t="e">
        <f>IF(Table13[[#This Row],[Gender]]="F",Table13[[#This Row],[Diameter]],NA())</f>
        <v>#N/A</v>
      </c>
      <c r="AF590" s="2" t="e">
        <f>IF(Table13[[#This Row],[Gender]]="I",Table13[[#This Row],[Diameter]],NA())</f>
        <v>#N/A</v>
      </c>
    </row>
    <row r="591" spans="1:32" x14ac:dyDescent="0.2">
      <c r="A591">
        <v>3011</v>
      </c>
      <c r="B591" t="s">
        <v>11</v>
      </c>
      <c r="C591">
        <v>0.375</v>
      </c>
      <c r="D591">
        <v>0.26</v>
      </c>
      <c r="E591">
        <v>0.08</v>
      </c>
      <c r="F591">
        <v>0.20749999999999999</v>
      </c>
      <c r="G591">
        <v>0.09</v>
      </c>
      <c r="H591">
        <v>4.1500000000000002E-2</v>
      </c>
      <c r="I591">
        <v>7.0000000000000007E-2</v>
      </c>
      <c r="J591">
        <v>6</v>
      </c>
      <c r="K591">
        <v>1</v>
      </c>
      <c r="L591" t="s">
        <v>8</v>
      </c>
      <c r="M591" t="s">
        <v>9</v>
      </c>
      <c r="N591" t="s">
        <v>3</v>
      </c>
      <c r="O591">
        <v>7</v>
      </c>
      <c r="P591" t="s">
        <v>42</v>
      </c>
      <c r="Q591">
        <v>2.5</v>
      </c>
      <c r="R591" t="str" cm="1">
        <f t="array" ref="R5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91" t="e">
        <f>IF(Table13[[#This Row],[Category All]]="Category 1", "Yes",NA())</f>
        <v>#N/A</v>
      </c>
      <c r="T591" t="str">
        <f>IF(Table13[[#This Row],[Category All]]="Category 2", "Yes",NA())</f>
        <v>Yes</v>
      </c>
      <c r="U591" t="e">
        <f>IF(Table13[[#This Row],[Category All]]="Category 3", "Yes",NA())</f>
        <v>#N/A</v>
      </c>
      <c r="V591">
        <f>SUM(1,(1/3)*(Table13[[#This Row],[Length]]-0.5),(1/3)*(Table13[[#This Row],[Diameter]]-0.4),(1/3)*(Table13[[#This Row],[Height]]-0.4)*Table13[[#This Row],[Whole_weight]]*0.5)</f>
        <v>0.90060000000000007</v>
      </c>
      <c r="W591" cm="1">
        <f t="array" ref="W5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0.72048000000000012</v>
      </c>
      <c r="X591" t="e">
        <f>IF(Table13[[#This Row],[Category All]]="Category 1",Table13[[#This Row],[Base Abalone Value]]*1.5,NA())</f>
        <v>#N/A</v>
      </c>
      <c r="Y591">
        <f>IF(Table13[[#This Row],[Category All]]="Category 2",Table13[[#This Row],[Base Abalone Value]]*0.8,NA())</f>
        <v>0.72048000000000012</v>
      </c>
      <c r="Z591" t="e">
        <f>IF(Table13[[#This Row],[Category All]]="Category 3",Table13[[#This Row],[Base Abalone Value]],NA())</f>
        <v>#N/A</v>
      </c>
      <c r="AA591" s="2" t="e">
        <f>IF(Table13[[#This Row],[Gender]]="M",Table13[[#This Row],[Whole_weight]],NA())</f>
        <v>#N/A</v>
      </c>
      <c r="AB591" s="2" t="e">
        <f>IF(Table13[[#This Row],[Gender]]="F",Table13[[#This Row],[Whole_weight]],NA())</f>
        <v>#N/A</v>
      </c>
      <c r="AC591" s="2">
        <f>IF(Table13[[#This Row],[Gender]]="I",Table13[[#This Row],[Whole_weight]],NA())</f>
        <v>0.20749999999999999</v>
      </c>
      <c r="AD591" s="2" t="e">
        <f>IF(Table13[[#This Row],[Gender]]="M",Table13[[#This Row],[Diameter]],NA())</f>
        <v>#N/A</v>
      </c>
      <c r="AE591" s="2" t="e">
        <f>IF(Table13[[#This Row],[Gender]]="F",Table13[[#This Row],[Diameter]],NA())</f>
        <v>#N/A</v>
      </c>
      <c r="AF591" s="2">
        <f>IF(Table13[[#This Row],[Gender]]="I",Table13[[#This Row],[Diameter]],NA())</f>
        <v>0.26</v>
      </c>
    </row>
    <row r="592" spans="1:32" x14ac:dyDescent="0.2">
      <c r="A592">
        <v>653</v>
      </c>
      <c r="B592" t="s">
        <v>11</v>
      </c>
      <c r="C592">
        <v>0.47</v>
      </c>
      <c r="D592">
        <v>0.35</v>
      </c>
      <c r="E592">
        <v>0.13</v>
      </c>
      <c r="F592">
        <v>0.46600000000000003</v>
      </c>
      <c r="G592">
        <v>0.1845</v>
      </c>
      <c r="H592">
        <v>9.9000000000000005E-2</v>
      </c>
      <c r="I592">
        <v>0.14499999999999999</v>
      </c>
      <c r="J592">
        <v>11</v>
      </c>
      <c r="K592">
        <v>5</v>
      </c>
      <c r="L592" t="s">
        <v>26</v>
      </c>
      <c r="M592" t="s">
        <v>27</v>
      </c>
      <c r="N592" t="s">
        <v>28</v>
      </c>
      <c r="O592">
        <v>4</v>
      </c>
      <c r="P592" t="s">
        <v>10</v>
      </c>
      <c r="Q592">
        <v>6.1</v>
      </c>
      <c r="R592" t="str" cm="1">
        <f t="array" ref="R5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92" t="e">
        <f>IF(Table13[[#This Row],[Category All]]="Category 1", "Yes",NA())</f>
        <v>#N/A</v>
      </c>
      <c r="T592" t="str">
        <f>IF(Table13[[#This Row],[Category All]]="Category 2", "Yes",NA())</f>
        <v>Yes</v>
      </c>
      <c r="U592" t="e">
        <f>IF(Table13[[#This Row],[Category All]]="Category 3", "Yes",NA())</f>
        <v>#N/A</v>
      </c>
      <c r="V592">
        <f>SUM(1,(1/3)*(Table13[[#This Row],[Length]]-0.5),(1/3)*(Table13[[#This Row],[Diameter]]-0.4),(1/3)*(Table13[[#This Row],[Height]]-0.4)*Table13[[#This Row],[Whole_weight]]*0.5)</f>
        <v>0.95236333333333323</v>
      </c>
      <c r="W592" cm="1">
        <f t="array" ref="W5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0.7618906666666666</v>
      </c>
      <c r="X592" t="e">
        <f>IF(Table13[[#This Row],[Category All]]="Category 1",Table13[[#This Row],[Base Abalone Value]]*1.5,NA())</f>
        <v>#N/A</v>
      </c>
      <c r="Y592">
        <f>IF(Table13[[#This Row],[Category All]]="Category 2",Table13[[#This Row],[Base Abalone Value]]*0.8,NA())</f>
        <v>0.7618906666666666</v>
      </c>
      <c r="Z592" t="e">
        <f>IF(Table13[[#This Row],[Category All]]="Category 3",Table13[[#This Row],[Base Abalone Value]],NA())</f>
        <v>#N/A</v>
      </c>
      <c r="AA592" s="2" t="e">
        <f>IF(Table13[[#This Row],[Gender]]="M",Table13[[#This Row],[Whole_weight]],NA())</f>
        <v>#N/A</v>
      </c>
      <c r="AB592" s="2" t="e">
        <f>IF(Table13[[#This Row],[Gender]]="F",Table13[[#This Row],[Whole_weight]],NA())</f>
        <v>#N/A</v>
      </c>
      <c r="AC592" s="2">
        <f>IF(Table13[[#This Row],[Gender]]="I",Table13[[#This Row],[Whole_weight]],NA())</f>
        <v>0.46600000000000003</v>
      </c>
      <c r="AD592" s="2" t="e">
        <f>IF(Table13[[#This Row],[Gender]]="M",Table13[[#This Row],[Diameter]],NA())</f>
        <v>#N/A</v>
      </c>
      <c r="AE592" s="2" t="e">
        <f>IF(Table13[[#This Row],[Gender]]="F",Table13[[#This Row],[Diameter]],NA())</f>
        <v>#N/A</v>
      </c>
      <c r="AF592" s="2">
        <f>IF(Table13[[#This Row],[Gender]]="I",Table13[[#This Row],[Diameter]],NA())</f>
        <v>0.35</v>
      </c>
    </row>
    <row r="593" spans="1:32" x14ac:dyDescent="0.2">
      <c r="A593">
        <v>238</v>
      </c>
      <c r="B593" t="s">
        <v>11</v>
      </c>
      <c r="C593">
        <v>0.13</v>
      </c>
      <c r="D593">
        <v>0.1</v>
      </c>
      <c r="E593">
        <v>0.03</v>
      </c>
      <c r="F593">
        <v>1.2999999999999999E-2</v>
      </c>
      <c r="G593">
        <v>4.4999999999999997E-3</v>
      </c>
      <c r="H593">
        <v>3.0000000000000001E-3</v>
      </c>
      <c r="I593">
        <v>4.0000000000000001E-3</v>
      </c>
      <c r="J593">
        <v>3</v>
      </c>
      <c r="K593">
        <v>1</v>
      </c>
      <c r="L593" t="s">
        <v>8</v>
      </c>
      <c r="M593" t="s">
        <v>9</v>
      </c>
      <c r="N593" t="s">
        <v>3</v>
      </c>
      <c r="O593">
        <v>6</v>
      </c>
      <c r="P593" t="s">
        <v>47</v>
      </c>
      <c r="Q593">
        <v>14.1</v>
      </c>
      <c r="R593" t="str" cm="1">
        <f t="array" ref="R5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93" t="e">
        <f>IF(Table13[[#This Row],[Category All]]="Category 1", "Yes",NA())</f>
        <v>#N/A</v>
      </c>
      <c r="T593" t="str">
        <f>IF(Table13[[#This Row],[Category All]]="Category 2", "Yes",NA())</f>
        <v>Yes</v>
      </c>
      <c r="U593" t="e">
        <f>IF(Table13[[#This Row],[Category All]]="Category 3", "Yes",NA())</f>
        <v>#N/A</v>
      </c>
      <c r="V593">
        <f>SUM(1,(1/3)*(Table13[[#This Row],[Length]]-0.5),(1/3)*(Table13[[#This Row],[Diameter]]-0.4),(1/3)*(Table13[[#This Row],[Height]]-0.4)*Table13[[#This Row],[Whole_weight]]*0.5)</f>
        <v>0.77586500000000003</v>
      </c>
      <c r="W593" cm="1">
        <f t="array" ref="W5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0.62069200000000002</v>
      </c>
      <c r="X593" t="e">
        <f>IF(Table13[[#This Row],[Category All]]="Category 1",Table13[[#This Row],[Base Abalone Value]]*1.5,NA())</f>
        <v>#N/A</v>
      </c>
      <c r="Y593">
        <f>IF(Table13[[#This Row],[Category All]]="Category 2",Table13[[#This Row],[Base Abalone Value]]*0.8,NA())</f>
        <v>0.62069200000000002</v>
      </c>
      <c r="Z593" t="e">
        <f>IF(Table13[[#This Row],[Category All]]="Category 3",Table13[[#This Row],[Base Abalone Value]],NA())</f>
        <v>#N/A</v>
      </c>
      <c r="AA593" s="2" t="e">
        <f>IF(Table13[[#This Row],[Gender]]="M",Table13[[#This Row],[Whole_weight]],NA())</f>
        <v>#N/A</v>
      </c>
      <c r="AB593" s="2" t="e">
        <f>IF(Table13[[#This Row],[Gender]]="F",Table13[[#This Row],[Whole_weight]],NA())</f>
        <v>#N/A</v>
      </c>
      <c r="AC593" s="2">
        <f>IF(Table13[[#This Row],[Gender]]="I",Table13[[#This Row],[Whole_weight]],NA())</f>
        <v>1.2999999999999999E-2</v>
      </c>
      <c r="AD593" s="2" t="e">
        <f>IF(Table13[[#This Row],[Gender]]="M",Table13[[#This Row],[Diameter]],NA())</f>
        <v>#N/A</v>
      </c>
      <c r="AE593" s="2" t="e">
        <f>IF(Table13[[#This Row],[Gender]]="F",Table13[[#This Row],[Diameter]],NA())</f>
        <v>#N/A</v>
      </c>
      <c r="AF593" s="2">
        <f>IF(Table13[[#This Row],[Gender]]="I",Table13[[#This Row],[Diameter]],NA())</f>
        <v>0.1</v>
      </c>
    </row>
    <row r="594" spans="1:32" x14ac:dyDescent="0.2">
      <c r="A594">
        <v>2005</v>
      </c>
      <c r="B594" t="s">
        <v>11</v>
      </c>
      <c r="C594">
        <v>0.375</v>
      </c>
      <c r="D594">
        <v>0.27500000000000002</v>
      </c>
      <c r="E594">
        <v>8.5000000000000006E-2</v>
      </c>
      <c r="F594">
        <v>0.22</v>
      </c>
      <c r="G594">
        <v>0.109</v>
      </c>
      <c r="H594">
        <v>0.05</v>
      </c>
      <c r="I594">
        <v>6.0499999999999998E-2</v>
      </c>
      <c r="J594">
        <v>7</v>
      </c>
      <c r="K594">
        <v>15</v>
      </c>
      <c r="L594" t="s">
        <v>49</v>
      </c>
      <c r="M594" t="s">
        <v>50</v>
      </c>
      <c r="N594" t="s">
        <v>3</v>
      </c>
      <c r="O594">
        <v>9</v>
      </c>
      <c r="P594" t="s">
        <v>46</v>
      </c>
      <c r="Q594">
        <v>1.9</v>
      </c>
      <c r="R594" t="str" cm="1">
        <f t="array" ref="R5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94" t="e">
        <f>IF(Table13[[#This Row],[Category All]]="Category 1", "Yes",NA())</f>
        <v>#N/A</v>
      </c>
      <c r="T594" t="str">
        <f>IF(Table13[[#This Row],[Category All]]="Category 2", "Yes",NA())</f>
        <v>Yes</v>
      </c>
      <c r="U594" t="e">
        <f>IF(Table13[[#This Row],[Category All]]="Category 3", "Yes",NA())</f>
        <v>#N/A</v>
      </c>
      <c r="V594">
        <f>SUM(1,(1/3)*(Table13[[#This Row],[Length]]-0.5),(1/3)*(Table13[[#This Row],[Diameter]]-0.4),(1/3)*(Table13[[#This Row],[Height]]-0.4)*Table13[[#This Row],[Whole_weight]]*0.5)</f>
        <v>0.90511666666666679</v>
      </c>
      <c r="W594" cm="1">
        <f t="array" ref="W5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0.72409333333333348</v>
      </c>
      <c r="X594" t="e">
        <f>IF(Table13[[#This Row],[Category All]]="Category 1",Table13[[#This Row],[Base Abalone Value]]*1.5,NA())</f>
        <v>#N/A</v>
      </c>
      <c r="Y594">
        <f>IF(Table13[[#This Row],[Category All]]="Category 2",Table13[[#This Row],[Base Abalone Value]]*0.8,NA())</f>
        <v>0.72409333333333348</v>
      </c>
      <c r="Z594" t="e">
        <f>IF(Table13[[#This Row],[Category All]]="Category 3",Table13[[#This Row],[Base Abalone Value]],NA())</f>
        <v>#N/A</v>
      </c>
      <c r="AA594" s="2" t="e">
        <f>IF(Table13[[#This Row],[Gender]]="M",Table13[[#This Row],[Whole_weight]],NA())</f>
        <v>#N/A</v>
      </c>
      <c r="AB594" s="2" t="e">
        <f>IF(Table13[[#This Row],[Gender]]="F",Table13[[#This Row],[Whole_weight]],NA())</f>
        <v>#N/A</v>
      </c>
      <c r="AC594" s="2">
        <f>IF(Table13[[#This Row],[Gender]]="I",Table13[[#This Row],[Whole_weight]],NA())</f>
        <v>0.22</v>
      </c>
      <c r="AD594" s="2" t="e">
        <f>IF(Table13[[#This Row],[Gender]]="M",Table13[[#This Row],[Diameter]],NA())</f>
        <v>#N/A</v>
      </c>
      <c r="AE594" s="2" t="e">
        <f>IF(Table13[[#This Row],[Gender]]="F",Table13[[#This Row],[Diameter]],NA())</f>
        <v>#N/A</v>
      </c>
      <c r="AF594" s="2">
        <f>IF(Table13[[#This Row],[Gender]]="I",Table13[[#This Row],[Diameter]],NA())</f>
        <v>0.27500000000000002</v>
      </c>
    </row>
    <row r="595" spans="1:32" x14ac:dyDescent="0.2">
      <c r="A595">
        <v>1451</v>
      </c>
      <c r="B595" t="s">
        <v>11</v>
      </c>
      <c r="C595">
        <v>0.45500000000000002</v>
      </c>
      <c r="D595">
        <v>0.33500000000000002</v>
      </c>
      <c r="E595">
        <v>0.13500000000000001</v>
      </c>
      <c r="F595">
        <v>0.501</v>
      </c>
      <c r="G595">
        <v>0.27400000000000002</v>
      </c>
      <c r="H595">
        <v>9.9500000000000005E-2</v>
      </c>
      <c r="I595">
        <v>0.1065</v>
      </c>
      <c r="J595">
        <v>7</v>
      </c>
      <c r="K595">
        <v>12</v>
      </c>
      <c r="L595" t="s">
        <v>1</v>
      </c>
      <c r="M595" t="s">
        <v>2</v>
      </c>
      <c r="N595" t="s">
        <v>3</v>
      </c>
      <c r="O595">
        <v>1</v>
      </c>
      <c r="P595" t="s">
        <v>4</v>
      </c>
      <c r="Q595">
        <v>22.1</v>
      </c>
      <c r="R595" t="str" cm="1">
        <f t="array" ref="R5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95" t="e">
        <f>IF(Table13[[#This Row],[Category All]]="Category 1", "Yes",NA())</f>
        <v>#N/A</v>
      </c>
      <c r="T595" t="str">
        <f>IF(Table13[[#This Row],[Category All]]="Category 2", "Yes",NA())</f>
        <v>Yes</v>
      </c>
      <c r="U595" t="e">
        <f>IF(Table13[[#This Row],[Category All]]="Category 3", "Yes",NA())</f>
        <v>#N/A</v>
      </c>
      <c r="V595">
        <f>SUM(1,(1/3)*(Table13[[#This Row],[Length]]-0.5),(1/3)*(Table13[[#This Row],[Diameter]]-0.4),(1/3)*(Table13[[#This Row],[Height]]-0.4)*Table13[[#This Row],[Whole_weight]]*0.5)</f>
        <v>0.94120583333333341</v>
      </c>
      <c r="W595" cm="1">
        <f t="array" ref="W5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0.75296466666666673</v>
      </c>
      <c r="X595" t="e">
        <f>IF(Table13[[#This Row],[Category All]]="Category 1",Table13[[#This Row],[Base Abalone Value]]*1.5,NA())</f>
        <v>#N/A</v>
      </c>
      <c r="Y595">
        <f>IF(Table13[[#This Row],[Category All]]="Category 2",Table13[[#This Row],[Base Abalone Value]]*0.8,NA())</f>
        <v>0.75296466666666673</v>
      </c>
      <c r="Z595" t="e">
        <f>IF(Table13[[#This Row],[Category All]]="Category 3",Table13[[#This Row],[Base Abalone Value]],NA())</f>
        <v>#N/A</v>
      </c>
      <c r="AA595" s="2" t="e">
        <f>IF(Table13[[#This Row],[Gender]]="M",Table13[[#This Row],[Whole_weight]],NA())</f>
        <v>#N/A</v>
      </c>
      <c r="AB595" s="2" t="e">
        <f>IF(Table13[[#This Row],[Gender]]="F",Table13[[#This Row],[Whole_weight]],NA())</f>
        <v>#N/A</v>
      </c>
      <c r="AC595" s="2">
        <f>IF(Table13[[#This Row],[Gender]]="I",Table13[[#This Row],[Whole_weight]],NA())</f>
        <v>0.501</v>
      </c>
      <c r="AD595" s="2" t="e">
        <f>IF(Table13[[#This Row],[Gender]]="M",Table13[[#This Row],[Diameter]],NA())</f>
        <v>#N/A</v>
      </c>
      <c r="AE595" s="2" t="e">
        <f>IF(Table13[[#This Row],[Gender]]="F",Table13[[#This Row],[Diameter]],NA())</f>
        <v>#N/A</v>
      </c>
      <c r="AF595" s="2">
        <f>IF(Table13[[#This Row],[Gender]]="I",Table13[[#This Row],[Diameter]],NA())</f>
        <v>0.33500000000000002</v>
      </c>
    </row>
    <row r="596" spans="1:32" x14ac:dyDescent="0.2">
      <c r="A596">
        <v>1087</v>
      </c>
      <c r="B596" t="s">
        <v>11</v>
      </c>
      <c r="C596">
        <v>0.44500000000000001</v>
      </c>
      <c r="D596">
        <v>0.33500000000000002</v>
      </c>
      <c r="E596">
        <v>0.11</v>
      </c>
      <c r="F596">
        <v>0.41099999999999998</v>
      </c>
      <c r="G596">
        <v>0.19850000000000001</v>
      </c>
      <c r="H596">
        <v>9.35E-2</v>
      </c>
      <c r="I596">
        <v>0.109</v>
      </c>
      <c r="J596">
        <v>8</v>
      </c>
      <c r="K596">
        <v>10</v>
      </c>
      <c r="L596" t="s">
        <v>16</v>
      </c>
      <c r="M596" t="s">
        <v>17</v>
      </c>
      <c r="N596" t="s">
        <v>18</v>
      </c>
      <c r="O596">
        <v>7</v>
      </c>
      <c r="P596" t="s">
        <v>42</v>
      </c>
      <c r="Q596">
        <v>2.5</v>
      </c>
      <c r="R596" t="str" cm="1">
        <f t="array" ref="R5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96" t="e">
        <f>IF(Table13[[#This Row],[Category All]]="Category 1", "Yes",NA())</f>
        <v>#N/A</v>
      </c>
      <c r="T596" t="str">
        <f>IF(Table13[[#This Row],[Category All]]="Category 2", "Yes",NA())</f>
        <v>Yes</v>
      </c>
      <c r="U596" t="e">
        <f>IF(Table13[[#This Row],[Category All]]="Category 3", "Yes",NA())</f>
        <v>#N/A</v>
      </c>
      <c r="V596">
        <f>SUM(1,(1/3)*(Table13[[#This Row],[Length]]-0.5),(1/3)*(Table13[[#This Row],[Diameter]]-0.4),(1/3)*(Table13[[#This Row],[Height]]-0.4)*Table13[[#This Row],[Whole_weight]]*0.5)</f>
        <v>0.94013499999999994</v>
      </c>
      <c r="W596" cm="1">
        <f t="array" ref="W5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0.752108</v>
      </c>
      <c r="X596" t="e">
        <f>IF(Table13[[#This Row],[Category All]]="Category 1",Table13[[#This Row],[Base Abalone Value]]*1.5,NA())</f>
        <v>#N/A</v>
      </c>
      <c r="Y596">
        <f>IF(Table13[[#This Row],[Category All]]="Category 2",Table13[[#This Row],[Base Abalone Value]]*0.8,NA())</f>
        <v>0.752108</v>
      </c>
      <c r="Z596" t="e">
        <f>IF(Table13[[#This Row],[Category All]]="Category 3",Table13[[#This Row],[Base Abalone Value]],NA())</f>
        <v>#N/A</v>
      </c>
      <c r="AA596" s="2" t="e">
        <f>IF(Table13[[#This Row],[Gender]]="M",Table13[[#This Row],[Whole_weight]],NA())</f>
        <v>#N/A</v>
      </c>
      <c r="AB596" s="2" t="e">
        <f>IF(Table13[[#This Row],[Gender]]="F",Table13[[#This Row],[Whole_weight]],NA())</f>
        <v>#N/A</v>
      </c>
      <c r="AC596" s="2">
        <f>IF(Table13[[#This Row],[Gender]]="I",Table13[[#This Row],[Whole_weight]],NA())</f>
        <v>0.41099999999999998</v>
      </c>
      <c r="AD596" s="2" t="e">
        <f>IF(Table13[[#This Row],[Gender]]="M",Table13[[#This Row],[Diameter]],NA())</f>
        <v>#N/A</v>
      </c>
      <c r="AE596" s="2" t="e">
        <f>IF(Table13[[#This Row],[Gender]]="F",Table13[[#This Row],[Diameter]],NA())</f>
        <v>#N/A</v>
      </c>
      <c r="AF596" s="2">
        <f>IF(Table13[[#This Row],[Gender]]="I",Table13[[#This Row],[Diameter]],NA())</f>
        <v>0.33500000000000002</v>
      </c>
    </row>
    <row r="597" spans="1:32" x14ac:dyDescent="0.2">
      <c r="A597">
        <v>1672</v>
      </c>
      <c r="B597" t="s">
        <v>15</v>
      </c>
      <c r="C597">
        <v>0.61</v>
      </c>
      <c r="D597">
        <v>0.47</v>
      </c>
      <c r="E597">
        <v>0.16</v>
      </c>
      <c r="F597">
        <v>1.022</v>
      </c>
      <c r="G597">
        <v>0.44900000000000001</v>
      </c>
      <c r="H597">
        <v>0.23449999999999999</v>
      </c>
      <c r="I597">
        <v>0.29449999999999998</v>
      </c>
      <c r="J597">
        <v>9</v>
      </c>
      <c r="K597">
        <v>9</v>
      </c>
      <c r="L597" t="s">
        <v>20</v>
      </c>
      <c r="M597" t="s">
        <v>21</v>
      </c>
      <c r="N597" t="s">
        <v>22</v>
      </c>
      <c r="O597">
        <v>10</v>
      </c>
      <c r="P597" t="s">
        <v>38</v>
      </c>
      <c r="Q597">
        <v>24.1</v>
      </c>
      <c r="R597" t="str" cm="1">
        <f t="array" ref="R5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97" t="e">
        <f>IF(Table13[[#This Row],[Category All]]="Category 1", "Yes",NA())</f>
        <v>#N/A</v>
      </c>
      <c r="T597" t="e">
        <f>IF(Table13[[#This Row],[Category All]]="Category 2", "Yes",NA())</f>
        <v>#N/A</v>
      </c>
      <c r="U597" t="str">
        <f>IF(Table13[[#This Row],[Category All]]="Category 3", "Yes",NA())</f>
        <v>Yes</v>
      </c>
      <c r="V597">
        <f>SUM(1,(1/3)*(Table13[[#This Row],[Length]]-0.5),(1/3)*(Table13[[#This Row],[Diameter]]-0.4),(1/3)*(Table13[[#This Row],[Height]]-0.4)*Table13[[#This Row],[Whole_weight]]*0.5)</f>
        <v>1.01912</v>
      </c>
      <c r="W597" cm="1">
        <f t="array" ref="W5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1.01912</v>
      </c>
      <c r="X597" t="e">
        <f>IF(Table13[[#This Row],[Category All]]="Category 1",Table13[[#This Row],[Base Abalone Value]]*1.5,NA())</f>
        <v>#N/A</v>
      </c>
      <c r="Y597" t="e">
        <f>IF(Table13[[#This Row],[Category All]]="Category 2",Table13[[#This Row],[Base Abalone Value]]*0.8,NA())</f>
        <v>#N/A</v>
      </c>
      <c r="Z597">
        <f>IF(Table13[[#This Row],[Category All]]="Category 3",Table13[[#This Row],[Base Abalone Value]],NA())</f>
        <v>1.01912</v>
      </c>
      <c r="AA597" s="2">
        <f>IF(Table13[[#This Row],[Gender]]="M",Table13[[#This Row],[Whole_weight]],NA())</f>
        <v>1.022</v>
      </c>
      <c r="AB597" s="2" t="e">
        <f>IF(Table13[[#This Row],[Gender]]="F",Table13[[#This Row],[Whole_weight]],NA())</f>
        <v>#N/A</v>
      </c>
      <c r="AC597" s="2" t="e">
        <f>IF(Table13[[#This Row],[Gender]]="I",Table13[[#This Row],[Whole_weight]],NA())</f>
        <v>#N/A</v>
      </c>
      <c r="AD597" s="2">
        <f>IF(Table13[[#This Row],[Gender]]="M",Table13[[#This Row],[Diameter]],NA())</f>
        <v>0.47</v>
      </c>
      <c r="AE597" s="2" t="e">
        <f>IF(Table13[[#This Row],[Gender]]="F",Table13[[#This Row],[Diameter]],NA())</f>
        <v>#N/A</v>
      </c>
      <c r="AF597" s="2" t="e">
        <f>IF(Table13[[#This Row],[Gender]]="I",Table13[[#This Row],[Diameter]],NA())</f>
        <v>#N/A</v>
      </c>
    </row>
    <row r="598" spans="1:32" x14ac:dyDescent="0.2">
      <c r="A598">
        <v>1920</v>
      </c>
      <c r="B598" t="s">
        <v>11</v>
      </c>
      <c r="C598">
        <v>0.60499999999999998</v>
      </c>
      <c r="D598">
        <v>0.49</v>
      </c>
      <c r="E598">
        <v>0.16500000000000001</v>
      </c>
      <c r="F598">
        <v>1.071</v>
      </c>
      <c r="G598">
        <v>0.48199999999999998</v>
      </c>
      <c r="H598">
        <v>0.19350000000000001</v>
      </c>
      <c r="I598">
        <v>0.35199999999999998</v>
      </c>
      <c r="J598">
        <v>10</v>
      </c>
      <c r="K598">
        <v>2</v>
      </c>
      <c r="L598" t="s">
        <v>32</v>
      </c>
      <c r="M598" t="s">
        <v>33</v>
      </c>
      <c r="N598" t="s">
        <v>34</v>
      </c>
      <c r="O598">
        <v>10</v>
      </c>
      <c r="P598" t="s">
        <v>38</v>
      </c>
      <c r="Q598">
        <v>24.1</v>
      </c>
      <c r="R598" t="str" cm="1">
        <f t="array" ref="R5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98" t="e">
        <f>IF(Table13[[#This Row],[Category All]]="Category 1", "Yes",NA())</f>
        <v>#N/A</v>
      </c>
      <c r="T598" t="e">
        <f>IF(Table13[[#This Row],[Category All]]="Category 2", "Yes",NA())</f>
        <v>#N/A</v>
      </c>
      <c r="U598" t="str">
        <f>IF(Table13[[#This Row],[Category All]]="Category 3", "Yes",NA())</f>
        <v>Yes</v>
      </c>
      <c r="V598">
        <f>SUM(1,(1/3)*(Table13[[#This Row],[Length]]-0.5),(1/3)*(Table13[[#This Row],[Diameter]]-0.4),(1/3)*(Table13[[#This Row],[Height]]-0.4)*Table13[[#This Row],[Whole_weight]]*0.5)</f>
        <v>1.0230524999999999</v>
      </c>
      <c r="W598" cm="1">
        <f t="array" ref="W5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1.0230524999999999</v>
      </c>
      <c r="X598" t="e">
        <f>IF(Table13[[#This Row],[Category All]]="Category 1",Table13[[#This Row],[Base Abalone Value]]*1.5,NA())</f>
        <v>#N/A</v>
      </c>
      <c r="Y598" t="e">
        <f>IF(Table13[[#This Row],[Category All]]="Category 2",Table13[[#This Row],[Base Abalone Value]]*0.8,NA())</f>
        <v>#N/A</v>
      </c>
      <c r="Z598">
        <f>IF(Table13[[#This Row],[Category All]]="Category 3",Table13[[#This Row],[Base Abalone Value]],NA())</f>
        <v>1.0230524999999999</v>
      </c>
      <c r="AA598" s="2" t="e">
        <f>IF(Table13[[#This Row],[Gender]]="M",Table13[[#This Row],[Whole_weight]],NA())</f>
        <v>#N/A</v>
      </c>
      <c r="AB598" s="2" t="e">
        <f>IF(Table13[[#This Row],[Gender]]="F",Table13[[#This Row],[Whole_weight]],NA())</f>
        <v>#N/A</v>
      </c>
      <c r="AC598" s="2">
        <f>IF(Table13[[#This Row],[Gender]]="I",Table13[[#This Row],[Whole_weight]],NA())</f>
        <v>1.071</v>
      </c>
      <c r="AD598" s="2" t="e">
        <f>IF(Table13[[#This Row],[Gender]]="M",Table13[[#This Row],[Diameter]],NA())</f>
        <v>#N/A</v>
      </c>
      <c r="AE598" s="2" t="e">
        <f>IF(Table13[[#This Row],[Gender]]="F",Table13[[#This Row],[Diameter]],NA())</f>
        <v>#N/A</v>
      </c>
      <c r="AF598" s="2">
        <f>IF(Table13[[#This Row],[Gender]]="I",Table13[[#This Row],[Diameter]],NA())</f>
        <v>0.49</v>
      </c>
    </row>
    <row r="599" spans="1:32" x14ac:dyDescent="0.2">
      <c r="A599">
        <v>1356</v>
      </c>
      <c r="B599" t="s">
        <v>0</v>
      </c>
      <c r="C599">
        <v>0.6</v>
      </c>
      <c r="D599">
        <v>0.46500000000000002</v>
      </c>
      <c r="E599">
        <v>0.155</v>
      </c>
      <c r="F599">
        <v>1.04</v>
      </c>
      <c r="G599">
        <v>0.47549999999999998</v>
      </c>
      <c r="H599">
        <v>0.25</v>
      </c>
      <c r="I599">
        <v>0.28000000000000003</v>
      </c>
      <c r="J599">
        <v>11</v>
      </c>
      <c r="K599">
        <v>9</v>
      </c>
      <c r="L599" t="s">
        <v>20</v>
      </c>
      <c r="M599" t="s">
        <v>21</v>
      </c>
      <c r="N599" t="s">
        <v>22</v>
      </c>
      <c r="O599">
        <v>4</v>
      </c>
      <c r="P599" t="s">
        <v>10</v>
      </c>
      <c r="Q599">
        <v>6.1</v>
      </c>
      <c r="R599" t="str" cm="1">
        <f t="array" ref="R5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99" t="e">
        <f>IF(Table13[[#This Row],[Category All]]="Category 1", "Yes",NA())</f>
        <v>#N/A</v>
      </c>
      <c r="T599" t="e">
        <f>IF(Table13[[#This Row],[Category All]]="Category 2", "Yes",NA())</f>
        <v>#N/A</v>
      </c>
      <c r="U599" t="str">
        <f>IF(Table13[[#This Row],[Category All]]="Category 3", "Yes",NA())</f>
        <v>Yes</v>
      </c>
      <c r="V599">
        <f>SUM(1,(1/3)*(Table13[[#This Row],[Length]]-0.5),(1/3)*(Table13[[#This Row],[Diameter]]-0.4),(1/3)*(Table13[[#This Row],[Height]]-0.4)*Table13[[#This Row],[Whole_weight]]*0.5)</f>
        <v>1.0125333333333333</v>
      </c>
      <c r="W599" cm="1">
        <f t="array" ref="W5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1.0125333333333333</v>
      </c>
      <c r="X599" t="e">
        <f>IF(Table13[[#This Row],[Category All]]="Category 1",Table13[[#This Row],[Base Abalone Value]]*1.5,NA())</f>
        <v>#N/A</v>
      </c>
      <c r="Y599" t="e">
        <f>IF(Table13[[#This Row],[Category All]]="Category 2",Table13[[#This Row],[Base Abalone Value]]*0.8,NA())</f>
        <v>#N/A</v>
      </c>
      <c r="Z599">
        <f>IF(Table13[[#This Row],[Category All]]="Category 3",Table13[[#This Row],[Base Abalone Value]],NA())</f>
        <v>1.0125333333333333</v>
      </c>
      <c r="AA599" s="2" t="e">
        <f>IF(Table13[[#This Row],[Gender]]="M",Table13[[#This Row],[Whole_weight]],NA())</f>
        <v>#N/A</v>
      </c>
      <c r="AB599" s="2">
        <f>IF(Table13[[#This Row],[Gender]]="F",Table13[[#This Row],[Whole_weight]],NA())</f>
        <v>1.04</v>
      </c>
      <c r="AC599" s="2" t="e">
        <f>IF(Table13[[#This Row],[Gender]]="I",Table13[[#This Row],[Whole_weight]],NA())</f>
        <v>#N/A</v>
      </c>
      <c r="AD599" s="2" t="e">
        <f>IF(Table13[[#This Row],[Gender]]="M",Table13[[#This Row],[Diameter]],NA())</f>
        <v>#N/A</v>
      </c>
      <c r="AE599" s="2">
        <f>IF(Table13[[#This Row],[Gender]]="F",Table13[[#This Row],[Diameter]],NA())</f>
        <v>0.46500000000000002</v>
      </c>
      <c r="AF599" s="2" t="e">
        <f>IF(Table13[[#This Row],[Gender]]="I",Table13[[#This Row],[Diameter]],NA())</f>
        <v>#N/A</v>
      </c>
    </row>
    <row r="600" spans="1:32" x14ac:dyDescent="0.2">
      <c r="A600">
        <v>3567</v>
      </c>
      <c r="B600" t="s">
        <v>15</v>
      </c>
      <c r="C600">
        <v>0.57499999999999996</v>
      </c>
      <c r="D600">
        <v>0.45</v>
      </c>
      <c r="E600">
        <v>0.155</v>
      </c>
      <c r="F600">
        <v>0.88600000000000001</v>
      </c>
      <c r="G600">
        <v>0.36049999999999999</v>
      </c>
      <c r="H600">
        <v>0.21099999999999999</v>
      </c>
      <c r="I600">
        <v>0.25750000000000001</v>
      </c>
      <c r="J600">
        <v>9</v>
      </c>
      <c r="K600">
        <v>13</v>
      </c>
      <c r="L600" t="s">
        <v>12</v>
      </c>
      <c r="M600" t="s">
        <v>13</v>
      </c>
      <c r="N600" t="s">
        <v>3</v>
      </c>
      <c r="O600">
        <v>4</v>
      </c>
      <c r="P600" t="s">
        <v>10</v>
      </c>
      <c r="Q600">
        <v>6.1</v>
      </c>
      <c r="R600" t="str" cm="1">
        <f t="array" ref="R6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0" t="e">
        <f>IF(Table13[[#This Row],[Category All]]="Category 1", "Yes",NA())</f>
        <v>#N/A</v>
      </c>
      <c r="T600" t="str">
        <f>IF(Table13[[#This Row],[Category All]]="Category 2", "Yes",NA())</f>
        <v>Yes</v>
      </c>
      <c r="U600" t="e">
        <f>IF(Table13[[#This Row],[Category All]]="Category 3", "Yes",NA())</f>
        <v>#N/A</v>
      </c>
      <c r="V600">
        <f>SUM(1,(1/3)*(Table13[[#This Row],[Length]]-0.5),(1/3)*(Table13[[#This Row],[Diameter]]-0.4),(1/3)*(Table13[[#This Row],[Height]]-0.4)*Table13[[#This Row],[Whole_weight]]*0.5)</f>
        <v>1.0054883333333331</v>
      </c>
      <c r="W600" cm="1">
        <f t="array" ref="W6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0.80439066666666648</v>
      </c>
      <c r="X600" t="e">
        <f>IF(Table13[[#This Row],[Category All]]="Category 1",Table13[[#This Row],[Base Abalone Value]]*1.5,NA())</f>
        <v>#N/A</v>
      </c>
      <c r="Y600">
        <f>IF(Table13[[#This Row],[Category All]]="Category 2",Table13[[#This Row],[Base Abalone Value]]*0.8,NA())</f>
        <v>0.80439066666666648</v>
      </c>
      <c r="Z600" t="e">
        <f>IF(Table13[[#This Row],[Category All]]="Category 3",Table13[[#This Row],[Base Abalone Value]],NA())</f>
        <v>#N/A</v>
      </c>
      <c r="AA600" s="2">
        <f>IF(Table13[[#This Row],[Gender]]="M",Table13[[#This Row],[Whole_weight]],NA())</f>
        <v>0.88600000000000001</v>
      </c>
      <c r="AB600" s="2" t="e">
        <f>IF(Table13[[#This Row],[Gender]]="F",Table13[[#This Row],[Whole_weight]],NA())</f>
        <v>#N/A</v>
      </c>
      <c r="AC600" s="2" t="e">
        <f>IF(Table13[[#This Row],[Gender]]="I",Table13[[#This Row],[Whole_weight]],NA())</f>
        <v>#N/A</v>
      </c>
      <c r="AD600" s="2">
        <f>IF(Table13[[#This Row],[Gender]]="M",Table13[[#This Row],[Diameter]],NA())</f>
        <v>0.45</v>
      </c>
      <c r="AE600" s="2" t="e">
        <f>IF(Table13[[#This Row],[Gender]]="F",Table13[[#This Row],[Diameter]],NA())</f>
        <v>#N/A</v>
      </c>
      <c r="AF600" s="2" t="e">
        <f>IF(Table13[[#This Row],[Gender]]="I",Table13[[#This Row],[Diameter]],NA())</f>
        <v>#N/A</v>
      </c>
    </row>
    <row r="601" spans="1:32" x14ac:dyDescent="0.2">
      <c r="A601">
        <v>230</v>
      </c>
      <c r="B601" t="s">
        <v>0</v>
      </c>
      <c r="C601">
        <v>0.53</v>
      </c>
      <c r="D601">
        <v>0.41499999999999998</v>
      </c>
      <c r="E601">
        <v>0.16</v>
      </c>
      <c r="F601">
        <v>0.78300000000000003</v>
      </c>
      <c r="G601">
        <v>0.29349999999999998</v>
      </c>
      <c r="H601">
        <v>0.158</v>
      </c>
      <c r="I601">
        <v>0.245</v>
      </c>
      <c r="J601">
        <v>15</v>
      </c>
      <c r="K601">
        <v>12</v>
      </c>
      <c r="L601" t="s">
        <v>1</v>
      </c>
      <c r="M601" t="s">
        <v>2</v>
      </c>
      <c r="N601" t="s">
        <v>3</v>
      </c>
      <c r="O601">
        <v>4</v>
      </c>
      <c r="P601" t="s">
        <v>10</v>
      </c>
      <c r="Q601">
        <v>6.1</v>
      </c>
      <c r="R601" t="str" cm="1">
        <f t="array" ref="R6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1" t="e">
        <f>IF(Table13[[#This Row],[Category All]]="Category 1", "Yes",NA())</f>
        <v>#N/A</v>
      </c>
      <c r="T601" t="str">
        <f>IF(Table13[[#This Row],[Category All]]="Category 2", "Yes",NA())</f>
        <v>Yes</v>
      </c>
      <c r="U601" t="e">
        <f>IF(Table13[[#This Row],[Category All]]="Category 3", "Yes",NA())</f>
        <v>#N/A</v>
      </c>
      <c r="V601">
        <f>SUM(1,(1/3)*(Table13[[#This Row],[Length]]-0.5),(1/3)*(Table13[[#This Row],[Diameter]]-0.4),(1/3)*(Table13[[#This Row],[Height]]-0.4)*Table13[[#This Row],[Whole_weight]]*0.5)</f>
        <v>0.98367999999999989</v>
      </c>
      <c r="W601" cm="1">
        <f t="array" ref="W6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0.78694399999999998</v>
      </c>
      <c r="X601" t="e">
        <f>IF(Table13[[#This Row],[Category All]]="Category 1",Table13[[#This Row],[Base Abalone Value]]*1.5,NA())</f>
        <v>#N/A</v>
      </c>
      <c r="Y601">
        <f>IF(Table13[[#This Row],[Category All]]="Category 2",Table13[[#This Row],[Base Abalone Value]]*0.8,NA())</f>
        <v>0.78694399999999998</v>
      </c>
      <c r="Z601" t="e">
        <f>IF(Table13[[#This Row],[Category All]]="Category 3",Table13[[#This Row],[Base Abalone Value]],NA())</f>
        <v>#N/A</v>
      </c>
      <c r="AA601" s="2" t="e">
        <f>IF(Table13[[#This Row],[Gender]]="M",Table13[[#This Row],[Whole_weight]],NA())</f>
        <v>#N/A</v>
      </c>
      <c r="AB601" s="2">
        <f>IF(Table13[[#This Row],[Gender]]="F",Table13[[#This Row],[Whole_weight]],NA())</f>
        <v>0.78300000000000003</v>
      </c>
      <c r="AC601" s="2" t="e">
        <f>IF(Table13[[#This Row],[Gender]]="I",Table13[[#This Row],[Whole_weight]],NA())</f>
        <v>#N/A</v>
      </c>
      <c r="AD601" s="2" t="e">
        <f>IF(Table13[[#This Row],[Gender]]="M",Table13[[#This Row],[Diameter]],NA())</f>
        <v>#N/A</v>
      </c>
      <c r="AE601" s="2">
        <f>IF(Table13[[#This Row],[Gender]]="F",Table13[[#This Row],[Diameter]],NA())</f>
        <v>0.41499999999999998</v>
      </c>
      <c r="AF601" s="2" t="e">
        <f>IF(Table13[[#This Row],[Gender]]="I",Table13[[#This Row],[Diameter]],NA())</f>
        <v>#N/A</v>
      </c>
    </row>
    <row r="602" spans="1:32" x14ac:dyDescent="0.2">
      <c r="A602">
        <v>2654</v>
      </c>
      <c r="B602" t="s">
        <v>11</v>
      </c>
      <c r="C602">
        <v>0.52</v>
      </c>
      <c r="D602">
        <v>0.39500000000000002</v>
      </c>
      <c r="E602">
        <v>0.13500000000000001</v>
      </c>
      <c r="F602">
        <v>0.63300000000000001</v>
      </c>
      <c r="G602">
        <v>0.29849999999999999</v>
      </c>
      <c r="H602">
        <v>0.1295</v>
      </c>
      <c r="I602">
        <v>0.17499999999999999</v>
      </c>
      <c r="J602">
        <v>9</v>
      </c>
      <c r="K602">
        <v>6</v>
      </c>
      <c r="L602" t="s">
        <v>39</v>
      </c>
      <c r="M602" t="s">
        <v>40</v>
      </c>
      <c r="N602" t="s">
        <v>41</v>
      </c>
      <c r="O602">
        <v>2</v>
      </c>
      <c r="P602" t="s">
        <v>7</v>
      </c>
      <c r="Q602">
        <v>18</v>
      </c>
      <c r="R602" t="str" cm="1">
        <f t="array" ref="R6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2" t="e">
        <f>IF(Table13[[#This Row],[Category All]]="Category 1", "Yes",NA())</f>
        <v>#N/A</v>
      </c>
      <c r="T602" t="str">
        <f>IF(Table13[[#This Row],[Category All]]="Category 2", "Yes",NA())</f>
        <v>Yes</v>
      </c>
      <c r="U602" t="e">
        <f>IF(Table13[[#This Row],[Category All]]="Category 3", "Yes",NA())</f>
        <v>#N/A</v>
      </c>
      <c r="V602">
        <f>SUM(1,(1/3)*(Table13[[#This Row],[Length]]-0.5),(1/3)*(Table13[[#This Row],[Diameter]]-0.4),(1/3)*(Table13[[#This Row],[Height]]-0.4)*Table13[[#This Row],[Whole_weight]]*0.5)</f>
        <v>0.97704249999999992</v>
      </c>
      <c r="W602" cm="1">
        <f t="array" ref="W6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0.78163399999999994</v>
      </c>
      <c r="X602" t="e">
        <f>IF(Table13[[#This Row],[Category All]]="Category 1",Table13[[#This Row],[Base Abalone Value]]*1.5,NA())</f>
        <v>#N/A</v>
      </c>
      <c r="Y602">
        <f>IF(Table13[[#This Row],[Category All]]="Category 2",Table13[[#This Row],[Base Abalone Value]]*0.8,NA())</f>
        <v>0.78163399999999994</v>
      </c>
      <c r="Z602" t="e">
        <f>IF(Table13[[#This Row],[Category All]]="Category 3",Table13[[#This Row],[Base Abalone Value]],NA())</f>
        <v>#N/A</v>
      </c>
      <c r="AA602" s="2" t="e">
        <f>IF(Table13[[#This Row],[Gender]]="M",Table13[[#This Row],[Whole_weight]],NA())</f>
        <v>#N/A</v>
      </c>
      <c r="AB602" s="2" t="e">
        <f>IF(Table13[[#This Row],[Gender]]="F",Table13[[#This Row],[Whole_weight]],NA())</f>
        <v>#N/A</v>
      </c>
      <c r="AC602" s="2">
        <f>IF(Table13[[#This Row],[Gender]]="I",Table13[[#This Row],[Whole_weight]],NA())</f>
        <v>0.63300000000000001</v>
      </c>
      <c r="AD602" s="2" t="e">
        <f>IF(Table13[[#This Row],[Gender]]="M",Table13[[#This Row],[Diameter]],NA())</f>
        <v>#N/A</v>
      </c>
      <c r="AE602" s="2" t="e">
        <f>IF(Table13[[#This Row],[Gender]]="F",Table13[[#This Row],[Diameter]],NA())</f>
        <v>#N/A</v>
      </c>
      <c r="AF602" s="2">
        <f>IF(Table13[[#This Row],[Gender]]="I",Table13[[#This Row],[Diameter]],NA())</f>
        <v>0.39500000000000002</v>
      </c>
    </row>
    <row r="603" spans="1:32" x14ac:dyDescent="0.2">
      <c r="A603">
        <v>885</v>
      </c>
      <c r="B603" t="s">
        <v>15</v>
      </c>
      <c r="C603">
        <v>0.66</v>
      </c>
      <c r="D603">
        <v>0.52</v>
      </c>
      <c r="E603">
        <v>0.19</v>
      </c>
      <c r="F603">
        <v>1.5580000000000001</v>
      </c>
      <c r="G603">
        <v>0.755</v>
      </c>
      <c r="H603">
        <v>0.29799999999999999</v>
      </c>
      <c r="I603">
        <v>0.4</v>
      </c>
      <c r="J603">
        <v>10</v>
      </c>
      <c r="K603">
        <v>14</v>
      </c>
      <c r="L603" t="s">
        <v>23</v>
      </c>
      <c r="M603" t="s">
        <v>24</v>
      </c>
      <c r="N603" t="s">
        <v>25</v>
      </c>
      <c r="O603">
        <v>6</v>
      </c>
      <c r="P603" t="s">
        <v>47</v>
      </c>
      <c r="Q603">
        <v>14.1</v>
      </c>
      <c r="R603" t="str" cm="1">
        <f t="array" ref="R6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03" t="e">
        <f>IF(Table13[[#This Row],[Category All]]="Category 1", "Yes",NA())</f>
        <v>#N/A</v>
      </c>
      <c r="T603" t="e">
        <f>IF(Table13[[#This Row],[Category All]]="Category 2", "Yes",NA())</f>
        <v>#N/A</v>
      </c>
      <c r="U603" t="str">
        <f>IF(Table13[[#This Row],[Category All]]="Category 3", "Yes",NA())</f>
        <v>Yes</v>
      </c>
      <c r="V603">
        <f>SUM(1,(1/3)*(Table13[[#This Row],[Length]]-0.5),(1/3)*(Table13[[#This Row],[Diameter]]-0.4),(1/3)*(Table13[[#This Row],[Height]]-0.4)*Table13[[#This Row],[Whole_weight]]*0.5)</f>
        <v>1.0388033333333333</v>
      </c>
      <c r="W603" cm="1">
        <f t="array" ref="W6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1.0388033333333333</v>
      </c>
      <c r="X603" t="e">
        <f>IF(Table13[[#This Row],[Category All]]="Category 1",Table13[[#This Row],[Base Abalone Value]]*1.5,NA())</f>
        <v>#N/A</v>
      </c>
      <c r="Y603" t="e">
        <f>IF(Table13[[#This Row],[Category All]]="Category 2",Table13[[#This Row],[Base Abalone Value]]*0.8,NA())</f>
        <v>#N/A</v>
      </c>
      <c r="Z603">
        <f>IF(Table13[[#This Row],[Category All]]="Category 3",Table13[[#This Row],[Base Abalone Value]],NA())</f>
        <v>1.0388033333333333</v>
      </c>
      <c r="AA603" s="2">
        <f>IF(Table13[[#This Row],[Gender]]="M",Table13[[#This Row],[Whole_weight]],NA())</f>
        <v>1.5580000000000001</v>
      </c>
      <c r="AB603" s="2" t="e">
        <f>IF(Table13[[#This Row],[Gender]]="F",Table13[[#This Row],[Whole_weight]],NA())</f>
        <v>#N/A</v>
      </c>
      <c r="AC603" s="2" t="e">
        <f>IF(Table13[[#This Row],[Gender]]="I",Table13[[#This Row],[Whole_weight]],NA())</f>
        <v>#N/A</v>
      </c>
      <c r="AD603" s="2">
        <f>IF(Table13[[#This Row],[Gender]]="M",Table13[[#This Row],[Diameter]],NA())</f>
        <v>0.52</v>
      </c>
      <c r="AE603" s="2" t="e">
        <f>IF(Table13[[#This Row],[Gender]]="F",Table13[[#This Row],[Diameter]],NA())</f>
        <v>#N/A</v>
      </c>
      <c r="AF603" s="2" t="e">
        <f>IF(Table13[[#This Row],[Gender]]="I",Table13[[#This Row],[Diameter]],NA())</f>
        <v>#N/A</v>
      </c>
    </row>
    <row r="604" spans="1:32" x14ac:dyDescent="0.2">
      <c r="A604">
        <v>528</v>
      </c>
      <c r="B604" t="s">
        <v>0</v>
      </c>
      <c r="C604">
        <v>0.56999999999999995</v>
      </c>
      <c r="D604">
        <v>0.44500000000000001</v>
      </c>
      <c r="E604">
        <v>0.155</v>
      </c>
      <c r="F604">
        <v>0.73299999999999998</v>
      </c>
      <c r="G604">
        <v>0.28199999999999997</v>
      </c>
      <c r="H604">
        <v>0.159</v>
      </c>
      <c r="I604">
        <v>0.23499999999999999</v>
      </c>
      <c r="J604">
        <v>14</v>
      </c>
      <c r="K604">
        <v>13</v>
      </c>
      <c r="L604" t="s">
        <v>12</v>
      </c>
      <c r="M604" t="s">
        <v>13</v>
      </c>
      <c r="N604" t="s">
        <v>3</v>
      </c>
      <c r="O604">
        <v>4</v>
      </c>
      <c r="P604" t="s">
        <v>10</v>
      </c>
      <c r="Q604">
        <v>6.1</v>
      </c>
      <c r="R604" t="str" cm="1">
        <f t="array" ref="R6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4" t="e">
        <f>IF(Table13[[#This Row],[Category All]]="Category 1", "Yes",NA())</f>
        <v>#N/A</v>
      </c>
      <c r="T604" t="str">
        <f>IF(Table13[[#This Row],[Category All]]="Category 2", "Yes",NA())</f>
        <v>Yes</v>
      </c>
      <c r="U604" t="e">
        <f>IF(Table13[[#This Row],[Category All]]="Category 3", "Yes",NA())</f>
        <v>#N/A</v>
      </c>
      <c r="V604">
        <f>SUM(1,(1/3)*(Table13[[#This Row],[Length]]-0.5),(1/3)*(Table13[[#This Row],[Diameter]]-0.4),(1/3)*(Table13[[#This Row],[Height]]-0.4)*Table13[[#This Row],[Whole_weight]]*0.5)</f>
        <v>1.0084025000000001</v>
      </c>
      <c r="W604" cm="1">
        <f t="array" ref="W6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0.80672200000000016</v>
      </c>
      <c r="X604" t="e">
        <f>IF(Table13[[#This Row],[Category All]]="Category 1",Table13[[#This Row],[Base Abalone Value]]*1.5,NA())</f>
        <v>#N/A</v>
      </c>
      <c r="Y604">
        <f>IF(Table13[[#This Row],[Category All]]="Category 2",Table13[[#This Row],[Base Abalone Value]]*0.8,NA())</f>
        <v>0.80672200000000016</v>
      </c>
      <c r="Z604" t="e">
        <f>IF(Table13[[#This Row],[Category All]]="Category 3",Table13[[#This Row],[Base Abalone Value]],NA())</f>
        <v>#N/A</v>
      </c>
      <c r="AA604" s="2" t="e">
        <f>IF(Table13[[#This Row],[Gender]]="M",Table13[[#This Row],[Whole_weight]],NA())</f>
        <v>#N/A</v>
      </c>
      <c r="AB604" s="2">
        <f>IF(Table13[[#This Row],[Gender]]="F",Table13[[#This Row],[Whole_weight]],NA())</f>
        <v>0.73299999999999998</v>
      </c>
      <c r="AC604" s="2" t="e">
        <f>IF(Table13[[#This Row],[Gender]]="I",Table13[[#This Row],[Whole_weight]],NA())</f>
        <v>#N/A</v>
      </c>
      <c r="AD604" s="2" t="e">
        <f>IF(Table13[[#This Row],[Gender]]="M",Table13[[#This Row],[Diameter]],NA())</f>
        <v>#N/A</v>
      </c>
      <c r="AE604" s="2">
        <f>IF(Table13[[#This Row],[Gender]]="F",Table13[[#This Row],[Diameter]],NA())</f>
        <v>0.44500000000000001</v>
      </c>
      <c r="AF604" s="2" t="e">
        <f>IF(Table13[[#This Row],[Gender]]="I",Table13[[#This Row],[Diameter]],NA())</f>
        <v>#N/A</v>
      </c>
    </row>
    <row r="605" spans="1:32" x14ac:dyDescent="0.2">
      <c r="A605">
        <v>2023</v>
      </c>
      <c r="B605" t="s">
        <v>0</v>
      </c>
      <c r="C605">
        <v>0.53</v>
      </c>
      <c r="D605">
        <v>0.43</v>
      </c>
      <c r="E605">
        <v>0.15</v>
      </c>
      <c r="F605">
        <v>0.74099999999999999</v>
      </c>
      <c r="G605">
        <v>0.32500000000000001</v>
      </c>
      <c r="H605">
        <v>0.1855</v>
      </c>
      <c r="I605">
        <v>0.19600000000000001</v>
      </c>
      <c r="J605">
        <v>9</v>
      </c>
      <c r="K605">
        <v>4</v>
      </c>
      <c r="L605" t="s">
        <v>52</v>
      </c>
      <c r="M605" t="s">
        <v>53</v>
      </c>
      <c r="N605" t="s">
        <v>54</v>
      </c>
      <c r="O605">
        <v>3</v>
      </c>
      <c r="P605" t="s">
        <v>48</v>
      </c>
      <c r="Q605">
        <v>3.6</v>
      </c>
      <c r="R605" t="str" cm="1">
        <f t="array" ref="R6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5" t="e">
        <f>IF(Table13[[#This Row],[Category All]]="Category 1", "Yes",NA())</f>
        <v>#N/A</v>
      </c>
      <c r="T605" t="str">
        <f>IF(Table13[[#This Row],[Category All]]="Category 2", "Yes",NA())</f>
        <v>Yes</v>
      </c>
      <c r="U605" t="e">
        <f>IF(Table13[[#This Row],[Category All]]="Category 3", "Yes",NA())</f>
        <v>#N/A</v>
      </c>
      <c r="V605">
        <f>SUM(1,(1/3)*(Table13[[#This Row],[Length]]-0.5),(1/3)*(Table13[[#This Row],[Diameter]]-0.4),(1/3)*(Table13[[#This Row],[Height]]-0.4)*Table13[[#This Row],[Whole_weight]]*0.5)</f>
        <v>0.98912500000000003</v>
      </c>
      <c r="W605" cm="1">
        <f t="array" ref="W6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0.79130000000000011</v>
      </c>
      <c r="X605" t="e">
        <f>IF(Table13[[#This Row],[Category All]]="Category 1",Table13[[#This Row],[Base Abalone Value]]*1.5,NA())</f>
        <v>#N/A</v>
      </c>
      <c r="Y605">
        <f>IF(Table13[[#This Row],[Category All]]="Category 2",Table13[[#This Row],[Base Abalone Value]]*0.8,NA())</f>
        <v>0.79130000000000011</v>
      </c>
      <c r="Z605" t="e">
        <f>IF(Table13[[#This Row],[Category All]]="Category 3",Table13[[#This Row],[Base Abalone Value]],NA())</f>
        <v>#N/A</v>
      </c>
      <c r="AA605" s="2" t="e">
        <f>IF(Table13[[#This Row],[Gender]]="M",Table13[[#This Row],[Whole_weight]],NA())</f>
        <v>#N/A</v>
      </c>
      <c r="AB605" s="2">
        <f>IF(Table13[[#This Row],[Gender]]="F",Table13[[#This Row],[Whole_weight]],NA())</f>
        <v>0.74099999999999999</v>
      </c>
      <c r="AC605" s="2" t="e">
        <f>IF(Table13[[#This Row],[Gender]]="I",Table13[[#This Row],[Whole_weight]],NA())</f>
        <v>#N/A</v>
      </c>
      <c r="AD605" s="2" t="e">
        <f>IF(Table13[[#This Row],[Gender]]="M",Table13[[#This Row],[Diameter]],NA())</f>
        <v>#N/A</v>
      </c>
      <c r="AE605" s="2">
        <f>IF(Table13[[#This Row],[Gender]]="F",Table13[[#This Row],[Diameter]],NA())</f>
        <v>0.43</v>
      </c>
      <c r="AF605" s="2" t="e">
        <f>IF(Table13[[#This Row],[Gender]]="I",Table13[[#This Row],[Diameter]],NA())</f>
        <v>#N/A</v>
      </c>
    </row>
    <row r="606" spans="1:32" x14ac:dyDescent="0.2">
      <c r="A606">
        <v>854</v>
      </c>
      <c r="B606" t="s">
        <v>15</v>
      </c>
      <c r="C606">
        <v>0.56999999999999995</v>
      </c>
      <c r="D606">
        <v>0.45500000000000002</v>
      </c>
      <c r="E606">
        <v>0.15</v>
      </c>
      <c r="F606">
        <v>0.95199999999999996</v>
      </c>
      <c r="G606">
        <v>0.38950000000000001</v>
      </c>
      <c r="H606">
        <v>0.2155</v>
      </c>
      <c r="I606">
        <v>0.27450000000000002</v>
      </c>
      <c r="J606">
        <v>9</v>
      </c>
      <c r="K606">
        <v>14</v>
      </c>
      <c r="L606" t="s">
        <v>23</v>
      </c>
      <c r="M606" t="s">
        <v>24</v>
      </c>
      <c r="N606" t="s">
        <v>25</v>
      </c>
      <c r="O606">
        <v>5</v>
      </c>
      <c r="P606" t="s">
        <v>14</v>
      </c>
      <c r="Q606">
        <v>12.8</v>
      </c>
      <c r="R606" t="str" cm="1">
        <f t="array" ref="R6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6" t="e">
        <f>IF(Table13[[#This Row],[Category All]]="Category 1", "Yes",NA())</f>
        <v>#N/A</v>
      </c>
      <c r="T606" t="str">
        <f>IF(Table13[[#This Row],[Category All]]="Category 2", "Yes",NA())</f>
        <v>Yes</v>
      </c>
      <c r="U606" t="e">
        <f>IF(Table13[[#This Row],[Category All]]="Category 3", "Yes",NA())</f>
        <v>#N/A</v>
      </c>
      <c r="V606">
        <f>SUM(1,(1/3)*(Table13[[#This Row],[Length]]-0.5),(1/3)*(Table13[[#This Row],[Diameter]]-0.4),(1/3)*(Table13[[#This Row],[Height]]-0.4)*Table13[[#This Row],[Whole_weight]]*0.5)</f>
        <v>1.002</v>
      </c>
      <c r="W606" cm="1">
        <f t="array" ref="W6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0.80160000000000009</v>
      </c>
      <c r="X606" t="e">
        <f>IF(Table13[[#This Row],[Category All]]="Category 1",Table13[[#This Row],[Base Abalone Value]]*1.5,NA())</f>
        <v>#N/A</v>
      </c>
      <c r="Y606">
        <f>IF(Table13[[#This Row],[Category All]]="Category 2",Table13[[#This Row],[Base Abalone Value]]*0.8,NA())</f>
        <v>0.80160000000000009</v>
      </c>
      <c r="Z606" t="e">
        <f>IF(Table13[[#This Row],[Category All]]="Category 3",Table13[[#This Row],[Base Abalone Value]],NA())</f>
        <v>#N/A</v>
      </c>
      <c r="AA606" s="2">
        <f>IF(Table13[[#This Row],[Gender]]="M",Table13[[#This Row],[Whole_weight]],NA())</f>
        <v>0.95199999999999996</v>
      </c>
      <c r="AB606" s="2" t="e">
        <f>IF(Table13[[#This Row],[Gender]]="F",Table13[[#This Row],[Whole_weight]],NA())</f>
        <v>#N/A</v>
      </c>
      <c r="AC606" s="2" t="e">
        <f>IF(Table13[[#This Row],[Gender]]="I",Table13[[#This Row],[Whole_weight]],NA())</f>
        <v>#N/A</v>
      </c>
      <c r="AD606" s="2">
        <f>IF(Table13[[#This Row],[Gender]]="M",Table13[[#This Row],[Diameter]],NA())</f>
        <v>0.45500000000000002</v>
      </c>
      <c r="AE606" s="2" t="e">
        <f>IF(Table13[[#This Row],[Gender]]="F",Table13[[#This Row],[Diameter]],NA())</f>
        <v>#N/A</v>
      </c>
      <c r="AF606" s="2" t="e">
        <f>IF(Table13[[#This Row],[Gender]]="I",Table13[[#This Row],[Diameter]],NA())</f>
        <v>#N/A</v>
      </c>
    </row>
    <row r="607" spans="1:32" x14ac:dyDescent="0.2">
      <c r="A607">
        <v>2649</v>
      </c>
      <c r="B607" t="s">
        <v>15</v>
      </c>
      <c r="C607">
        <v>0.5</v>
      </c>
      <c r="D607">
        <v>0.38</v>
      </c>
      <c r="E607">
        <v>0.12</v>
      </c>
      <c r="F607">
        <v>0.57650000000000001</v>
      </c>
      <c r="G607">
        <v>0.27300000000000002</v>
      </c>
      <c r="H607">
        <v>0.13500000000000001</v>
      </c>
      <c r="I607">
        <v>0.14499999999999999</v>
      </c>
      <c r="J607">
        <v>9</v>
      </c>
      <c r="K607">
        <v>12</v>
      </c>
      <c r="L607" t="s">
        <v>1</v>
      </c>
      <c r="M607" t="s">
        <v>2</v>
      </c>
      <c r="N607" t="s">
        <v>3</v>
      </c>
      <c r="O607">
        <v>7</v>
      </c>
      <c r="P607" t="s">
        <v>42</v>
      </c>
      <c r="Q607">
        <v>2.5</v>
      </c>
      <c r="R607" t="str" cm="1">
        <f t="array" ref="R6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7" t="e">
        <f>IF(Table13[[#This Row],[Category All]]="Category 1", "Yes",NA())</f>
        <v>#N/A</v>
      </c>
      <c r="T607" t="str">
        <f>IF(Table13[[#This Row],[Category All]]="Category 2", "Yes",NA())</f>
        <v>Yes</v>
      </c>
      <c r="U607" t="e">
        <f>IF(Table13[[#This Row],[Category All]]="Category 3", "Yes",NA())</f>
        <v>#N/A</v>
      </c>
      <c r="V607">
        <f>SUM(1,(1/3)*(Table13[[#This Row],[Length]]-0.5),(1/3)*(Table13[[#This Row],[Diameter]]-0.4),(1/3)*(Table13[[#This Row],[Height]]-0.4)*Table13[[#This Row],[Whole_weight]]*0.5)</f>
        <v>0.9664299999999999</v>
      </c>
      <c r="W607" cm="1">
        <f t="array" ref="W6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0.77314399999999994</v>
      </c>
      <c r="X607" t="e">
        <f>IF(Table13[[#This Row],[Category All]]="Category 1",Table13[[#This Row],[Base Abalone Value]]*1.5,NA())</f>
        <v>#N/A</v>
      </c>
      <c r="Y607">
        <f>IF(Table13[[#This Row],[Category All]]="Category 2",Table13[[#This Row],[Base Abalone Value]]*0.8,NA())</f>
        <v>0.77314399999999994</v>
      </c>
      <c r="Z607" t="e">
        <f>IF(Table13[[#This Row],[Category All]]="Category 3",Table13[[#This Row],[Base Abalone Value]],NA())</f>
        <v>#N/A</v>
      </c>
      <c r="AA607" s="2">
        <f>IF(Table13[[#This Row],[Gender]]="M",Table13[[#This Row],[Whole_weight]],NA())</f>
        <v>0.57650000000000001</v>
      </c>
      <c r="AB607" s="2" t="e">
        <f>IF(Table13[[#This Row],[Gender]]="F",Table13[[#This Row],[Whole_weight]],NA())</f>
        <v>#N/A</v>
      </c>
      <c r="AC607" s="2" t="e">
        <f>IF(Table13[[#This Row],[Gender]]="I",Table13[[#This Row],[Whole_weight]],NA())</f>
        <v>#N/A</v>
      </c>
      <c r="AD607" s="2">
        <f>IF(Table13[[#This Row],[Gender]]="M",Table13[[#This Row],[Diameter]],NA())</f>
        <v>0.38</v>
      </c>
      <c r="AE607" s="2" t="e">
        <f>IF(Table13[[#This Row],[Gender]]="F",Table13[[#This Row],[Diameter]],NA())</f>
        <v>#N/A</v>
      </c>
      <c r="AF607" s="2" t="e">
        <f>IF(Table13[[#This Row],[Gender]]="I",Table13[[#This Row],[Diameter]],NA())</f>
        <v>#N/A</v>
      </c>
    </row>
    <row r="608" spans="1:32" x14ac:dyDescent="0.2">
      <c r="A608">
        <v>2603</v>
      </c>
      <c r="B608" t="s">
        <v>15</v>
      </c>
      <c r="C608">
        <v>0.61499999999999999</v>
      </c>
      <c r="D608">
        <v>0.47</v>
      </c>
      <c r="E608">
        <v>0.155</v>
      </c>
      <c r="F608">
        <v>1.2</v>
      </c>
      <c r="G608">
        <v>0.50849999999999995</v>
      </c>
      <c r="H608">
        <v>0.32</v>
      </c>
      <c r="I608">
        <v>0.29199999999999998</v>
      </c>
      <c r="J608">
        <v>8</v>
      </c>
      <c r="K608">
        <v>10</v>
      </c>
      <c r="L608" t="s">
        <v>16</v>
      </c>
      <c r="M608" t="s">
        <v>17</v>
      </c>
      <c r="N608" t="s">
        <v>18</v>
      </c>
      <c r="O608">
        <v>6</v>
      </c>
      <c r="P608" t="s">
        <v>47</v>
      </c>
      <c r="Q608">
        <v>14.1</v>
      </c>
      <c r="R608" t="str" cm="1">
        <f t="array" ref="R6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08" t="e">
        <f>IF(Table13[[#This Row],[Category All]]="Category 1", "Yes",NA())</f>
        <v>#N/A</v>
      </c>
      <c r="T608" t="e">
        <f>IF(Table13[[#This Row],[Category All]]="Category 2", "Yes",NA())</f>
        <v>#N/A</v>
      </c>
      <c r="U608" t="str">
        <f>IF(Table13[[#This Row],[Category All]]="Category 3", "Yes",NA())</f>
        <v>Yes</v>
      </c>
      <c r="V608">
        <f>SUM(1,(1/3)*(Table13[[#This Row],[Length]]-0.5),(1/3)*(Table13[[#This Row],[Diameter]]-0.4),(1/3)*(Table13[[#This Row],[Height]]-0.4)*Table13[[#This Row],[Whole_weight]]*0.5)</f>
        <v>1.0126666666666666</v>
      </c>
      <c r="W608" cm="1">
        <f t="array" ref="W6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1.0126666666666666</v>
      </c>
      <c r="X608" t="e">
        <f>IF(Table13[[#This Row],[Category All]]="Category 1",Table13[[#This Row],[Base Abalone Value]]*1.5,NA())</f>
        <v>#N/A</v>
      </c>
      <c r="Y608" t="e">
        <f>IF(Table13[[#This Row],[Category All]]="Category 2",Table13[[#This Row],[Base Abalone Value]]*0.8,NA())</f>
        <v>#N/A</v>
      </c>
      <c r="Z608">
        <f>IF(Table13[[#This Row],[Category All]]="Category 3",Table13[[#This Row],[Base Abalone Value]],NA())</f>
        <v>1.0126666666666666</v>
      </c>
      <c r="AA608" s="2">
        <f>IF(Table13[[#This Row],[Gender]]="M",Table13[[#This Row],[Whole_weight]],NA())</f>
        <v>1.2</v>
      </c>
      <c r="AB608" s="2" t="e">
        <f>IF(Table13[[#This Row],[Gender]]="F",Table13[[#This Row],[Whole_weight]],NA())</f>
        <v>#N/A</v>
      </c>
      <c r="AC608" s="2" t="e">
        <f>IF(Table13[[#This Row],[Gender]]="I",Table13[[#This Row],[Whole_weight]],NA())</f>
        <v>#N/A</v>
      </c>
      <c r="AD608" s="2">
        <f>IF(Table13[[#This Row],[Gender]]="M",Table13[[#This Row],[Diameter]],NA())</f>
        <v>0.47</v>
      </c>
      <c r="AE608" s="2" t="e">
        <f>IF(Table13[[#This Row],[Gender]]="F",Table13[[#This Row],[Diameter]],NA())</f>
        <v>#N/A</v>
      </c>
      <c r="AF608" s="2" t="e">
        <f>IF(Table13[[#This Row],[Gender]]="I",Table13[[#This Row],[Diameter]],NA())</f>
        <v>#N/A</v>
      </c>
    </row>
    <row r="609" spans="1:32" x14ac:dyDescent="0.2">
      <c r="A609">
        <v>2557</v>
      </c>
      <c r="B609" t="s">
        <v>11</v>
      </c>
      <c r="C609">
        <v>0.38</v>
      </c>
      <c r="D609">
        <v>0.28499999999999998</v>
      </c>
      <c r="E609">
        <v>8.5000000000000006E-2</v>
      </c>
      <c r="F609">
        <v>0.23699999999999999</v>
      </c>
      <c r="G609">
        <v>0.115</v>
      </c>
      <c r="H609">
        <v>4.0500000000000001E-2</v>
      </c>
      <c r="I609">
        <v>7.0000000000000007E-2</v>
      </c>
      <c r="J609">
        <v>6</v>
      </c>
      <c r="K609">
        <v>4</v>
      </c>
      <c r="L609" t="s">
        <v>52</v>
      </c>
      <c r="M609" t="s">
        <v>53</v>
      </c>
      <c r="N609" t="s">
        <v>54</v>
      </c>
      <c r="O609">
        <v>5</v>
      </c>
      <c r="P609" t="s">
        <v>14</v>
      </c>
      <c r="Q609">
        <v>12.8</v>
      </c>
      <c r="R609" t="str" cm="1">
        <f t="array" ref="R6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9" t="e">
        <f>IF(Table13[[#This Row],[Category All]]="Category 1", "Yes",NA())</f>
        <v>#N/A</v>
      </c>
      <c r="T609" t="str">
        <f>IF(Table13[[#This Row],[Category All]]="Category 2", "Yes",NA())</f>
        <v>Yes</v>
      </c>
      <c r="U609" t="e">
        <f>IF(Table13[[#This Row],[Category All]]="Category 3", "Yes",NA())</f>
        <v>#N/A</v>
      </c>
      <c r="V609">
        <f>SUM(1,(1/3)*(Table13[[#This Row],[Length]]-0.5),(1/3)*(Table13[[#This Row],[Diameter]]-0.4),(1/3)*(Table13[[#This Row],[Height]]-0.4)*Table13[[#This Row],[Whole_weight]]*0.5)</f>
        <v>0.90922416666666661</v>
      </c>
      <c r="W609" cm="1">
        <f t="array" ref="W6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0.72737933333333338</v>
      </c>
      <c r="X609" t="e">
        <f>IF(Table13[[#This Row],[Category All]]="Category 1",Table13[[#This Row],[Base Abalone Value]]*1.5,NA())</f>
        <v>#N/A</v>
      </c>
      <c r="Y609">
        <f>IF(Table13[[#This Row],[Category All]]="Category 2",Table13[[#This Row],[Base Abalone Value]]*0.8,NA())</f>
        <v>0.72737933333333338</v>
      </c>
      <c r="Z609" t="e">
        <f>IF(Table13[[#This Row],[Category All]]="Category 3",Table13[[#This Row],[Base Abalone Value]],NA())</f>
        <v>#N/A</v>
      </c>
      <c r="AA609" s="2" t="e">
        <f>IF(Table13[[#This Row],[Gender]]="M",Table13[[#This Row],[Whole_weight]],NA())</f>
        <v>#N/A</v>
      </c>
      <c r="AB609" s="2" t="e">
        <f>IF(Table13[[#This Row],[Gender]]="F",Table13[[#This Row],[Whole_weight]],NA())</f>
        <v>#N/A</v>
      </c>
      <c r="AC609" s="2">
        <f>IF(Table13[[#This Row],[Gender]]="I",Table13[[#This Row],[Whole_weight]],NA())</f>
        <v>0.23699999999999999</v>
      </c>
      <c r="AD609" s="2" t="e">
        <f>IF(Table13[[#This Row],[Gender]]="M",Table13[[#This Row],[Diameter]],NA())</f>
        <v>#N/A</v>
      </c>
      <c r="AE609" s="2" t="e">
        <f>IF(Table13[[#This Row],[Gender]]="F",Table13[[#This Row],[Diameter]],NA())</f>
        <v>#N/A</v>
      </c>
      <c r="AF609" s="2">
        <f>IF(Table13[[#This Row],[Gender]]="I",Table13[[#This Row],[Diameter]],NA())</f>
        <v>0.28499999999999998</v>
      </c>
    </row>
    <row r="610" spans="1:32" x14ac:dyDescent="0.2">
      <c r="A610">
        <v>936</v>
      </c>
      <c r="B610" t="s">
        <v>11</v>
      </c>
      <c r="C610">
        <v>0.45</v>
      </c>
      <c r="D610">
        <v>0.34499999999999997</v>
      </c>
      <c r="E610">
        <v>0.11</v>
      </c>
      <c r="F610">
        <v>0.47</v>
      </c>
      <c r="G610">
        <v>0.23549999999999999</v>
      </c>
      <c r="H610">
        <v>8.5500000000000007E-2</v>
      </c>
      <c r="I610">
        <v>0.1135</v>
      </c>
      <c r="J610">
        <v>7</v>
      </c>
      <c r="K610">
        <v>5</v>
      </c>
      <c r="L610" t="s">
        <v>26</v>
      </c>
      <c r="M610" t="s">
        <v>27</v>
      </c>
      <c r="N610" t="s">
        <v>28</v>
      </c>
      <c r="O610">
        <v>2</v>
      </c>
      <c r="P610" t="s">
        <v>7</v>
      </c>
      <c r="Q610">
        <v>18</v>
      </c>
      <c r="R610" t="str" cm="1">
        <f t="array" ref="R6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10" t="e">
        <f>IF(Table13[[#This Row],[Category All]]="Category 1", "Yes",NA())</f>
        <v>#N/A</v>
      </c>
      <c r="T610" t="str">
        <f>IF(Table13[[#This Row],[Category All]]="Category 2", "Yes",NA())</f>
        <v>Yes</v>
      </c>
      <c r="U610" t="e">
        <f>IF(Table13[[#This Row],[Category All]]="Category 3", "Yes",NA())</f>
        <v>#N/A</v>
      </c>
      <c r="V610">
        <f>SUM(1,(1/3)*(Table13[[#This Row],[Length]]-0.5),(1/3)*(Table13[[#This Row],[Diameter]]-0.4),(1/3)*(Table13[[#This Row],[Height]]-0.4)*Table13[[#This Row],[Whole_weight]]*0.5)</f>
        <v>0.94228333333333336</v>
      </c>
      <c r="W610" cm="1">
        <f t="array" ref="W6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0.75382666666666676</v>
      </c>
      <c r="X610" t="e">
        <f>IF(Table13[[#This Row],[Category All]]="Category 1",Table13[[#This Row],[Base Abalone Value]]*1.5,NA())</f>
        <v>#N/A</v>
      </c>
      <c r="Y610">
        <f>IF(Table13[[#This Row],[Category All]]="Category 2",Table13[[#This Row],[Base Abalone Value]]*0.8,NA())</f>
        <v>0.75382666666666676</v>
      </c>
      <c r="Z610" t="e">
        <f>IF(Table13[[#This Row],[Category All]]="Category 3",Table13[[#This Row],[Base Abalone Value]],NA())</f>
        <v>#N/A</v>
      </c>
      <c r="AA610" s="2" t="e">
        <f>IF(Table13[[#This Row],[Gender]]="M",Table13[[#This Row],[Whole_weight]],NA())</f>
        <v>#N/A</v>
      </c>
      <c r="AB610" s="2" t="e">
        <f>IF(Table13[[#This Row],[Gender]]="F",Table13[[#This Row],[Whole_weight]],NA())</f>
        <v>#N/A</v>
      </c>
      <c r="AC610" s="2">
        <f>IF(Table13[[#This Row],[Gender]]="I",Table13[[#This Row],[Whole_weight]],NA())</f>
        <v>0.47</v>
      </c>
      <c r="AD610" s="2" t="e">
        <f>IF(Table13[[#This Row],[Gender]]="M",Table13[[#This Row],[Diameter]],NA())</f>
        <v>#N/A</v>
      </c>
      <c r="AE610" s="2" t="e">
        <f>IF(Table13[[#This Row],[Gender]]="F",Table13[[#This Row],[Diameter]],NA())</f>
        <v>#N/A</v>
      </c>
      <c r="AF610" s="2">
        <f>IF(Table13[[#This Row],[Gender]]="I",Table13[[#This Row],[Diameter]],NA())</f>
        <v>0.34499999999999997</v>
      </c>
    </row>
    <row r="611" spans="1:32" x14ac:dyDescent="0.2">
      <c r="A611">
        <v>768</v>
      </c>
      <c r="B611" t="s">
        <v>15</v>
      </c>
      <c r="C611">
        <v>0.34499999999999997</v>
      </c>
      <c r="D611">
        <v>0.27</v>
      </c>
      <c r="E611">
        <v>9.5000000000000001E-2</v>
      </c>
      <c r="F611">
        <v>0.19700000000000001</v>
      </c>
      <c r="G611">
        <v>6.6500000000000004E-2</v>
      </c>
      <c r="H611">
        <v>0.05</v>
      </c>
      <c r="I611">
        <v>7.0000000000000007E-2</v>
      </c>
      <c r="J611">
        <v>9</v>
      </c>
      <c r="K611">
        <v>14</v>
      </c>
      <c r="L611" t="s">
        <v>23</v>
      </c>
      <c r="M611" t="s">
        <v>24</v>
      </c>
      <c r="N611" t="s">
        <v>25</v>
      </c>
      <c r="O611">
        <v>9</v>
      </c>
      <c r="P611" t="s">
        <v>46</v>
      </c>
      <c r="Q611">
        <v>1.9</v>
      </c>
      <c r="R611" t="str" cm="1">
        <f t="array" ref="R6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11" t="e">
        <f>IF(Table13[[#This Row],[Category All]]="Category 1", "Yes",NA())</f>
        <v>#N/A</v>
      </c>
      <c r="T611" t="str">
        <f>IF(Table13[[#This Row],[Category All]]="Category 2", "Yes",NA())</f>
        <v>Yes</v>
      </c>
      <c r="U611" t="e">
        <f>IF(Table13[[#This Row],[Category All]]="Category 3", "Yes",NA())</f>
        <v>#N/A</v>
      </c>
      <c r="V611">
        <f>SUM(1,(1/3)*(Table13[[#This Row],[Length]]-0.5),(1/3)*(Table13[[#This Row],[Diameter]]-0.4),(1/3)*(Table13[[#This Row],[Height]]-0.4)*Table13[[#This Row],[Whole_weight]]*0.5)</f>
        <v>0.89498583333333337</v>
      </c>
      <c r="W611" cm="1">
        <f t="array" ref="W6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0.71598866666666672</v>
      </c>
      <c r="X611" t="e">
        <f>IF(Table13[[#This Row],[Category All]]="Category 1",Table13[[#This Row],[Base Abalone Value]]*1.5,NA())</f>
        <v>#N/A</v>
      </c>
      <c r="Y611">
        <f>IF(Table13[[#This Row],[Category All]]="Category 2",Table13[[#This Row],[Base Abalone Value]]*0.8,NA())</f>
        <v>0.71598866666666672</v>
      </c>
      <c r="Z611" t="e">
        <f>IF(Table13[[#This Row],[Category All]]="Category 3",Table13[[#This Row],[Base Abalone Value]],NA())</f>
        <v>#N/A</v>
      </c>
      <c r="AA611" s="2">
        <f>IF(Table13[[#This Row],[Gender]]="M",Table13[[#This Row],[Whole_weight]],NA())</f>
        <v>0.19700000000000001</v>
      </c>
      <c r="AB611" s="2" t="e">
        <f>IF(Table13[[#This Row],[Gender]]="F",Table13[[#This Row],[Whole_weight]],NA())</f>
        <v>#N/A</v>
      </c>
      <c r="AC611" s="2" t="e">
        <f>IF(Table13[[#This Row],[Gender]]="I",Table13[[#This Row],[Whole_weight]],NA())</f>
        <v>#N/A</v>
      </c>
      <c r="AD611" s="2">
        <f>IF(Table13[[#This Row],[Gender]]="M",Table13[[#This Row],[Diameter]],NA())</f>
        <v>0.27</v>
      </c>
      <c r="AE611" s="2" t="e">
        <f>IF(Table13[[#This Row],[Gender]]="F",Table13[[#This Row],[Diameter]],NA())</f>
        <v>#N/A</v>
      </c>
      <c r="AF611" s="2" t="e">
        <f>IF(Table13[[#This Row],[Gender]]="I",Table13[[#This Row],[Diameter]],NA())</f>
        <v>#N/A</v>
      </c>
    </row>
    <row r="612" spans="1:32" x14ac:dyDescent="0.2">
      <c r="A612">
        <v>3149</v>
      </c>
      <c r="B612" t="s">
        <v>0</v>
      </c>
      <c r="C612">
        <v>0.71</v>
      </c>
      <c r="D612">
        <v>0.53</v>
      </c>
      <c r="E612">
        <v>0.19500000000000001</v>
      </c>
      <c r="F612">
        <v>1.8745000000000001</v>
      </c>
      <c r="G612">
        <v>0.67549999999999999</v>
      </c>
      <c r="H612">
        <v>0.40649999999999997</v>
      </c>
      <c r="I612">
        <v>0.6855</v>
      </c>
      <c r="J612">
        <v>12</v>
      </c>
      <c r="K612">
        <v>14</v>
      </c>
      <c r="L612" t="s">
        <v>23</v>
      </c>
      <c r="M612" t="s">
        <v>24</v>
      </c>
      <c r="N612" t="s">
        <v>25</v>
      </c>
      <c r="O612">
        <v>6</v>
      </c>
      <c r="P612" t="s">
        <v>47</v>
      </c>
      <c r="Q612">
        <v>14.1</v>
      </c>
      <c r="R612" t="str" cm="1">
        <f t="array" ref="R6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12" t="e">
        <f>IF(Table13[[#This Row],[Category All]]="Category 1", "Yes",NA())</f>
        <v>#N/A</v>
      </c>
      <c r="T612" t="e">
        <f>IF(Table13[[#This Row],[Category All]]="Category 2", "Yes",NA())</f>
        <v>#N/A</v>
      </c>
      <c r="U612" t="str">
        <f>IF(Table13[[#This Row],[Category All]]="Category 3", "Yes",NA())</f>
        <v>Yes</v>
      </c>
      <c r="V612">
        <f>SUM(1,(1/3)*(Table13[[#This Row],[Length]]-0.5),(1/3)*(Table13[[#This Row],[Diameter]]-0.4),(1/3)*(Table13[[#This Row],[Height]]-0.4)*Table13[[#This Row],[Whole_weight]]*0.5)</f>
        <v>1.0492879166666667</v>
      </c>
      <c r="W612" cm="1">
        <f t="array" ref="W6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1.0492879166666667</v>
      </c>
      <c r="X612" t="e">
        <f>IF(Table13[[#This Row],[Category All]]="Category 1",Table13[[#This Row],[Base Abalone Value]]*1.5,NA())</f>
        <v>#N/A</v>
      </c>
      <c r="Y612" t="e">
        <f>IF(Table13[[#This Row],[Category All]]="Category 2",Table13[[#This Row],[Base Abalone Value]]*0.8,NA())</f>
        <v>#N/A</v>
      </c>
      <c r="Z612">
        <f>IF(Table13[[#This Row],[Category All]]="Category 3",Table13[[#This Row],[Base Abalone Value]],NA())</f>
        <v>1.0492879166666667</v>
      </c>
      <c r="AA612" s="2" t="e">
        <f>IF(Table13[[#This Row],[Gender]]="M",Table13[[#This Row],[Whole_weight]],NA())</f>
        <v>#N/A</v>
      </c>
      <c r="AB612" s="2">
        <f>IF(Table13[[#This Row],[Gender]]="F",Table13[[#This Row],[Whole_weight]],NA())</f>
        <v>1.8745000000000001</v>
      </c>
      <c r="AC612" s="2" t="e">
        <f>IF(Table13[[#This Row],[Gender]]="I",Table13[[#This Row],[Whole_weight]],NA())</f>
        <v>#N/A</v>
      </c>
      <c r="AD612" s="2" t="e">
        <f>IF(Table13[[#This Row],[Gender]]="M",Table13[[#This Row],[Diameter]],NA())</f>
        <v>#N/A</v>
      </c>
      <c r="AE612" s="2">
        <f>IF(Table13[[#This Row],[Gender]]="F",Table13[[#This Row],[Diameter]],NA())</f>
        <v>0.53</v>
      </c>
      <c r="AF612" s="2" t="e">
        <f>IF(Table13[[#This Row],[Gender]]="I",Table13[[#This Row],[Diameter]],NA())</f>
        <v>#N/A</v>
      </c>
    </row>
    <row r="613" spans="1:32" x14ac:dyDescent="0.2">
      <c r="A613">
        <v>2377</v>
      </c>
      <c r="B613" t="s">
        <v>0</v>
      </c>
      <c r="C613">
        <v>0.43</v>
      </c>
      <c r="D613">
        <v>0.34</v>
      </c>
      <c r="E613">
        <v>0.11</v>
      </c>
      <c r="F613">
        <v>0.38200000000000001</v>
      </c>
      <c r="G613">
        <v>0.154</v>
      </c>
      <c r="H613">
        <v>9.5500000000000002E-2</v>
      </c>
      <c r="I613">
        <v>0.109</v>
      </c>
      <c r="J613">
        <v>8</v>
      </c>
      <c r="K613">
        <v>10</v>
      </c>
      <c r="L613" t="s">
        <v>16</v>
      </c>
      <c r="M613" t="s">
        <v>17</v>
      </c>
      <c r="N613" t="s">
        <v>18</v>
      </c>
      <c r="O613">
        <v>8</v>
      </c>
      <c r="P613" t="s">
        <v>19</v>
      </c>
      <c r="Q613">
        <v>12.3</v>
      </c>
      <c r="R613" t="str" cm="1">
        <f t="array" ref="R6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13" t="e">
        <f>IF(Table13[[#This Row],[Category All]]="Category 1", "Yes",NA())</f>
        <v>#N/A</v>
      </c>
      <c r="T613" t="str">
        <f>IF(Table13[[#This Row],[Category All]]="Category 2", "Yes",NA())</f>
        <v>Yes</v>
      </c>
      <c r="U613" t="e">
        <f>IF(Table13[[#This Row],[Category All]]="Category 3", "Yes",NA())</f>
        <v>#N/A</v>
      </c>
      <c r="V613">
        <f>SUM(1,(1/3)*(Table13[[#This Row],[Length]]-0.5),(1/3)*(Table13[[#This Row],[Diameter]]-0.4),(1/3)*(Table13[[#This Row],[Height]]-0.4)*Table13[[#This Row],[Whole_weight]]*0.5)</f>
        <v>0.93820333333333328</v>
      </c>
      <c r="W613" cm="1">
        <f t="array" ref="W6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0.75056266666666671</v>
      </c>
      <c r="X613" t="e">
        <f>IF(Table13[[#This Row],[Category All]]="Category 1",Table13[[#This Row],[Base Abalone Value]]*1.5,NA())</f>
        <v>#N/A</v>
      </c>
      <c r="Y613">
        <f>IF(Table13[[#This Row],[Category All]]="Category 2",Table13[[#This Row],[Base Abalone Value]]*0.8,NA())</f>
        <v>0.75056266666666671</v>
      </c>
      <c r="Z613" t="e">
        <f>IF(Table13[[#This Row],[Category All]]="Category 3",Table13[[#This Row],[Base Abalone Value]],NA())</f>
        <v>#N/A</v>
      </c>
      <c r="AA613" s="2" t="e">
        <f>IF(Table13[[#This Row],[Gender]]="M",Table13[[#This Row],[Whole_weight]],NA())</f>
        <v>#N/A</v>
      </c>
      <c r="AB613" s="2">
        <f>IF(Table13[[#This Row],[Gender]]="F",Table13[[#This Row],[Whole_weight]],NA())</f>
        <v>0.38200000000000001</v>
      </c>
      <c r="AC613" s="2" t="e">
        <f>IF(Table13[[#This Row],[Gender]]="I",Table13[[#This Row],[Whole_weight]],NA())</f>
        <v>#N/A</v>
      </c>
      <c r="AD613" s="2" t="e">
        <f>IF(Table13[[#This Row],[Gender]]="M",Table13[[#This Row],[Diameter]],NA())</f>
        <v>#N/A</v>
      </c>
      <c r="AE613" s="2">
        <f>IF(Table13[[#This Row],[Gender]]="F",Table13[[#This Row],[Diameter]],NA())</f>
        <v>0.34</v>
      </c>
      <c r="AF613" s="2" t="e">
        <f>IF(Table13[[#This Row],[Gender]]="I",Table13[[#This Row],[Diameter]],NA())</f>
        <v>#N/A</v>
      </c>
    </row>
    <row r="614" spans="1:32" x14ac:dyDescent="0.2">
      <c r="A614">
        <v>818</v>
      </c>
      <c r="B614" t="s">
        <v>11</v>
      </c>
      <c r="C614">
        <v>0.35</v>
      </c>
      <c r="D614">
        <v>0.27</v>
      </c>
      <c r="E614">
        <v>0.09</v>
      </c>
      <c r="F614">
        <v>0.20549999999999999</v>
      </c>
      <c r="G614">
        <v>7.4999999999999997E-2</v>
      </c>
      <c r="H614">
        <v>5.7500000000000002E-2</v>
      </c>
      <c r="I614">
        <v>6.2E-2</v>
      </c>
      <c r="J614">
        <v>6</v>
      </c>
      <c r="K614">
        <v>7</v>
      </c>
      <c r="L614" t="s">
        <v>35</v>
      </c>
      <c r="M614" t="s">
        <v>36</v>
      </c>
      <c r="N614" t="s">
        <v>37</v>
      </c>
      <c r="O614">
        <v>1</v>
      </c>
      <c r="P614" t="s">
        <v>4</v>
      </c>
      <c r="Q614">
        <v>22.1</v>
      </c>
      <c r="R614" t="str" cm="1">
        <f t="array" ref="R6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14" t="e">
        <f>IF(Table13[[#This Row],[Category All]]="Category 1", "Yes",NA())</f>
        <v>#N/A</v>
      </c>
      <c r="T614" t="str">
        <f>IF(Table13[[#This Row],[Category All]]="Category 2", "Yes",NA())</f>
        <v>Yes</v>
      </c>
      <c r="U614" t="e">
        <f>IF(Table13[[#This Row],[Category All]]="Category 3", "Yes",NA())</f>
        <v>#N/A</v>
      </c>
      <c r="V614">
        <f>SUM(1,(1/3)*(Table13[[#This Row],[Length]]-0.5),(1/3)*(Table13[[#This Row],[Diameter]]-0.4),(1/3)*(Table13[[#This Row],[Height]]-0.4)*Table13[[#This Row],[Whole_weight]]*0.5)</f>
        <v>0.89604916666666667</v>
      </c>
      <c r="W614" cm="1">
        <f t="array" ref="W6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0.71683933333333338</v>
      </c>
      <c r="X614" t="e">
        <f>IF(Table13[[#This Row],[Category All]]="Category 1",Table13[[#This Row],[Base Abalone Value]]*1.5,NA())</f>
        <v>#N/A</v>
      </c>
      <c r="Y614">
        <f>IF(Table13[[#This Row],[Category All]]="Category 2",Table13[[#This Row],[Base Abalone Value]]*0.8,NA())</f>
        <v>0.71683933333333338</v>
      </c>
      <c r="Z614" t="e">
        <f>IF(Table13[[#This Row],[Category All]]="Category 3",Table13[[#This Row],[Base Abalone Value]],NA())</f>
        <v>#N/A</v>
      </c>
      <c r="AA614" s="2" t="e">
        <f>IF(Table13[[#This Row],[Gender]]="M",Table13[[#This Row],[Whole_weight]],NA())</f>
        <v>#N/A</v>
      </c>
      <c r="AB614" s="2" t="e">
        <f>IF(Table13[[#This Row],[Gender]]="F",Table13[[#This Row],[Whole_weight]],NA())</f>
        <v>#N/A</v>
      </c>
      <c r="AC614" s="2">
        <f>IF(Table13[[#This Row],[Gender]]="I",Table13[[#This Row],[Whole_weight]],NA())</f>
        <v>0.20549999999999999</v>
      </c>
      <c r="AD614" s="2" t="e">
        <f>IF(Table13[[#This Row],[Gender]]="M",Table13[[#This Row],[Diameter]],NA())</f>
        <v>#N/A</v>
      </c>
      <c r="AE614" s="2" t="e">
        <f>IF(Table13[[#This Row],[Gender]]="F",Table13[[#This Row],[Diameter]],NA())</f>
        <v>#N/A</v>
      </c>
      <c r="AF614" s="2">
        <f>IF(Table13[[#This Row],[Gender]]="I",Table13[[#This Row],[Diameter]],NA())</f>
        <v>0.27</v>
      </c>
    </row>
    <row r="615" spans="1:32" x14ac:dyDescent="0.2">
      <c r="A615">
        <v>2223</v>
      </c>
      <c r="B615" t="s">
        <v>0</v>
      </c>
      <c r="C615">
        <v>0.625</v>
      </c>
      <c r="D615">
        <v>0.52500000000000002</v>
      </c>
      <c r="E615">
        <v>0.19500000000000001</v>
      </c>
      <c r="F615">
        <v>1.3520000000000001</v>
      </c>
      <c r="G615">
        <v>0.45050000000000001</v>
      </c>
      <c r="H615">
        <v>0.2445</v>
      </c>
      <c r="I615">
        <v>0.53</v>
      </c>
      <c r="J615">
        <v>13</v>
      </c>
      <c r="K615">
        <v>5</v>
      </c>
      <c r="L615" t="s">
        <v>26</v>
      </c>
      <c r="M615" t="s">
        <v>27</v>
      </c>
      <c r="N615" t="s">
        <v>28</v>
      </c>
      <c r="O615">
        <v>3</v>
      </c>
      <c r="P615" t="s">
        <v>48</v>
      </c>
      <c r="Q615">
        <v>3.6</v>
      </c>
      <c r="R615" t="str" cm="1">
        <f t="array" ref="R6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15" t="e">
        <f>IF(Table13[[#This Row],[Category All]]="Category 1", "Yes",NA())</f>
        <v>#N/A</v>
      </c>
      <c r="T615" t="e">
        <f>IF(Table13[[#This Row],[Category All]]="Category 2", "Yes",NA())</f>
        <v>#N/A</v>
      </c>
      <c r="U615" t="str">
        <f>IF(Table13[[#This Row],[Category All]]="Category 3", "Yes",NA())</f>
        <v>Yes</v>
      </c>
      <c r="V615">
        <f>SUM(1,(1/3)*(Table13[[#This Row],[Length]]-0.5),(1/3)*(Table13[[#This Row],[Diameter]]-0.4),(1/3)*(Table13[[#This Row],[Height]]-0.4)*Table13[[#This Row],[Whole_weight]]*0.5)</f>
        <v>1.0371400000000002</v>
      </c>
      <c r="W615" cm="1">
        <f t="array" ref="W6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1.0371400000000002</v>
      </c>
      <c r="X615" t="e">
        <f>IF(Table13[[#This Row],[Category All]]="Category 1",Table13[[#This Row],[Base Abalone Value]]*1.5,NA())</f>
        <v>#N/A</v>
      </c>
      <c r="Y615" t="e">
        <f>IF(Table13[[#This Row],[Category All]]="Category 2",Table13[[#This Row],[Base Abalone Value]]*0.8,NA())</f>
        <v>#N/A</v>
      </c>
      <c r="Z615">
        <f>IF(Table13[[#This Row],[Category All]]="Category 3",Table13[[#This Row],[Base Abalone Value]],NA())</f>
        <v>1.0371400000000002</v>
      </c>
      <c r="AA615" s="2" t="e">
        <f>IF(Table13[[#This Row],[Gender]]="M",Table13[[#This Row],[Whole_weight]],NA())</f>
        <v>#N/A</v>
      </c>
      <c r="AB615" s="2">
        <f>IF(Table13[[#This Row],[Gender]]="F",Table13[[#This Row],[Whole_weight]],NA())</f>
        <v>1.3520000000000001</v>
      </c>
      <c r="AC615" s="2" t="e">
        <f>IF(Table13[[#This Row],[Gender]]="I",Table13[[#This Row],[Whole_weight]],NA())</f>
        <v>#N/A</v>
      </c>
      <c r="AD615" s="2" t="e">
        <f>IF(Table13[[#This Row],[Gender]]="M",Table13[[#This Row],[Diameter]],NA())</f>
        <v>#N/A</v>
      </c>
      <c r="AE615" s="2">
        <f>IF(Table13[[#This Row],[Gender]]="F",Table13[[#This Row],[Diameter]],NA())</f>
        <v>0.52500000000000002</v>
      </c>
      <c r="AF615" s="2" t="e">
        <f>IF(Table13[[#This Row],[Gender]]="I",Table13[[#This Row],[Diameter]],NA())</f>
        <v>#N/A</v>
      </c>
    </row>
    <row r="616" spans="1:32" x14ac:dyDescent="0.2">
      <c r="A616">
        <v>2582</v>
      </c>
      <c r="B616" t="s">
        <v>0</v>
      </c>
      <c r="C616">
        <v>0.53</v>
      </c>
      <c r="D616">
        <v>0.42</v>
      </c>
      <c r="E616">
        <v>0.17</v>
      </c>
      <c r="F616">
        <v>0.82799999999999996</v>
      </c>
      <c r="G616">
        <v>0.41</v>
      </c>
      <c r="H616">
        <v>0.20799999999999999</v>
      </c>
      <c r="I616">
        <v>0.15049999999999999</v>
      </c>
      <c r="J616">
        <v>6</v>
      </c>
      <c r="K616">
        <v>9</v>
      </c>
      <c r="L616" t="s">
        <v>20</v>
      </c>
      <c r="M616" t="s">
        <v>21</v>
      </c>
      <c r="N616" t="s">
        <v>22</v>
      </c>
      <c r="O616">
        <v>2</v>
      </c>
      <c r="P616" t="s">
        <v>7</v>
      </c>
      <c r="Q616">
        <v>18</v>
      </c>
      <c r="R616" t="str" cm="1">
        <f t="array" ref="R6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16" t="e">
        <f>IF(Table13[[#This Row],[Category All]]="Category 1", "Yes",NA())</f>
        <v>#N/A</v>
      </c>
      <c r="T616" t="e">
        <f>IF(Table13[[#This Row],[Category All]]="Category 2", "Yes",NA())</f>
        <v>#N/A</v>
      </c>
      <c r="U616" t="str">
        <f>IF(Table13[[#This Row],[Category All]]="Category 3", "Yes",NA())</f>
        <v>Yes</v>
      </c>
      <c r="V616">
        <f>SUM(1,(1/3)*(Table13[[#This Row],[Length]]-0.5),(1/3)*(Table13[[#This Row],[Diameter]]-0.4),(1/3)*(Table13[[#This Row],[Height]]-0.4)*Table13[[#This Row],[Whole_weight]]*0.5)</f>
        <v>0.98492666666666662</v>
      </c>
      <c r="W616" cm="1">
        <f t="array" ref="W6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0.98492666666666662</v>
      </c>
      <c r="X616" t="e">
        <f>IF(Table13[[#This Row],[Category All]]="Category 1",Table13[[#This Row],[Base Abalone Value]]*1.5,NA())</f>
        <v>#N/A</v>
      </c>
      <c r="Y616" t="e">
        <f>IF(Table13[[#This Row],[Category All]]="Category 2",Table13[[#This Row],[Base Abalone Value]]*0.8,NA())</f>
        <v>#N/A</v>
      </c>
      <c r="Z616">
        <f>IF(Table13[[#This Row],[Category All]]="Category 3",Table13[[#This Row],[Base Abalone Value]],NA())</f>
        <v>0.98492666666666662</v>
      </c>
      <c r="AA616" s="2" t="e">
        <f>IF(Table13[[#This Row],[Gender]]="M",Table13[[#This Row],[Whole_weight]],NA())</f>
        <v>#N/A</v>
      </c>
      <c r="AB616" s="2">
        <f>IF(Table13[[#This Row],[Gender]]="F",Table13[[#This Row],[Whole_weight]],NA())</f>
        <v>0.82799999999999996</v>
      </c>
      <c r="AC616" s="2" t="e">
        <f>IF(Table13[[#This Row],[Gender]]="I",Table13[[#This Row],[Whole_weight]],NA())</f>
        <v>#N/A</v>
      </c>
      <c r="AD616" s="2" t="e">
        <f>IF(Table13[[#This Row],[Gender]]="M",Table13[[#This Row],[Diameter]],NA())</f>
        <v>#N/A</v>
      </c>
      <c r="AE616" s="2">
        <f>IF(Table13[[#This Row],[Gender]]="F",Table13[[#This Row],[Diameter]],NA())</f>
        <v>0.42</v>
      </c>
      <c r="AF616" s="2" t="e">
        <f>IF(Table13[[#This Row],[Gender]]="I",Table13[[#This Row],[Diameter]],NA())</f>
        <v>#N/A</v>
      </c>
    </row>
    <row r="617" spans="1:32" x14ac:dyDescent="0.2">
      <c r="A617">
        <v>2777</v>
      </c>
      <c r="B617" t="s">
        <v>15</v>
      </c>
      <c r="C617">
        <v>0.58499999999999996</v>
      </c>
      <c r="D617">
        <v>0.46500000000000002</v>
      </c>
      <c r="E617">
        <v>0.16500000000000001</v>
      </c>
      <c r="F617">
        <v>0.88500000000000001</v>
      </c>
      <c r="G617">
        <v>0.40250000000000002</v>
      </c>
      <c r="H617">
        <v>0.16250000000000001</v>
      </c>
      <c r="I617">
        <v>0.27400000000000002</v>
      </c>
      <c r="J617">
        <v>10</v>
      </c>
      <c r="K617">
        <v>12</v>
      </c>
      <c r="L617" t="s">
        <v>1</v>
      </c>
      <c r="M617" t="s">
        <v>2</v>
      </c>
      <c r="N617" t="s">
        <v>3</v>
      </c>
      <c r="O617">
        <v>8</v>
      </c>
      <c r="P617" t="s">
        <v>19</v>
      </c>
      <c r="Q617">
        <v>12.3</v>
      </c>
      <c r="R617" t="str" cm="1">
        <f t="array" ref="R6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17" t="e">
        <f>IF(Table13[[#This Row],[Category All]]="Category 1", "Yes",NA())</f>
        <v>#N/A</v>
      </c>
      <c r="T617" t="e">
        <f>IF(Table13[[#This Row],[Category All]]="Category 2", "Yes",NA())</f>
        <v>#N/A</v>
      </c>
      <c r="U617" t="str">
        <f>IF(Table13[[#This Row],[Category All]]="Category 3", "Yes",NA())</f>
        <v>Yes</v>
      </c>
      <c r="V617">
        <f>SUM(1,(1/3)*(Table13[[#This Row],[Length]]-0.5),(1/3)*(Table13[[#This Row],[Diameter]]-0.4),(1/3)*(Table13[[#This Row],[Height]]-0.4)*Table13[[#This Row],[Whole_weight]]*0.5)</f>
        <v>1.0153375</v>
      </c>
      <c r="W617" cm="1">
        <f t="array" ref="W6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1.0153375</v>
      </c>
      <c r="X617" t="e">
        <f>IF(Table13[[#This Row],[Category All]]="Category 1",Table13[[#This Row],[Base Abalone Value]]*1.5,NA())</f>
        <v>#N/A</v>
      </c>
      <c r="Y617" t="e">
        <f>IF(Table13[[#This Row],[Category All]]="Category 2",Table13[[#This Row],[Base Abalone Value]]*0.8,NA())</f>
        <v>#N/A</v>
      </c>
      <c r="Z617">
        <f>IF(Table13[[#This Row],[Category All]]="Category 3",Table13[[#This Row],[Base Abalone Value]],NA())</f>
        <v>1.0153375</v>
      </c>
      <c r="AA617" s="2">
        <f>IF(Table13[[#This Row],[Gender]]="M",Table13[[#This Row],[Whole_weight]],NA())</f>
        <v>0.88500000000000001</v>
      </c>
      <c r="AB617" s="2" t="e">
        <f>IF(Table13[[#This Row],[Gender]]="F",Table13[[#This Row],[Whole_weight]],NA())</f>
        <v>#N/A</v>
      </c>
      <c r="AC617" s="2" t="e">
        <f>IF(Table13[[#This Row],[Gender]]="I",Table13[[#This Row],[Whole_weight]],NA())</f>
        <v>#N/A</v>
      </c>
      <c r="AD617" s="2">
        <f>IF(Table13[[#This Row],[Gender]]="M",Table13[[#This Row],[Diameter]],NA())</f>
        <v>0.46500000000000002</v>
      </c>
      <c r="AE617" s="2" t="e">
        <f>IF(Table13[[#This Row],[Gender]]="F",Table13[[#This Row],[Diameter]],NA())</f>
        <v>#N/A</v>
      </c>
      <c r="AF617" s="2" t="e">
        <f>IF(Table13[[#This Row],[Gender]]="I",Table13[[#This Row],[Diameter]],NA())</f>
        <v>#N/A</v>
      </c>
    </row>
    <row r="618" spans="1:32" x14ac:dyDescent="0.2">
      <c r="A618">
        <v>975</v>
      </c>
      <c r="B618" t="s">
        <v>0</v>
      </c>
      <c r="C618">
        <v>0.53</v>
      </c>
      <c r="D618">
        <v>0.42499999999999999</v>
      </c>
      <c r="E618">
        <v>0.13</v>
      </c>
      <c r="F618">
        <v>0.75849999999999995</v>
      </c>
      <c r="G618">
        <v>0.32500000000000001</v>
      </c>
      <c r="H618">
        <v>0.19700000000000001</v>
      </c>
      <c r="I618">
        <v>0.20499999999999999</v>
      </c>
      <c r="J618">
        <v>8</v>
      </c>
      <c r="K618">
        <v>2</v>
      </c>
      <c r="L618" t="s">
        <v>32</v>
      </c>
      <c r="M618" t="s">
        <v>33</v>
      </c>
      <c r="N618" t="s">
        <v>34</v>
      </c>
      <c r="O618">
        <v>1</v>
      </c>
      <c r="P618" t="s">
        <v>4</v>
      </c>
      <c r="Q618">
        <v>22.1</v>
      </c>
      <c r="R618" t="str" cm="1">
        <f t="array" ref="R6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18" t="e">
        <f>IF(Table13[[#This Row],[Category All]]="Category 1", "Yes",NA())</f>
        <v>#N/A</v>
      </c>
      <c r="T618" t="str">
        <f>IF(Table13[[#This Row],[Category All]]="Category 2", "Yes",NA())</f>
        <v>Yes</v>
      </c>
      <c r="U618" t="e">
        <f>IF(Table13[[#This Row],[Category All]]="Category 3", "Yes",NA())</f>
        <v>#N/A</v>
      </c>
      <c r="V618">
        <f>SUM(1,(1/3)*(Table13[[#This Row],[Length]]-0.5),(1/3)*(Table13[[#This Row],[Diameter]]-0.4),(1/3)*(Table13[[#This Row],[Height]]-0.4)*Table13[[#This Row],[Whole_weight]]*0.5)</f>
        <v>0.9842008333333333</v>
      </c>
      <c r="W618" cm="1">
        <f t="array" ref="W6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0.78736066666666671</v>
      </c>
      <c r="X618" t="e">
        <f>IF(Table13[[#This Row],[Category All]]="Category 1",Table13[[#This Row],[Base Abalone Value]]*1.5,NA())</f>
        <v>#N/A</v>
      </c>
      <c r="Y618">
        <f>IF(Table13[[#This Row],[Category All]]="Category 2",Table13[[#This Row],[Base Abalone Value]]*0.8,NA())</f>
        <v>0.78736066666666671</v>
      </c>
      <c r="Z618" t="e">
        <f>IF(Table13[[#This Row],[Category All]]="Category 3",Table13[[#This Row],[Base Abalone Value]],NA())</f>
        <v>#N/A</v>
      </c>
      <c r="AA618" s="2" t="e">
        <f>IF(Table13[[#This Row],[Gender]]="M",Table13[[#This Row],[Whole_weight]],NA())</f>
        <v>#N/A</v>
      </c>
      <c r="AB618" s="2">
        <f>IF(Table13[[#This Row],[Gender]]="F",Table13[[#This Row],[Whole_weight]],NA())</f>
        <v>0.75849999999999995</v>
      </c>
      <c r="AC618" s="2" t="e">
        <f>IF(Table13[[#This Row],[Gender]]="I",Table13[[#This Row],[Whole_weight]],NA())</f>
        <v>#N/A</v>
      </c>
      <c r="AD618" s="2" t="e">
        <f>IF(Table13[[#This Row],[Gender]]="M",Table13[[#This Row],[Diameter]],NA())</f>
        <v>#N/A</v>
      </c>
      <c r="AE618" s="2">
        <f>IF(Table13[[#This Row],[Gender]]="F",Table13[[#This Row],[Diameter]],NA())</f>
        <v>0.42499999999999999</v>
      </c>
      <c r="AF618" s="2" t="e">
        <f>IF(Table13[[#This Row],[Gender]]="I",Table13[[#This Row],[Diameter]],NA())</f>
        <v>#N/A</v>
      </c>
    </row>
    <row r="619" spans="1:32" x14ac:dyDescent="0.2">
      <c r="A619">
        <v>1574</v>
      </c>
      <c r="B619" t="s">
        <v>11</v>
      </c>
      <c r="C619">
        <v>0.48</v>
      </c>
      <c r="D619">
        <v>0.37</v>
      </c>
      <c r="E619">
        <v>0.12</v>
      </c>
      <c r="F619">
        <v>0.53600000000000003</v>
      </c>
      <c r="G619">
        <v>0.251</v>
      </c>
      <c r="H619">
        <v>0.114</v>
      </c>
      <c r="I619">
        <v>0.15</v>
      </c>
      <c r="J619">
        <v>8</v>
      </c>
      <c r="K619">
        <v>2</v>
      </c>
      <c r="L619" t="s">
        <v>32</v>
      </c>
      <c r="M619" t="s">
        <v>33</v>
      </c>
      <c r="N619" t="s">
        <v>34</v>
      </c>
      <c r="O619">
        <v>2</v>
      </c>
      <c r="P619" t="s">
        <v>7</v>
      </c>
      <c r="Q619">
        <v>18</v>
      </c>
      <c r="R619" t="str" cm="1">
        <f t="array" ref="R6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19" t="e">
        <f>IF(Table13[[#This Row],[Category All]]="Category 1", "Yes",NA())</f>
        <v>#N/A</v>
      </c>
      <c r="T619" t="str">
        <f>IF(Table13[[#This Row],[Category All]]="Category 2", "Yes",NA())</f>
        <v>Yes</v>
      </c>
      <c r="U619" t="e">
        <f>IF(Table13[[#This Row],[Category All]]="Category 3", "Yes",NA())</f>
        <v>#N/A</v>
      </c>
      <c r="V619">
        <f>SUM(1,(1/3)*(Table13[[#This Row],[Length]]-0.5),(1/3)*(Table13[[#This Row],[Diameter]]-0.4),(1/3)*(Table13[[#This Row],[Height]]-0.4)*Table13[[#This Row],[Whole_weight]]*0.5)</f>
        <v>0.95831999999999995</v>
      </c>
      <c r="W619" cm="1">
        <f t="array" ref="W6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0.766656</v>
      </c>
      <c r="X619" t="e">
        <f>IF(Table13[[#This Row],[Category All]]="Category 1",Table13[[#This Row],[Base Abalone Value]]*1.5,NA())</f>
        <v>#N/A</v>
      </c>
      <c r="Y619">
        <f>IF(Table13[[#This Row],[Category All]]="Category 2",Table13[[#This Row],[Base Abalone Value]]*0.8,NA())</f>
        <v>0.766656</v>
      </c>
      <c r="Z619" t="e">
        <f>IF(Table13[[#This Row],[Category All]]="Category 3",Table13[[#This Row],[Base Abalone Value]],NA())</f>
        <v>#N/A</v>
      </c>
      <c r="AA619" s="2" t="e">
        <f>IF(Table13[[#This Row],[Gender]]="M",Table13[[#This Row],[Whole_weight]],NA())</f>
        <v>#N/A</v>
      </c>
      <c r="AB619" s="2" t="e">
        <f>IF(Table13[[#This Row],[Gender]]="F",Table13[[#This Row],[Whole_weight]],NA())</f>
        <v>#N/A</v>
      </c>
      <c r="AC619" s="2">
        <f>IF(Table13[[#This Row],[Gender]]="I",Table13[[#This Row],[Whole_weight]],NA())</f>
        <v>0.53600000000000003</v>
      </c>
      <c r="AD619" s="2" t="e">
        <f>IF(Table13[[#This Row],[Gender]]="M",Table13[[#This Row],[Diameter]],NA())</f>
        <v>#N/A</v>
      </c>
      <c r="AE619" s="2" t="e">
        <f>IF(Table13[[#This Row],[Gender]]="F",Table13[[#This Row],[Diameter]],NA())</f>
        <v>#N/A</v>
      </c>
      <c r="AF619" s="2">
        <f>IF(Table13[[#This Row],[Gender]]="I",Table13[[#This Row],[Diameter]],NA())</f>
        <v>0.37</v>
      </c>
    </row>
    <row r="620" spans="1:32" x14ac:dyDescent="0.2">
      <c r="A620">
        <v>3580</v>
      </c>
      <c r="B620" t="s">
        <v>0</v>
      </c>
      <c r="C620">
        <v>0.6</v>
      </c>
      <c r="D620">
        <v>0.48499999999999999</v>
      </c>
      <c r="E620">
        <v>0.14499999999999999</v>
      </c>
      <c r="F620">
        <v>0.77600000000000002</v>
      </c>
      <c r="G620">
        <v>0.35449999999999998</v>
      </c>
      <c r="H620">
        <v>0.1585</v>
      </c>
      <c r="I620">
        <v>0.23899999999999999</v>
      </c>
      <c r="J620">
        <v>9</v>
      </c>
      <c r="K620">
        <v>13</v>
      </c>
      <c r="L620" t="s">
        <v>12</v>
      </c>
      <c r="M620" t="s">
        <v>13</v>
      </c>
      <c r="N620" t="s">
        <v>3</v>
      </c>
      <c r="O620">
        <v>3</v>
      </c>
      <c r="P620" t="s">
        <v>48</v>
      </c>
      <c r="Q620">
        <v>3.6</v>
      </c>
      <c r="R620" t="str" cm="1">
        <f t="array" ref="R6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20" t="e">
        <f>IF(Table13[[#This Row],[Category All]]="Category 1", "Yes",NA())</f>
        <v>#N/A</v>
      </c>
      <c r="T620" t="str">
        <f>IF(Table13[[#This Row],[Category All]]="Category 2", "Yes",NA())</f>
        <v>Yes</v>
      </c>
      <c r="U620" t="e">
        <f>IF(Table13[[#This Row],[Category All]]="Category 3", "Yes",NA())</f>
        <v>#N/A</v>
      </c>
      <c r="V620">
        <f>SUM(1,(1/3)*(Table13[[#This Row],[Length]]-0.5),(1/3)*(Table13[[#This Row],[Diameter]]-0.4),(1/3)*(Table13[[#This Row],[Height]]-0.4)*Table13[[#This Row],[Whole_weight]]*0.5)</f>
        <v>1.0286866666666665</v>
      </c>
      <c r="W620" cm="1">
        <f t="array" ref="W6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0.82294933333333331</v>
      </c>
      <c r="X620" t="e">
        <f>IF(Table13[[#This Row],[Category All]]="Category 1",Table13[[#This Row],[Base Abalone Value]]*1.5,NA())</f>
        <v>#N/A</v>
      </c>
      <c r="Y620">
        <f>IF(Table13[[#This Row],[Category All]]="Category 2",Table13[[#This Row],[Base Abalone Value]]*0.8,NA())</f>
        <v>0.82294933333333331</v>
      </c>
      <c r="Z620" t="e">
        <f>IF(Table13[[#This Row],[Category All]]="Category 3",Table13[[#This Row],[Base Abalone Value]],NA())</f>
        <v>#N/A</v>
      </c>
      <c r="AA620" s="2" t="e">
        <f>IF(Table13[[#This Row],[Gender]]="M",Table13[[#This Row],[Whole_weight]],NA())</f>
        <v>#N/A</v>
      </c>
      <c r="AB620" s="2">
        <f>IF(Table13[[#This Row],[Gender]]="F",Table13[[#This Row],[Whole_weight]],NA())</f>
        <v>0.77600000000000002</v>
      </c>
      <c r="AC620" s="2" t="e">
        <f>IF(Table13[[#This Row],[Gender]]="I",Table13[[#This Row],[Whole_weight]],NA())</f>
        <v>#N/A</v>
      </c>
      <c r="AD620" s="2" t="e">
        <f>IF(Table13[[#This Row],[Gender]]="M",Table13[[#This Row],[Diameter]],NA())</f>
        <v>#N/A</v>
      </c>
      <c r="AE620" s="2">
        <f>IF(Table13[[#This Row],[Gender]]="F",Table13[[#This Row],[Diameter]],NA())</f>
        <v>0.48499999999999999</v>
      </c>
      <c r="AF620" s="2" t="e">
        <f>IF(Table13[[#This Row],[Gender]]="I",Table13[[#This Row],[Diameter]],NA())</f>
        <v>#N/A</v>
      </c>
    </row>
    <row r="621" spans="1:32" x14ac:dyDescent="0.2">
      <c r="A621">
        <v>3664</v>
      </c>
      <c r="B621" t="s">
        <v>11</v>
      </c>
      <c r="C621">
        <v>0.55000000000000004</v>
      </c>
      <c r="D621">
        <v>0.4</v>
      </c>
      <c r="E621">
        <v>0.13500000000000001</v>
      </c>
      <c r="F621">
        <v>0.71699999999999997</v>
      </c>
      <c r="G621">
        <v>0.33150000000000002</v>
      </c>
      <c r="H621">
        <v>0.14949999999999999</v>
      </c>
      <c r="I621">
        <v>0.221</v>
      </c>
      <c r="J621">
        <v>9</v>
      </c>
      <c r="K621">
        <v>1</v>
      </c>
      <c r="L621" t="s">
        <v>8</v>
      </c>
      <c r="M621" t="s">
        <v>9</v>
      </c>
      <c r="N621" t="s">
        <v>3</v>
      </c>
      <c r="O621">
        <v>8</v>
      </c>
      <c r="P621" t="s">
        <v>19</v>
      </c>
      <c r="Q621">
        <v>12.3</v>
      </c>
      <c r="R621" t="str" cm="1">
        <f t="array" ref="R6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21" t="e">
        <f>IF(Table13[[#This Row],[Category All]]="Category 1", "Yes",NA())</f>
        <v>#N/A</v>
      </c>
      <c r="T621" t="str">
        <f>IF(Table13[[#This Row],[Category All]]="Category 2", "Yes",NA())</f>
        <v>Yes</v>
      </c>
      <c r="U621" t="e">
        <f>IF(Table13[[#This Row],[Category All]]="Category 3", "Yes",NA())</f>
        <v>#N/A</v>
      </c>
      <c r="V621">
        <f>SUM(1,(1/3)*(Table13[[#This Row],[Length]]-0.5),(1/3)*(Table13[[#This Row],[Diameter]]-0.4),(1/3)*(Table13[[#This Row],[Height]]-0.4)*Table13[[#This Row],[Whole_weight]]*0.5)</f>
        <v>0.98499916666666665</v>
      </c>
      <c r="W621" cm="1">
        <f t="array" ref="W6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0.78799933333333338</v>
      </c>
      <c r="X621" t="e">
        <f>IF(Table13[[#This Row],[Category All]]="Category 1",Table13[[#This Row],[Base Abalone Value]]*1.5,NA())</f>
        <v>#N/A</v>
      </c>
      <c r="Y621">
        <f>IF(Table13[[#This Row],[Category All]]="Category 2",Table13[[#This Row],[Base Abalone Value]]*0.8,NA())</f>
        <v>0.78799933333333338</v>
      </c>
      <c r="Z621" t="e">
        <f>IF(Table13[[#This Row],[Category All]]="Category 3",Table13[[#This Row],[Base Abalone Value]],NA())</f>
        <v>#N/A</v>
      </c>
      <c r="AA621" s="2" t="e">
        <f>IF(Table13[[#This Row],[Gender]]="M",Table13[[#This Row],[Whole_weight]],NA())</f>
        <v>#N/A</v>
      </c>
      <c r="AB621" s="2" t="e">
        <f>IF(Table13[[#This Row],[Gender]]="F",Table13[[#This Row],[Whole_weight]],NA())</f>
        <v>#N/A</v>
      </c>
      <c r="AC621" s="2">
        <f>IF(Table13[[#This Row],[Gender]]="I",Table13[[#This Row],[Whole_weight]],NA())</f>
        <v>0.71699999999999997</v>
      </c>
      <c r="AD621" s="2" t="e">
        <f>IF(Table13[[#This Row],[Gender]]="M",Table13[[#This Row],[Diameter]],NA())</f>
        <v>#N/A</v>
      </c>
      <c r="AE621" s="2" t="e">
        <f>IF(Table13[[#This Row],[Gender]]="F",Table13[[#This Row],[Diameter]],NA())</f>
        <v>#N/A</v>
      </c>
      <c r="AF621" s="2">
        <f>IF(Table13[[#This Row],[Gender]]="I",Table13[[#This Row],[Diameter]],NA())</f>
        <v>0.4</v>
      </c>
    </row>
    <row r="622" spans="1:32" x14ac:dyDescent="0.2">
      <c r="A622">
        <v>1456</v>
      </c>
      <c r="B622" t="s">
        <v>15</v>
      </c>
      <c r="C622">
        <v>0.47499999999999998</v>
      </c>
      <c r="D622">
        <v>0.37</v>
      </c>
      <c r="E622">
        <v>0.125</v>
      </c>
      <c r="F622">
        <v>0.64900000000000002</v>
      </c>
      <c r="G622">
        <v>0.34699999999999998</v>
      </c>
      <c r="H622">
        <v>0.13600000000000001</v>
      </c>
      <c r="I622">
        <v>0.14199999999999999</v>
      </c>
      <c r="J622">
        <v>8</v>
      </c>
      <c r="K622">
        <v>4</v>
      </c>
      <c r="L622" t="s">
        <v>52</v>
      </c>
      <c r="M622" t="s">
        <v>53</v>
      </c>
      <c r="N622" t="s">
        <v>54</v>
      </c>
      <c r="O622">
        <v>9</v>
      </c>
      <c r="P622" t="s">
        <v>46</v>
      </c>
      <c r="Q622">
        <v>1.9</v>
      </c>
      <c r="R622" t="str" cm="1">
        <f t="array" ref="R6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22" t="e">
        <f>IF(Table13[[#This Row],[Category All]]="Category 1", "Yes",NA())</f>
        <v>#N/A</v>
      </c>
      <c r="T622" t="str">
        <f>IF(Table13[[#This Row],[Category All]]="Category 2", "Yes",NA())</f>
        <v>Yes</v>
      </c>
      <c r="U622" t="e">
        <f>IF(Table13[[#This Row],[Category All]]="Category 3", "Yes",NA())</f>
        <v>#N/A</v>
      </c>
      <c r="V622">
        <f>SUM(1,(1/3)*(Table13[[#This Row],[Length]]-0.5),(1/3)*(Table13[[#This Row],[Diameter]]-0.4),(1/3)*(Table13[[#This Row],[Height]]-0.4)*Table13[[#This Row],[Whole_weight]]*0.5)</f>
        <v>0.95192083333333333</v>
      </c>
      <c r="W622" cm="1">
        <f t="array" ref="W6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0.76153666666666675</v>
      </c>
      <c r="X622" t="e">
        <f>IF(Table13[[#This Row],[Category All]]="Category 1",Table13[[#This Row],[Base Abalone Value]]*1.5,NA())</f>
        <v>#N/A</v>
      </c>
      <c r="Y622">
        <f>IF(Table13[[#This Row],[Category All]]="Category 2",Table13[[#This Row],[Base Abalone Value]]*0.8,NA())</f>
        <v>0.76153666666666675</v>
      </c>
      <c r="Z622" t="e">
        <f>IF(Table13[[#This Row],[Category All]]="Category 3",Table13[[#This Row],[Base Abalone Value]],NA())</f>
        <v>#N/A</v>
      </c>
      <c r="AA622" s="2">
        <f>IF(Table13[[#This Row],[Gender]]="M",Table13[[#This Row],[Whole_weight]],NA())</f>
        <v>0.64900000000000002</v>
      </c>
      <c r="AB622" s="2" t="e">
        <f>IF(Table13[[#This Row],[Gender]]="F",Table13[[#This Row],[Whole_weight]],NA())</f>
        <v>#N/A</v>
      </c>
      <c r="AC622" s="2" t="e">
        <f>IF(Table13[[#This Row],[Gender]]="I",Table13[[#This Row],[Whole_weight]],NA())</f>
        <v>#N/A</v>
      </c>
      <c r="AD622" s="2">
        <f>IF(Table13[[#This Row],[Gender]]="M",Table13[[#This Row],[Diameter]],NA())</f>
        <v>0.37</v>
      </c>
      <c r="AE622" s="2" t="e">
        <f>IF(Table13[[#This Row],[Gender]]="F",Table13[[#This Row],[Diameter]],NA())</f>
        <v>#N/A</v>
      </c>
      <c r="AF622" s="2" t="e">
        <f>IF(Table13[[#This Row],[Gender]]="I",Table13[[#This Row],[Diameter]],NA())</f>
        <v>#N/A</v>
      </c>
    </row>
    <row r="623" spans="1:32" x14ac:dyDescent="0.2">
      <c r="A623">
        <v>2422</v>
      </c>
      <c r="B623" t="s">
        <v>11</v>
      </c>
      <c r="C623">
        <v>0.52</v>
      </c>
      <c r="D623">
        <v>0.41499999999999998</v>
      </c>
      <c r="E623">
        <v>0.16</v>
      </c>
      <c r="F623">
        <v>0.59499999999999997</v>
      </c>
      <c r="G623">
        <v>0.21049999999999999</v>
      </c>
      <c r="H623">
        <v>0.14199999999999999</v>
      </c>
      <c r="I623">
        <v>0.26</v>
      </c>
      <c r="J623">
        <v>15</v>
      </c>
      <c r="K623">
        <v>10</v>
      </c>
      <c r="L623" t="s">
        <v>16</v>
      </c>
      <c r="M623" t="s">
        <v>17</v>
      </c>
      <c r="N623" t="s">
        <v>18</v>
      </c>
      <c r="O623">
        <v>9</v>
      </c>
      <c r="P623" t="s">
        <v>46</v>
      </c>
      <c r="Q623">
        <v>1.9</v>
      </c>
      <c r="R623" t="str" cm="1">
        <f t="array" ref="R6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23" t="e">
        <f>IF(Table13[[#This Row],[Category All]]="Category 1", "Yes",NA())</f>
        <v>#N/A</v>
      </c>
      <c r="T623" t="str">
        <f>IF(Table13[[#This Row],[Category All]]="Category 2", "Yes",NA())</f>
        <v>Yes</v>
      </c>
      <c r="U623" t="e">
        <f>IF(Table13[[#This Row],[Category All]]="Category 3", "Yes",NA())</f>
        <v>#N/A</v>
      </c>
      <c r="V623">
        <f>SUM(1,(1/3)*(Table13[[#This Row],[Length]]-0.5),(1/3)*(Table13[[#This Row],[Diameter]]-0.4),(1/3)*(Table13[[#This Row],[Height]]-0.4)*Table13[[#This Row],[Whole_weight]]*0.5)</f>
        <v>0.98786666666666645</v>
      </c>
      <c r="W623" cm="1">
        <f t="array" ref="W6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0.79029333333333318</v>
      </c>
      <c r="X623" t="e">
        <f>IF(Table13[[#This Row],[Category All]]="Category 1",Table13[[#This Row],[Base Abalone Value]]*1.5,NA())</f>
        <v>#N/A</v>
      </c>
      <c r="Y623">
        <f>IF(Table13[[#This Row],[Category All]]="Category 2",Table13[[#This Row],[Base Abalone Value]]*0.8,NA())</f>
        <v>0.79029333333333318</v>
      </c>
      <c r="Z623" t="e">
        <f>IF(Table13[[#This Row],[Category All]]="Category 3",Table13[[#This Row],[Base Abalone Value]],NA())</f>
        <v>#N/A</v>
      </c>
      <c r="AA623" s="2" t="e">
        <f>IF(Table13[[#This Row],[Gender]]="M",Table13[[#This Row],[Whole_weight]],NA())</f>
        <v>#N/A</v>
      </c>
      <c r="AB623" s="2" t="e">
        <f>IF(Table13[[#This Row],[Gender]]="F",Table13[[#This Row],[Whole_weight]],NA())</f>
        <v>#N/A</v>
      </c>
      <c r="AC623" s="2">
        <f>IF(Table13[[#This Row],[Gender]]="I",Table13[[#This Row],[Whole_weight]],NA())</f>
        <v>0.59499999999999997</v>
      </c>
      <c r="AD623" s="2" t="e">
        <f>IF(Table13[[#This Row],[Gender]]="M",Table13[[#This Row],[Diameter]],NA())</f>
        <v>#N/A</v>
      </c>
      <c r="AE623" s="2" t="e">
        <f>IF(Table13[[#This Row],[Gender]]="F",Table13[[#This Row],[Diameter]],NA())</f>
        <v>#N/A</v>
      </c>
      <c r="AF623" s="2">
        <f>IF(Table13[[#This Row],[Gender]]="I",Table13[[#This Row],[Diameter]],NA())</f>
        <v>0.41499999999999998</v>
      </c>
    </row>
    <row r="624" spans="1:32" x14ac:dyDescent="0.2">
      <c r="A624">
        <v>2926</v>
      </c>
      <c r="B624" t="s">
        <v>11</v>
      </c>
      <c r="C624">
        <v>0.60499999999999998</v>
      </c>
      <c r="D624">
        <v>0.48</v>
      </c>
      <c r="E624">
        <v>0.155</v>
      </c>
      <c r="F624">
        <v>0.99950000000000006</v>
      </c>
      <c r="G624">
        <v>0.42499999999999999</v>
      </c>
      <c r="H624">
        <v>0.19850000000000001</v>
      </c>
      <c r="I624">
        <v>0.3</v>
      </c>
      <c r="J624">
        <v>10</v>
      </c>
      <c r="K624">
        <v>15</v>
      </c>
      <c r="L624" t="s">
        <v>49</v>
      </c>
      <c r="M624" t="s">
        <v>50</v>
      </c>
      <c r="N624" t="s">
        <v>3</v>
      </c>
      <c r="O624">
        <v>6</v>
      </c>
      <c r="P624" t="s">
        <v>47</v>
      </c>
      <c r="Q624">
        <v>14.1</v>
      </c>
      <c r="R624" t="str" cm="1">
        <f t="array" ref="R6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24" t="e">
        <f>IF(Table13[[#This Row],[Category All]]="Category 1", "Yes",NA())</f>
        <v>#N/A</v>
      </c>
      <c r="T624" t="e">
        <f>IF(Table13[[#This Row],[Category All]]="Category 2", "Yes",NA())</f>
        <v>#N/A</v>
      </c>
      <c r="U624" t="str">
        <f>IF(Table13[[#This Row],[Category All]]="Category 3", "Yes",NA())</f>
        <v>Yes</v>
      </c>
      <c r="V624">
        <f>SUM(1,(1/3)*(Table13[[#This Row],[Length]]-0.5),(1/3)*(Table13[[#This Row],[Diameter]]-0.4),(1/3)*(Table13[[#This Row],[Height]]-0.4)*Table13[[#This Row],[Whole_weight]]*0.5)</f>
        <v>1.0208537499999999</v>
      </c>
      <c r="W624" cm="1">
        <f t="array" ref="W6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1.0208537499999999</v>
      </c>
      <c r="X624" t="e">
        <f>IF(Table13[[#This Row],[Category All]]="Category 1",Table13[[#This Row],[Base Abalone Value]]*1.5,NA())</f>
        <v>#N/A</v>
      </c>
      <c r="Y624" t="e">
        <f>IF(Table13[[#This Row],[Category All]]="Category 2",Table13[[#This Row],[Base Abalone Value]]*0.8,NA())</f>
        <v>#N/A</v>
      </c>
      <c r="Z624">
        <f>IF(Table13[[#This Row],[Category All]]="Category 3",Table13[[#This Row],[Base Abalone Value]],NA())</f>
        <v>1.0208537499999999</v>
      </c>
      <c r="AA624" s="2" t="e">
        <f>IF(Table13[[#This Row],[Gender]]="M",Table13[[#This Row],[Whole_weight]],NA())</f>
        <v>#N/A</v>
      </c>
      <c r="AB624" s="2" t="e">
        <f>IF(Table13[[#This Row],[Gender]]="F",Table13[[#This Row],[Whole_weight]],NA())</f>
        <v>#N/A</v>
      </c>
      <c r="AC624" s="2">
        <f>IF(Table13[[#This Row],[Gender]]="I",Table13[[#This Row],[Whole_weight]],NA())</f>
        <v>0.99950000000000006</v>
      </c>
      <c r="AD624" s="2" t="e">
        <f>IF(Table13[[#This Row],[Gender]]="M",Table13[[#This Row],[Diameter]],NA())</f>
        <v>#N/A</v>
      </c>
      <c r="AE624" s="2" t="e">
        <f>IF(Table13[[#This Row],[Gender]]="F",Table13[[#This Row],[Diameter]],NA())</f>
        <v>#N/A</v>
      </c>
      <c r="AF624" s="2">
        <f>IF(Table13[[#This Row],[Gender]]="I",Table13[[#This Row],[Diameter]],NA())</f>
        <v>0.48</v>
      </c>
    </row>
    <row r="625" spans="1:32" x14ac:dyDescent="0.2">
      <c r="A625">
        <v>2263</v>
      </c>
      <c r="B625" t="s">
        <v>0</v>
      </c>
      <c r="C625">
        <v>0.57999999999999996</v>
      </c>
      <c r="D625">
        <v>0.45500000000000002</v>
      </c>
      <c r="E625">
        <v>0.16</v>
      </c>
      <c r="F625">
        <v>0.92149999999999999</v>
      </c>
      <c r="G625">
        <v>0.312</v>
      </c>
      <c r="H625">
        <v>0.19600000000000001</v>
      </c>
      <c r="I625">
        <v>0.3</v>
      </c>
      <c r="J625">
        <v>17</v>
      </c>
      <c r="K625">
        <v>13</v>
      </c>
      <c r="L625" t="s">
        <v>12</v>
      </c>
      <c r="M625" t="s">
        <v>13</v>
      </c>
      <c r="N625" t="s">
        <v>3</v>
      </c>
      <c r="O625">
        <v>10</v>
      </c>
      <c r="P625" t="s">
        <v>38</v>
      </c>
      <c r="Q625">
        <v>24.1</v>
      </c>
      <c r="R625" t="str" cm="1">
        <f t="array" ref="R6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25" t="e">
        <f>IF(Table13[[#This Row],[Category All]]="Category 1", "Yes",NA())</f>
        <v>#N/A</v>
      </c>
      <c r="T625" t="str">
        <f>IF(Table13[[#This Row],[Category All]]="Category 2", "Yes",NA())</f>
        <v>Yes</v>
      </c>
      <c r="U625" t="e">
        <f>IF(Table13[[#This Row],[Category All]]="Category 3", "Yes",NA())</f>
        <v>#N/A</v>
      </c>
      <c r="V625">
        <f>SUM(1,(1/3)*(Table13[[#This Row],[Length]]-0.5),(1/3)*(Table13[[#This Row],[Diameter]]-0.4),(1/3)*(Table13[[#This Row],[Height]]-0.4)*Table13[[#This Row],[Whole_weight]]*0.5)</f>
        <v>1.00814</v>
      </c>
      <c r="W625" cm="1">
        <f t="array" ref="W6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0.80651200000000012</v>
      </c>
      <c r="X625" t="e">
        <f>IF(Table13[[#This Row],[Category All]]="Category 1",Table13[[#This Row],[Base Abalone Value]]*1.5,NA())</f>
        <v>#N/A</v>
      </c>
      <c r="Y625">
        <f>IF(Table13[[#This Row],[Category All]]="Category 2",Table13[[#This Row],[Base Abalone Value]]*0.8,NA())</f>
        <v>0.80651200000000012</v>
      </c>
      <c r="Z625" t="e">
        <f>IF(Table13[[#This Row],[Category All]]="Category 3",Table13[[#This Row],[Base Abalone Value]],NA())</f>
        <v>#N/A</v>
      </c>
      <c r="AA625" s="2" t="e">
        <f>IF(Table13[[#This Row],[Gender]]="M",Table13[[#This Row],[Whole_weight]],NA())</f>
        <v>#N/A</v>
      </c>
      <c r="AB625" s="2">
        <f>IF(Table13[[#This Row],[Gender]]="F",Table13[[#This Row],[Whole_weight]],NA())</f>
        <v>0.92149999999999999</v>
      </c>
      <c r="AC625" s="2" t="e">
        <f>IF(Table13[[#This Row],[Gender]]="I",Table13[[#This Row],[Whole_weight]],NA())</f>
        <v>#N/A</v>
      </c>
      <c r="AD625" s="2" t="e">
        <f>IF(Table13[[#This Row],[Gender]]="M",Table13[[#This Row],[Diameter]],NA())</f>
        <v>#N/A</v>
      </c>
      <c r="AE625" s="2">
        <f>IF(Table13[[#This Row],[Gender]]="F",Table13[[#This Row],[Diameter]],NA())</f>
        <v>0.45500000000000002</v>
      </c>
      <c r="AF625" s="2" t="e">
        <f>IF(Table13[[#This Row],[Gender]]="I",Table13[[#This Row],[Diameter]],NA())</f>
        <v>#N/A</v>
      </c>
    </row>
    <row r="626" spans="1:32" x14ac:dyDescent="0.2">
      <c r="A626">
        <v>2745</v>
      </c>
      <c r="B626" t="s">
        <v>15</v>
      </c>
      <c r="C626">
        <v>0.48</v>
      </c>
      <c r="D626">
        <v>0.375</v>
      </c>
      <c r="E626">
        <v>0.12</v>
      </c>
      <c r="F626">
        <v>0.58950000000000002</v>
      </c>
      <c r="G626">
        <v>0.2535</v>
      </c>
      <c r="H626">
        <v>0.128</v>
      </c>
      <c r="I626">
        <v>0.17199999999999999</v>
      </c>
      <c r="J626">
        <v>11</v>
      </c>
      <c r="K626">
        <v>7</v>
      </c>
      <c r="L626" t="s">
        <v>35</v>
      </c>
      <c r="M626" t="s">
        <v>36</v>
      </c>
      <c r="N626" t="s">
        <v>37</v>
      </c>
      <c r="O626">
        <v>2</v>
      </c>
      <c r="P626" t="s">
        <v>7</v>
      </c>
      <c r="Q626">
        <v>18</v>
      </c>
      <c r="R626" t="str" cm="1">
        <f t="array" ref="R6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26" t="e">
        <f>IF(Table13[[#This Row],[Category All]]="Category 1", "Yes",NA())</f>
        <v>#N/A</v>
      </c>
      <c r="T626" t="str">
        <f>IF(Table13[[#This Row],[Category All]]="Category 2", "Yes",NA())</f>
        <v>Yes</v>
      </c>
      <c r="U626" t="e">
        <f>IF(Table13[[#This Row],[Category All]]="Category 3", "Yes",NA())</f>
        <v>#N/A</v>
      </c>
      <c r="V626">
        <f>SUM(1,(1/3)*(Table13[[#This Row],[Length]]-0.5),(1/3)*(Table13[[#This Row],[Diameter]]-0.4),(1/3)*(Table13[[#This Row],[Height]]-0.4)*Table13[[#This Row],[Whole_weight]]*0.5)</f>
        <v>0.95748999999999995</v>
      </c>
      <c r="W626" cm="1">
        <f t="array" ref="W6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0.76599200000000001</v>
      </c>
      <c r="X626" t="e">
        <f>IF(Table13[[#This Row],[Category All]]="Category 1",Table13[[#This Row],[Base Abalone Value]]*1.5,NA())</f>
        <v>#N/A</v>
      </c>
      <c r="Y626">
        <f>IF(Table13[[#This Row],[Category All]]="Category 2",Table13[[#This Row],[Base Abalone Value]]*0.8,NA())</f>
        <v>0.76599200000000001</v>
      </c>
      <c r="Z626" t="e">
        <f>IF(Table13[[#This Row],[Category All]]="Category 3",Table13[[#This Row],[Base Abalone Value]],NA())</f>
        <v>#N/A</v>
      </c>
      <c r="AA626" s="2">
        <f>IF(Table13[[#This Row],[Gender]]="M",Table13[[#This Row],[Whole_weight]],NA())</f>
        <v>0.58950000000000002</v>
      </c>
      <c r="AB626" s="2" t="e">
        <f>IF(Table13[[#This Row],[Gender]]="F",Table13[[#This Row],[Whole_weight]],NA())</f>
        <v>#N/A</v>
      </c>
      <c r="AC626" s="2" t="e">
        <f>IF(Table13[[#This Row],[Gender]]="I",Table13[[#This Row],[Whole_weight]],NA())</f>
        <v>#N/A</v>
      </c>
      <c r="AD626" s="2">
        <f>IF(Table13[[#This Row],[Gender]]="M",Table13[[#This Row],[Diameter]],NA())</f>
        <v>0.375</v>
      </c>
      <c r="AE626" s="2" t="e">
        <f>IF(Table13[[#This Row],[Gender]]="F",Table13[[#This Row],[Diameter]],NA())</f>
        <v>#N/A</v>
      </c>
      <c r="AF626" s="2" t="e">
        <f>IF(Table13[[#This Row],[Gender]]="I",Table13[[#This Row],[Diameter]],NA())</f>
        <v>#N/A</v>
      </c>
    </row>
    <row r="627" spans="1:32" x14ac:dyDescent="0.2">
      <c r="A627">
        <v>3007</v>
      </c>
      <c r="B627" t="s">
        <v>15</v>
      </c>
      <c r="C627">
        <v>0.7</v>
      </c>
      <c r="D627">
        <v>0.54500000000000004</v>
      </c>
      <c r="E627">
        <v>0.185</v>
      </c>
      <c r="F627">
        <v>1.6134999999999999</v>
      </c>
      <c r="G627">
        <v>0.75</v>
      </c>
      <c r="H627">
        <v>0.40350000000000003</v>
      </c>
      <c r="I627">
        <v>0.36849999999999999</v>
      </c>
      <c r="J627">
        <v>11</v>
      </c>
      <c r="K627">
        <v>15</v>
      </c>
      <c r="L627" t="s">
        <v>49</v>
      </c>
      <c r="M627" t="s">
        <v>50</v>
      </c>
      <c r="N627" t="s">
        <v>3</v>
      </c>
      <c r="O627">
        <v>2</v>
      </c>
      <c r="P627" t="s">
        <v>7</v>
      </c>
      <c r="Q627">
        <v>18</v>
      </c>
      <c r="R627" t="str" cm="1">
        <f t="array" ref="R6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27" t="e">
        <f>IF(Table13[[#This Row],[Category All]]="Category 1", "Yes",NA())</f>
        <v>#N/A</v>
      </c>
      <c r="T627" t="e">
        <f>IF(Table13[[#This Row],[Category All]]="Category 2", "Yes",NA())</f>
        <v>#N/A</v>
      </c>
      <c r="U627" t="str">
        <f>IF(Table13[[#This Row],[Category All]]="Category 3", "Yes",NA())</f>
        <v>Yes</v>
      </c>
      <c r="V627">
        <f>SUM(1,(1/3)*(Table13[[#This Row],[Length]]-0.5),(1/3)*(Table13[[#This Row],[Diameter]]-0.4),(1/3)*(Table13[[#This Row],[Height]]-0.4)*Table13[[#This Row],[Whole_weight]]*0.5)</f>
        <v>1.0571829166666666</v>
      </c>
      <c r="W627" cm="1">
        <f t="array" ref="W6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1.0571829166666666</v>
      </c>
      <c r="X627" t="e">
        <f>IF(Table13[[#This Row],[Category All]]="Category 1",Table13[[#This Row],[Base Abalone Value]]*1.5,NA())</f>
        <v>#N/A</v>
      </c>
      <c r="Y627" t="e">
        <f>IF(Table13[[#This Row],[Category All]]="Category 2",Table13[[#This Row],[Base Abalone Value]]*0.8,NA())</f>
        <v>#N/A</v>
      </c>
      <c r="Z627">
        <f>IF(Table13[[#This Row],[Category All]]="Category 3",Table13[[#This Row],[Base Abalone Value]],NA())</f>
        <v>1.0571829166666666</v>
      </c>
      <c r="AA627" s="2">
        <f>IF(Table13[[#This Row],[Gender]]="M",Table13[[#This Row],[Whole_weight]],NA())</f>
        <v>1.6134999999999999</v>
      </c>
      <c r="AB627" s="2" t="e">
        <f>IF(Table13[[#This Row],[Gender]]="F",Table13[[#This Row],[Whole_weight]],NA())</f>
        <v>#N/A</v>
      </c>
      <c r="AC627" s="2" t="e">
        <f>IF(Table13[[#This Row],[Gender]]="I",Table13[[#This Row],[Whole_weight]],NA())</f>
        <v>#N/A</v>
      </c>
      <c r="AD627" s="2">
        <f>IF(Table13[[#This Row],[Gender]]="M",Table13[[#This Row],[Diameter]],NA())</f>
        <v>0.54500000000000004</v>
      </c>
      <c r="AE627" s="2" t="e">
        <f>IF(Table13[[#This Row],[Gender]]="F",Table13[[#This Row],[Diameter]],NA())</f>
        <v>#N/A</v>
      </c>
      <c r="AF627" s="2" t="e">
        <f>IF(Table13[[#This Row],[Gender]]="I",Table13[[#This Row],[Diameter]],NA())</f>
        <v>#N/A</v>
      </c>
    </row>
    <row r="628" spans="1:32" x14ac:dyDescent="0.2">
      <c r="A628">
        <v>83</v>
      </c>
      <c r="B628" t="s">
        <v>0</v>
      </c>
      <c r="C628">
        <v>0.52</v>
      </c>
      <c r="D628">
        <v>0.42499999999999999</v>
      </c>
      <c r="E628">
        <v>0.16500000000000001</v>
      </c>
      <c r="F628">
        <v>0.98850000000000005</v>
      </c>
      <c r="G628">
        <v>0.39600000000000002</v>
      </c>
      <c r="H628">
        <v>0.22500000000000001</v>
      </c>
      <c r="I628">
        <v>0.32</v>
      </c>
      <c r="J628">
        <v>16</v>
      </c>
      <c r="K628">
        <v>6</v>
      </c>
      <c r="L628" t="s">
        <v>39</v>
      </c>
      <c r="M628" t="s">
        <v>40</v>
      </c>
      <c r="N628" t="s">
        <v>41</v>
      </c>
      <c r="O628">
        <v>2</v>
      </c>
      <c r="P628" t="s">
        <v>7</v>
      </c>
      <c r="Q628">
        <v>18</v>
      </c>
      <c r="R628" t="str" cm="1">
        <f t="array" ref="R6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28" t="e">
        <f>IF(Table13[[#This Row],[Category All]]="Category 1", "Yes",NA())</f>
        <v>#N/A</v>
      </c>
      <c r="T628" t="str">
        <f>IF(Table13[[#This Row],[Category All]]="Category 2", "Yes",NA())</f>
        <v>Yes</v>
      </c>
      <c r="U628" t="e">
        <f>IF(Table13[[#This Row],[Category All]]="Category 3", "Yes",NA())</f>
        <v>#N/A</v>
      </c>
      <c r="V628">
        <f>SUM(1,(1/3)*(Table13[[#This Row],[Length]]-0.5),(1/3)*(Table13[[#This Row],[Diameter]]-0.4),(1/3)*(Table13[[#This Row],[Height]]-0.4)*Table13[[#This Row],[Whole_weight]]*0.5)</f>
        <v>0.97628374999999989</v>
      </c>
      <c r="W628" cm="1">
        <f t="array" ref="W6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0.78102699999999992</v>
      </c>
      <c r="X628" t="e">
        <f>IF(Table13[[#This Row],[Category All]]="Category 1",Table13[[#This Row],[Base Abalone Value]]*1.5,NA())</f>
        <v>#N/A</v>
      </c>
      <c r="Y628">
        <f>IF(Table13[[#This Row],[Category All]]="Category 2",Table13[[#This Row],[Base Abalone Value]]*0.8,NA())</f>
        <v>0.78102699999999992</v>
      </c>
      <c r="Z628" t="e">
        <f>IF(Table13[[#This Row],[Category All]]="Category 3",Table13[[#This Row],[Base Abalone Value]],NA())</f>
        <v>#N/A</v>
      </c>
      <c r="AA628" s="2" t="e">
        <f>IF(Table13[[#This Row],[Gender]]="M",Table13[[#This Row],[Whole_weight]],NA())</f>
        <v>#N/A</v>
      </c>
      <c r="AB628" s="2">
        <f>IF(Table13[[#This Row],[Gender]]="F",Table13[[#This Row],[Whole_weight]],NA())</f>
        <v>0.98850000000000005</v>
      </c>
      <c r="AC628" s="2" t="e">
        <f>IF(Table13[[#This Row],[Gender]]="I",Table13[[#This Row],[Whole_weight]],NA())</f>
        <v>#N/A</v>
      </c>
      <c r="AD628" s="2" t="e">
        <f>IF(Table13[[#This Row],[Gender]]="M",Table13[[#This Row],[Diameter]],NA())</f>
        <v>#N/A</v>
      </c>
      <c r="AE628" s="2">
        <f>IF(Table13[[#This Row],[Gender]]="F",Table13[[#This Row],[Diameter]],NA())</f>
        <v>0.42499999999999999</v>
      </c>
      <c r="AF628" s="2" t="e">
        <f>IF(Table13[[#This Row],[Gender]]="I",Table13[[#This Row],[Diameter]],NA())</f>
        <v>#N/A</v>
      </c>
    </row>
    <row r="629" spans="1:32" x14ac:dyDescent="0.2">
      <c r="A629">
        <v>2705</v>
      </c>
      <c r="B629" t="s">
        <v>15</v>
      </c>
      <c r="C629">
        <v>0.7</v>
      </c>
      <c r="D629">
        <v>0.52500000000000002</v>
      </c>
      <c r="E629">
        <v>0.17499999999999999</v>
      </c>
      <c r="F629">
        <v>1.7585</v>
      </c>
      <c r="G629">
        <v>0.87450000000000006</v>
      </c>
      <c r="H629">
        <v>0.36149999999999999</v>
      </c>
      <c r="I629">
        <v>0.47</v>
      </c>
      <c r="J629">
        <v>10</v>
      </c>
      <c r="K629">
        <v>15</v>
      </c>
      <c r="L629" t="s">
        <v>49</v>
      </c>
      <c r="M629" t="s">
        <v>50</v>
      </c>
      <c r="N629" t="s">
        <v>3</v>
      </c>
      <c r="O629">
        <v>4</v>
      </c>
      <c r="P629" t="s">
        <v>10</v>
      </c>
      <c r="Q629">
        <v>6.1</v>
      </c>
      <c r="R629" t="str" cm="1">
        <f t="array" ref="R6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29" t="e">
        <f>IF(Table13[[#This Row],[Category All]]="Category 1", "Yes",NA())</f>
        <v>#N/A</v>
      </c>
      <c r="T629" t="e">
        <f>IF(Table13[[#This Row],[Category All]]="Category 2", "Yes",NA())</f>
        <v>#N/A</v>
      </c>
      <c r="U629" t="str">
        <f>IF(Table13[[#This Row],[Category All]]="Category 3", "Yes",NA())</f>
        <v>Yes</v>
      </c>
      <c r="V629">
        <f>SUM(1,(1/3)*(Table13[[#This Row],[Length]]-0.5),(1/3)*(Table13[[#This Row],[Diameter]]-0.4),(1/3)*(Table13[[#This Row],[Height]]-0.4)*Table13[[#This Row],[Whole_weight]]*0.5)</f>
        <v>1.0423895833333334</v>
      </c>
      <c r="W629" cm="1">
        <f t="array" ref="W6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1.0423895833333334</v>
      </c>
      <c r="X629" t="e">
        <f>IF(Table13[[#This Row],[Category All]]="Category 1",Table13[[#This Row],[Base Abalone Value]]*1.5,NA())</f>
        <v>#N/A</v>
      </c>
      <c r="Y629" t="e">
        <f>IF(Table13[[#This Row],[Category All]]="Category 2",Table13[[#This Row],[Base Abalone Value]]*0.8,NA())</f>
        <v>#N/A</v>
      </c>
      <c r="Z629">
        <f>IF(Table13[[#This Row],[Category All]]="Category 3",Table13[[#This Row],[Base Abalone Value]],NA())</f>
        <v>1.0423895833333334</v>
      </c>
      <c r="AA629" s="2">
        <f>IF(Table13[[#This Row],[Gender]]="M",Table13[[#This Row],[Whole_weight]],NA())</f>
        <v>1.7585</v>
      </c>
      <c r="AB629" s="2" t="e">
        <f>IF(Table13[[#This Row],[Gender]]="F",Table13[[#This Row],[Whole_weight]],NA())</f>
        <v>#N/A</v>
      </c>
      <c r="AC629" s="2" t="e">
        <f>IF(Table13[[#This Row],[Gender]]="I",Table13[[#This Row],[Whole_weight]],NA())</f>
        <v>#N/A</v>
      </c>
      <c r="AD629" s="2">
        <f>IF(Table13[[#This Row],[Gender]]="M",Table13[[#This Row],[Diameter]],NA())</f>
        <v>0.52500000000000002</v>
      </c>
      <c r="AE629" s="2" t="e">
        <f>IF(Table13[[#This Row],[Gender]]="F",Table13[[#This Row],[Diameter]],NA())</f>
        <v>#N/A</v>
      </c>
      <c r="AF629" s="2" t="e">
        <f>IF(Table13[[#This Row],[Gender]]="I",Table13[[#This Row],[Diameter]],NA())</f>
        <v>#N/A</v>
      </c>
    </row>
    <row r="630" spans="1:32" x14ac:dyDescent="0.2">
      <c r="A630">
        <v>1972</v>
      </c>
      <c r="B630" t="s">
        <v>0</v>
      </c>
      <c r="C630">
        <v>0.67500000000000004</v>
      </c>
      <c r="D630">
        <v>0.51</v>
      </c>
      <c r="E630">
        <v>0.185</v>
      </c>
      <c r="F630">
        <v>1.4730000000000001</v>
      </c>
      <c r="G630">
        <v>0.62949999999999995</v>
      </c>
      <c r="H630">
        <v>0.30249999999999999</v>
      </c>
      <c r="I630">
        <v>0.42449999999999999</v>
      </c>
      <c r="J630">
        <v>11</v>
      </c>
      <c r="K630">
        <v>7</v>
      </c>
      <c r="L630" t="s">
        <v>35</v>
      </c>
      <c r="M630" t="s">
        <v>36</v>
      </c>
      <c r="N630" t="s">
        <v>37</v>
      </c>
      <c r="O630">
        <v>6</v>
      </c>
      <c r="P630" t="s">
        <v>47</v>
      </c>
      <c r="Q630">
        <v>14.1</v>
      </c>
      <c r="R630" t="str" cm="1">
        <f t="array" ref="R6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30" t="e">
        <f>IF(Table13[[#This Row],[Category All]]="Category 1", "Yes",NA())</f>
        <v>#N/A</v>
      </c>
      <c r="T630" t="e">
        <f>IF(Table13[[#This Row],[Category All]]="Category 2", "Yes",NA())</f>
        <v>#N/A</v>
      </c>
      <c r="U630" t="str">
        <f>IF(Table13[[#This Row],[Category All]]="Category 3", "Yes",NA())</f>
        <v>Yes</v>
      </c>
      <c r="V630">
        <f>SUM(1,(1/3)*(Table13[[#This Row],[Length]]-0.5),(1/3)*(Table13[[#This Row],[Diameter]]-0.4),(1/3)*(Table13[[#This Row],[Height]]-0.4)*Table13[[#This Row],[Whole_weight]]*0.5)</f>
        <v>1.0422175</v>
      </c>
      <c r="W630" cm="1">
        <f t="array" ref="W6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1.0422175</v>
      </c>
      <c r="X630" t="e">
        <f>IF(Table13[[#This Row],[Category All]]="Category 1",Table13[[#This Row],[Base Abalone Value]]*1.5,NA())</f>
        <v>#N/A</v>
      </c>
      <c r="Y630" t="e">
        <f>IF(Table13[[#This Row],[Category All]]="Category 2",Table13[[#This Row],[Base Abalone Value]]*0.8,NA())</f>
        <v>#N/A</v>
      </c>
      <c r="Z630">
        <f>IF(Table13[[#This Row],[Category All]]="Category 3",Table13[[#This Row],[Base Abalone Value]],NA())</f>
        <v>1.0422175</v>
      </c>
      <c r="AA630" s="2" t="e">
        <f>IF(Table13[[#This Row],[Gender]]="M",Table13[[#This Row],[Whole_weight]],NA())</f>
        <v>#N/A</v>
      </c>
      <c r="AB630" s="2">
        <f>IF(Table13[[#This Row],[Gender]]="F",Table13[[#This Row],[Whole_weight]],NA())</f>
        <v>1.4730000000000001</v>
      </c>
      <c r="AC630" s="2" t="e">
        <f>IF(Table13[[#This Row],[Gender]]="I",Table13[[#This Row],[Whole_weight]],NA())</f>
        <v>#N/A</v>
      </c>
      <c r="AD630" s="2" t="e">
        <f>IF(Table13[[#This Row],[Gender]]="M",Table13[[#This Row],[Diameter]],NA())</f>
        <v>#N/A</v>
      </c>
      <c r="AE630" s="2">
        <f>IF(Table13[[#This Row],[Gender]]="F",Table13[[#This Row],[Diameter]],NA())</f>
        <v>0.51</v>
      </c>
      <c r="AF630" s="2" t="e">
        <f>IF(Table13[[#This Row],[Gender]]="I",Table13[[#This Row],[Diameter]],NA())</f>
        <v>#N/A</v>
      </c>
    </row>
    <row r="631" spans="1:32" x14ac:dyDescent="0.2">
      <c r="A631">
        <v>4010</v>
      </c>
      <c r="B631" t="s">
        <v>15</v>
      </c>
      <c r="C631">
        <v>0.61</v>
      </c>
      <c r="D631">
        <v>0.49</v>
      </c>
      <c r="E631">
        <v>0.16</v>
      </c>
      <c r="F631">
        <v>1.1459999999999999</v>
      </c>
      <c r="G631">
        <v>0.59699999999999998</v>
      </c>
      <c r="H631">
        <v>0.246</v>
      </c>
      <c r="I631">
        <v>0.26500000000000001</v>
      </c>
      <c r="J631">
        <v>8</v>
      </c>
      <c r="K631">
        <v>11</v>
      </c>
      <c r="L631" t="s">
        <v>5</v>
      </c>
      <c r="M631" t="s">
        <v>6</v>
      </c>
      <c r="N631" t="s">
        <v>3</v>
      </c>
      <c r="O631">
        <v>6</v>
      </c>
      <c r="P631" t="s">
        <v>47</v>
      </c>
      <c r="Q631">
        <v>14.1</v>
      </c>
      <c r="R631" t="str" cm="1">
        <f t="array" ref="R6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31" t="e">
        <f>IF(Table13[[#This Row],[Category All]]="Category 1", "Yes",NA())</f>
        <v>#N/A</v>
      </c>
      <c r="T631" t="e">
        <f>IF(Table13[[#This Row],[Category All]]="Category 2", "Yes",NA())</f>
        <v>#N/A</v>
      </c>
      <c r="U631" t="str">
        <f>IF(Table13[[#This Row],[Category All]]="Category 3", "Yes",NA())</f>
        <v>Yes</v>
      </c>
      <c r="V631">
        <f>SUM(1,(1/3)*(Table13[[#This Row],[Length]]-0.5),(1/3)*(Table13[[#This Row],[Diameter]]-0.4),(1/3)*(Table13[[#This Row],[Height]]-0.4)*Table13[[#This Row],[Whole_weight]]*0.5)</f>
        <v>1.0208266666666665</v>
      </c>
      <c r="W631" cm="1">
        <f t="array" ref="W6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1.0208266666666665</v>
      </c>
      <c r="X631" t="e">
        <f>IF(Table13[[#This Row],[Category All]]="Category 1",Table13[[#This Row],[Base Abalone Value]]*1.5,NA())</f>
        <v>#N/A</v>
      </c>
      <c r="Y631" t="e">
        <f>IF(Table13[[#This Row],[Category All]]="Category 2",Table13[[#This Row],[Base Abalone Value]]*0.8,NA())</f>
        <v>#N/A</v>
      </c>
      <c r="Z631">
        <f>IF(Table13[[#This Row],[Category All]]="Category 3",Table13[[#This Row],[Base Abalone Value]],NA())</f>
        <v>1.0208266666666665</v>
      </c>
      <c r="AA631" s="2">
        <f>IF(Table13[[#This Row],[Gender]]="M",Table13[[#This Row],[Whole_weight]],NA())</f>
        <v>1.1459999999999999</v>
      </c>
      <c r="AB631" s="2" t="e">
        <f>IF(Table13[[#This Row],[Gender]]="F",Table13[[#This Row],[Whole_weight]],NA())</f>
        <v>#N/A</v>
      </c>
      <c r="AC631" s="2" t="e">
        <f>IF(Table13[[#This Row],[Gender]]="I",Table13[[#This Row],[Whole_weight]],NA())</f>
        <v>#N/A</v>
      </c>
      <c r="AD631" s="2">
        <f>IF(Table13[[#This Row],[Gender]]="M",Table13[[#This Row],[Diameter]],NA())</f>
        <v>0.49</v>
      </c>
      <c r="AE631" s="2" t="e">
        <f>IF(Table13[[#This Row],[Gender]]="F",Table13[[#This Row],[Diameter]],NA())</f>
        <v>#N/A</v>
      </c>
      <c r="AF631" s="2" t="e">
        <f>IF(Table13[[#This Row],[Gender]]="I",Table13[[#This Row],[Diameter]],NA())</f>
        <v>#N/A</v>
      </c>
    </row>
    <row r="632" spans="1:32" x14ac:dyDescent="0.2">
      <c r="A632">
        <v>882</v>
      </c>
      <c r="B632" t="s">
        <v>15</v>
      </c>
      <c r="C632">
        <v>0.65500000000000003</v>
      </c>
      <c r="D632">
        <v>0.52</v>
      </c>
      <c r="E632">
        <v>0.16500000000000001</v>
      </c>
      <c r="F632">
        <v>1.4095</v>
      </c>
      <c r="G632">
        <v>0.58599999999999997</v>
      </c>
      <c r="H632">
        <v>0.29099999999999998</v>
      </c>
      <c r="I632">
        <v>0.40500000000000003</v>
      </c>
      <c r="J632">
        <v>9</v>
      </c>
      <c r="K632">
        <v>10</v>
      </c>
      <c r="L632" t="s">
        <v>16</v>
      </c>
      <c r="M632" t="s">
        <v>17</v>
      </c>
      <c r="N632" t="s">
        <v>18</v>
      </c>
      <c r="O632">
        <v>1</v>
      </c>
      <c r="P632" t="s">
        <v>4</v>
      </c>
      <c r="Q632">
        <v>22.1</v>
      </c>
      <c r="R632" t="str" cm="1">
        <f t="array" ref="R6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32" t="e">
        <f>IF(Table13[[#This Row],[Category All]]="Category 1", "Yes",NA())</f>
        <v>#N/A</v>
      </c>
      <c r="T632" t="e">
        <f>IF(Table13[[#This Row],[Category All]]="Category 2", "Yes",NA())</f>
        <v>#N/A</v>
      </c>
      <c r="U632" t="str">
        <f>IF(Table13[[#This Row],[Category All]]="Category 3", "Yes",NA())</f>
        <v>Yes</v>
      </c>
      <c r="V632">
        <f>SUM(1,(1/3)*(Table13[[#This Row],[Length]]-0.5),(1/3)*(Table13[[#This Row],[Diameter]]-0.4),(1/3)*(Table13[[#This Row],[Height]]-0.4)*Table13[[#This Row],[Whole_weight]]*0.5)</f>
        <v>1.0364612500000001</v>
      </c>
      <c r="W632" cm="1">
        <f t="array" ref="W6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1.0364612500000001</v>
      </c>
      <c r="X632" t="e">
        <f>IF(Table13[[#This Row],[Category All]]="Category 1",Table13[[#This Row],[Base Abalone Value]]*1.5,NA())</f>
        <v>#N/A</v>
      </c>
      <c r="Y632" t="e">
        <f>IF(Table13[[#This Row],[Category All]]="Category 2",Table13[[#This Row],[Base Abalone Value]]*0.8,NA())</f>
        <v>#N/A</v>
      </c>
      <c r="Z632">
        <f>IF(Table13[[#This Row],[Category All]]="Category 3",Table13[[#This Row],[Base Abalone Value]],NA())</f>
        <v>1.0364612500000001</v>
      </c>
      <c r="AA632" s="2">
        <f>IF(Table13[[#This Row],[Gender]]="M",Table13[[#This Row],[Whole_weight]],NA())</f>
        <v>1.4095</v>
      </c>
      <c r="AB632" s="2" t="e">
        <f>IF(Table13[[#This Row],[Gender]]="F",Table13[[#This Row],[Whole_weight]],NA())</f>
        <v>#N/A</v>
      </c>
      <c r="AC632" s="2" t="e">
        <f>IF(Table13[[#This Row],[Gender]]="I",Table13[[#This Row],[Whole_weight]],NA())</f>
        <v>#N/A</v>
      </c>
      <c r="AD632" s="2">
        <f>IF(Table13[[#This Row],[Gender]]="M",Table13[[#This Row],[Diameter]],NA())</f>
        <v>0.52</v>
      </c>
      <c r="AE632" s="2" t="e">
        <f>IF(Table13[[#This Row],[Gender]]="F",Table13[[#This Row],[Diameter]],NA())</f>
        <v>#N/A</v>
      </c>
      <c r="AF632" s="2" t="e">
        <f>IF(Table13[[#This Row],[Gender]]="I",Table13[[#This Row],[Diameter]],NA())</f>
        <v>#N/A</v>
      </c>
    </row>
    <row r="633" spans="1:32" x14ac:dyDescent="0.2">
      <c r="A633">
        <v>455</v>
      </c>
      <c r="B633" t="s">
        <v>0</v>
      </c>
      <c r="C633">
        <v>0.64500000000000002</v>
      </c>
      <c r="D633">
        <v>0.55000000000000004</v>
      </c>
      <c r="E633">
        <v>0.17499999999999999</v>
      </c>
      <c r="F633">
        <v>1.2915000000000001</v>
      </c>
      <c r="G633">
        <v>0.56999999999999995</v>
      </c>
      <c r="H633">
        <v>0.30449999999999999</v>
      </c>
      <c r="I633">
        <v>0.33</v>
      </c>
      <c r="J633">
        <v>14</v>
      </c>
      <c r="K633">
        <v>6</v>
      </c>
      <c r="L633" t="s">
        <v>39</v>
      </c>
      <c r="M633" t="s">
        <v>40</v>
      </c>
      <c r="N633" t="s">
        <v>41</v>
      </c>
      <c r="O633">
        <v>10</v>
      </c>
      <c r="P633" t="s">
        <v>38</v>
      </c>
      <c r="Q633">
        <v>24.1</v>
      </c>
      <c r="R633" t="str" cm="1">
        <f t="array" ref="R6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33" t="e">
        <f>IF(Table13[[#This Row],[Category All]]="Category 1", "Yes",NA())</f>
        <v>#N/A</v>
      </c>
      <c r="T633" t="e">
        <f>IF(Table13[[#This Row],[Category All]]="Category 2", "Yes",NA())</f>
        <v>#N/A</v>
      </c>
      <c r="U633" t="str">
        <f>IF(Table13[[#This Row],[Category All]]="Category 3", "Yes",NA())</f>
        <v>Yes</v>
      </c>
      <c r="V633">
        <f>SUM(1,(1/3)*(Table13[[#This Row],[Length]]-0.5),(1/3)*(Table13[[#This Row],[Diameter]]-0.4),(1/3)*(Table13[[#This Row],[Height]]-0.4)*Table13[[#This Row],[Whole_weight]]*0.5)</f>
        <v>1.0499020833333335</v>
      </c>
      <c r="W633" cm="1">
        <f t="array" ref="W6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1.0499020833333335</v>
      </c>
      <c r="X633" t="e">
        <f>IF(Table13[[#This Row],[Category All]]="Category 1",Table13[[#This Row],[Base Abalone Value]]*1.5,NA())</f>
        <v>#N/A</v>
      </c>
      <c r="Y633" t="e">
        <f>IF(Table13[[#This Row],[Category All]]="Category 2",Table13[[#This Row],[Base Abalone Value]]*0.8,NA())</f>
        <v>#N/A</v>
      </c>
      <c r="Z633">
        <f>IF(Table13[[#This Row],[Category All]]="Category 3",Table13[[#This Row],[Base Abalone Value]],NA())</f>
        <v>1.0499020833333335</v>
      </c>
      <c r="AA633" s="2" t="e">
        <f>IF(Table13[[#This Row],[Gender]]="M",Table13[[#This Row],[Whole_weight]],NA())</f>
        <v>#N/A</v>
      </c>
      <c r="AB633" s="2">
        <f>IF(Table13[[#This Row],[Gender]]="F",Table13[[#This Row],[Whole_weight]],NA())</f>
        <v>1.2915000000000001</v>
      </c>
      <c r="AC633" s="2" t="e">
        <f>IF(Table13[[#This Row],[Gender]]="I",Table13[[#This Row],[Whole_weight]],NA())</f>
        <v>#N/A</v>
      </c>
      <c r="AD633" s="2" t="e">
        <f>IF(Table13[[#This Row],[Gender]]="M",Table13[[#This Row],[Diameter]],NA())</f>
        <v>#N/A</v>
      </c>
      <c r="AE633" s="2">
        <f>IF(Table13[[#This Row],[Gender]]="F",Table13[[#This Row],[Diameter]],NA())</f>
        <v>0.55000000000000004</v>
      </c>
      <c r="AF633" s="2" t="e">
        <f>IF(Table13[[#This Row],[Gender]]="I",Table13[[#This Row],[Diameter]],NA())</f>
        <v>#N/A</v>
      </c>
    </row>
    <row r="634" spans="1:32" x14ac:dyDescent="0.2">
      <c r="A634">
        <v>3683</v>
      </c>
      <c r="B634" t="s">
        <v>15</v>
      </c>
      <c r="C634">
        <v>0.62</v>
      </c>
      <c r="D634">
        <v>0.5</v>
      </c>
      <c r="E634">
        <v>0.18</v>
      </c>
      <c r="F634">
        <v>1.3915</v>
      </c>
      <c r="G634">
        <v>0.72599999999999998</v>
      </c>
      <c r="H634">
        <v>0.27950000000000003</v>
      </c>
      <c r="I634">
        <v>0.33200000000000002</v>
      </c>
      <c r="J634">
        <v>11</v>
      </c>
      <c r="K634">
        <v>9</v>
      </c>
      <c r="L634" t="s">
        <v>20</v>
      </c>
      <c r="M634" t="s">
        <v>21</v>
      </c>
      <c r="N634" t="s">
        <v>22</v>
      </c>
      <c r="O634">
        <v>1</v>
      </c>
      <c r="P634" t="s">
        <v>4</v>
      </c>
      <c r="Q634">
        <v>22.1</v>
      </c>
      <c r="R634" t="str" cm="1">
        <f t="array" ref="R6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34" t="e">
        <f>IF(Table13[[#This Row],[Category All]]="Category 1", "Yes",NA())</f>
        <v>#N/A</v>
      </c>
      <c r="T634" t="e">
        <f>IF(Table13[[#This Row],[Category All]]="Category 2", "Yes",NA())</f>
        <v>#N/A</v>
      </c>
      <c r="U634" t="str">
        <f>IF(Table13[[#This Row],[Category All]]="Category 3", "Yes",NA())</f>
        <v>Yes</v>
      </c>
      <c r="V634">
        <f>SUM(1,(1/3)*(Table13[[#This Row],[Length]]-0.5),(1/3)*(Table13[[#This Row],[Diameter]]-0.4),(1/3)*(Table13[[#This Row],[Height]]-0.4)*Table13[[#This Row],[Whole_weight]]*0.5)</f>
        <v>1.0223116666666665</v>
      </c>
      <c r="W634" cm="1">
        <f t="array" ref="W6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1.0223116666666665</v>
      </c>
      <c r="X634" t="e">
        <f>IF(Table13[[#This Row],[Category All]]="Category 1",Table13[[#This Row],[Base Abalone Value]]*1.5,NA())</f>
        <v>#N/A</v>
      </c>
      <c r="Y634" t="e">
        <f>IF(Table13[[#This Row],[Category All]]="Category 2",Table13[[#This Row],[Base Abalone Value]]*0.8,NA())</f>
        <v>#N/A</v>
      </c>
      <c r="Z634">
        <f>IF(Table13[[#This Row],[Category All]]="Category 3",Table13[[#This Row],[Base Abalone Value]],NA())</f>
        <v>1.0223116666666665</v>
      </c>
      <c r="AA634" s="2">
        <f>IF(Table13[[#This Row],[Gender]]="M",Table13[[#This Row],[Whole_weight]],NA())</f>
        <v>1.3915</v>
      </c>
      <c r="AB634" s="2" t="e">
        <f>IF(Table13[[#This Row],[Gender]]="F",Table13[[#This Row],[Whole_weight]],NA())</f>
        <v>#N/A</v>
      </c>
      <c r="AC634" s="2" t="e">
        <f>IF(Table13[[#This Row],[Gender]]="I",Table13[[#This Row],[Whole_weight]],NA())</f>
        <v>#N/A</v>
      </c>
      <c r="AD634" s="2">
        <f>IF(Table13[[#This Row],[Gender]]="M",Table13[[#This Row],[Diameter]],NA())</f>
        <v>0.5</v>
      </c>
      <c r="AE634" s="2" t="e">
        <f>IF(Table13[[#This Row],[Gender]]="F",Table13[[#This Row],[Diameter]],NA())</f>
        <v>#N/A</v>
      </c>
      <c r="AF634" s="2" t="e">
        <f>IF(Table13[[#This Row],[Gender]]="I",Table13[[#This Row],[Diameter]],NA())</f>
        <v>#N/A</v>
      </c>
    </row>
    <row r="635" spans="1:32" x14ac:dyDescent="0.2">
      <c r="A635">
        <v>1335</v>
      </c>
      <c r="B635" t="s">
        <v>0</v>
      </c>
      <c r="C635">
        <v>0.57499999999999996</v>
      </c>
      <c r="D635">
        <v>0.42</v>
      </c>
      <c r="E635">
        <v>0.13500000000000001</v>
      </c>
      <c r="F635">
        <v>0.85699999999999998</v>
      </c>
      <c r="G635">
        <v>0.46100000000000002</v>
      </c>
      <c r="H635">
        <v>0.14699999999999999</v>
      </c>
      <c r="I635">
        <v>0.21249999999999999</v>
      </c>
      <c r="J635">
        <v>10</v>
      </c>
      <c r="K635">
        <v>13</v>
      </c>
      <c r="L635" t="s">
        <v>12</v>
      </c>
      <c r="M635" t="s">
        <v>13</v>
      </c>
      <c r="N635" t="s">
        <v>3</v>
      </c>
      <c r="O635">
        <v>10</v>
      </c>
      <c r="P635" t="s">
        <v>38</v>
      </c>
      <c r="Q635">
        <v>24.1</v>
      </c>
      <c r="R635" t="str" cm="1">
        <f t="array" ref="R6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35" t="e">
        <f>IF(Table13[[#This Row],[Category All]]="Category 1", "Yes",NA())</f>
        <v>#N/A</v>
      </c>
      <c r="T635" t="e">
        <f>IF(Table13[[#This Row],[Category All]]="Category 2", "Yes",NA())</f>
        <v>#N/A</v>
      </c>
      <c r="U635" t="str">
        <f>IF(Table13[[#This Row],[Category All]]="Category 3", "Yes",NA())</f>
        <v>Yes</v>
      </c>
      <c r="V635">
        <f>SUM(1,(1/3)*(Table13[[#This Row],[Length]]-0.5),(1/3)*(Table13[[#This Row],[Diameter]]-0.4),(1/3)*(Table13[[#This Row],[Height]]-0.4)*Table13[[#This Row],[Whole_weight]]*0.5)</f>
        <v>0.99381583333333312</v>
      </c>
      <c r="W635" cm="1">
        <f t="array" ref="W6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0.99381583333333312</v>
      </c>
      <c r="X635" t="e">
        <f>IF(Table13[[#This Row],[Category All]]="Category 1",Table13[[#This Row],[Base Abalone Value]]*1.5,NA())</f>
        <v>#N/A</v>
      </c>
      <c r="Y635" t="e">
        <f>IF(Table13[[#This Row],[Category All]]="Category 2",Table13[[#This Row],[Base Abalone Value]]*0.8,NA())</f>
        <v>#N/A</v>
      </c>
      <c r="Z635">
        <f>IF(Table13[[#This Row],[Category All]]="Category 3",Table13[[#This Row],[Base Abalone Value]],NA())</f>
        <v>0.99381583333333312</v>
      </c>
      <c r="AA635" s="2" t="e">
        <f>IF(Table13[[#This Row],[Gender]]="M",Table13[[#This Row],[Whole_weight]],NA())</f>
        <v>#N/A</v>
      </c>
      <c r="AB635" s="2">
        <f>IF(Table13[[#This Row],[Gender]]="F",Table13[[#This Row],[Whole_weight]],NA())</f>
        <v>0.85699999999999998</v>
      </c>
      <c r="AC635" s="2" t="e">
        <f>IF(Table13[[#This Row],[Gender]]="I",Table13[[#This Row],[Whole_weight]],NA())</f>
        <v>#N/A</v>
      </c>
      <c r="AD635" s="2" t="e">
        <f>IF(Table13[[#This Row],[Gender]]="M",Table13[[#This Row],[Diameter]],NA())</f>
        <v>#N/A</v>
      </c>
      <c r="AE635" s="2">
        <f>IF(Table13[[#This Row],[Gender]]="F",Table13[[#This Row],[Diameter]],NA())</f>
        <v>0.42</v>
      </c>
      <c r="AF635" s="2" t="e">
        <f>IF(Table13[[#This Row],[Gender]]="I",Table13[[#This Row],[Diameter]],NA())</f>
        <v>#N/A</v>
      </c>
    </row>
    <row r="636" spans="1:32" x14ac:dyDescent="0.2">
      <c r="A636">
        <v>2289</v>
      </c>
      <c r="B636" t="s">
        <v>11</v>
      </c>
      <c r="C636">
        <v>0.33</v>
      </c>
      <c r="D636">
        <v>0.26500000000000001</v>
      </c>
      <c r="E636">
        <v>0.09</v>
      </c>
      <c r="F636">
        <v>0.18</v>
      </c>
      <c r="G636">
        <v>6.8000000000000005E-2</v>
      </c>
      <c r="H636">
        <v>3.5999999999999997E-2</v>
      </c>
      <c r="I636">
        <v>0.06</v>
      </c>
      <c r="J636">
        <v>6</v>
      </c>
      <c r="K636">
        <v>10</v>
      </c>
      <c r="L636" t="s">
        <v>16</v>
      </c>
      <c r="M636" t="s">
        <v>17</v>
      </c>
      <c r="N636" t="s">
        <v>18</v>
      </c>
      <c r="O636">
        <v>9</v>
      </c>
      <c r="P636" t="s">
        <v>46</v>
      </c>
      <c r="Q636">
        <v>1.9</v>
      </c>
      <c r="R636" t="str" cm="1">
        <f t="array" ref="R6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36" t="e">
        <f>IF(Table13[[#This Row],[Category All]]="Category 1", "Yes",NA())</f>
        <v>#N/A</v>
      </c>
      <c r="T636" t="str">
        <f>IF(Table13[[#This Row],[Category All]]="Category 2", "Yes",NA())</f>
        <v>Yes</v>
      </c>
      <c r="U636" t="e">
        <f>IF(Table13[[#This Row],[Category All]]="Category 3", "Yes",NA())</f>
        <v>#N/A</v>
      </c>
      <c r="V636">
        <f>SUM(1,(1/3)*(Table13[[#This Row],[Length]]-0.5),(1/3)*(Table13[[#This Row],[Diameter]]-0.4),(1/3)*(Table13[[#This Row],[Height]]-0.4)*Table13[[#This Row],[Whole_weight]]*0.5)</f>
        <v>0.88903333333333334</v>
      </c>
      <c r="W636" cm="1">
        <f t="array" ref="W6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0.71122666666666667</v>
      </c>
      <c r="X636" t="e">
        <f>IF(Table13[[#This Row],[Category All]]="Category 1",Table13[[#This Row],[Base Abalone Value]]*1.5,NA())</f>
        <v>#N/A</v>
      </c>
      <c r="Y636">
        <f>IF(Table13[[#This Row],[Category All]]="Category 2",Table13[[#This Row],[Base Abalone Value]]*0.8,NA())</f>
        <v>0.71122666666666667</v>
      </c>
      <c r="Z636" t="e">
        <f>IF(Table13[[#This Row],[Category All]]="Category 3",Table13[[#This Row],[Base Abalone Value]],NA())</f>
        <v>#N/A</v>
      </c>
      <c r="AA636" s="2" t="e">
        <f>IF(Table13[[#This Row],[Gender]]="M",Table13[[#This Row],[Whole_weight]],NA())</f>
        <v>#N/A</v>
      </c>
      <c r="AB636" s="2" t="e">
        <f>IF(Table13[[#This Row],[Gender]]="F",Table13[[#This Row],[Whole_weight]],NA())</f>
        <v>#N/A</v>
      </c>
      <c r="AC636" s="2">
        <f>IF(Table13[[#This Row],[Gender]]="I",Table13[[#This Row],[Whole_weight]],NA())</f>
        <v>0.18</v>
      </c>
      <c r="AD636" s="2" t="e">
        <f>IF(Table13[[#This Row],[Gender]]="M",Table13[[#This Row],[Diameter]],NA())</f>
        <v>#N/A</v>
      </c>
      <c r="AE636" s="2" t="e">
        <f>IF(Table13[[#This Row],[Gender]]="F",Table13[[#This Row],[Diameter]],NA())</f>
        <v>#N/A</v>
      </c>
      <c r="AF636" s="2">
        <f>IF(Table13[[#This Row],[Gender]]="I",Table13[[#This Row],[Diameter]],NA())</f>
        <v>0.26500000000000001</v>
      </c>
    </row>
    <row r="637" spans="1:32" x14ac:dyDescent="0.2">
      <c r="A637">
        <v>3342</v>
      </c>
      <c r="B637" t="s">
        <v>0</v>
      </c>
      <c r="C637">
        <v>0.49</v>
      </c>
      <c r="D637">
        <v>0.39</v>
      </c>
      <c r="E637">
        <v>0.13500000000000001</v>
      </c>
      <c r="F637">
        <v>0.59</v>
      </c>
      <c r="G637">
        <v>0.215</v>
      </c>
      <c r="H637">
        <v>0.125</v>
      </c>
      <c r="I637">
        <v>0.1845</v>
      </c>
      <c r="J637">
        <v>12</v>
      </c>
      <c r="K637">
        <v>3</v>
      </c>
      <c r="L637" t="s">
        <v>43</v>
      </c>
      <c r="M637" t="s">
        <v>44</v>
      </c>
      <c r="N637" t="s">
        <v>45</v>
      </c>
      <c r="O637">
        <v>6</v>
      </c>
      <c r="P637" t="s">
        <v>47</v>
      </c>
      <c r="Q637">
        <v>14.1</v>
      </c>
      <c r="R637" t="str" cm="1">
        <f t="array" ref="R6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37" t="e">
        <f>IF(Table13[[#This Row],[Category All]]="Category 1", "Yes",NA())</f>
        <v>#N/A</v>
      </c>
      <c r="T637" t="str">
        <f>IF(Table13[[#This Row],[Category All]]="Category 2", "Yes",NA())</f>
        <v>Yes</v>
      </c>
      <c r="U637" t="e">
        <f>IF(Table13[[#This Row],[Category All]]="Category 3", "Yes",NA())</f>
        <v>#N/A</v>
      </c>
      <c r="V637">
        <f>SUM(1,(1/3)*(Table13[[#This Row],[Length]]-0.5),(1/3)*(Table13[[#This Row],[Diameter]]-0.4),(1/3)*(Table13[[#This Row],[Height]]-0.4)*Table13[[#This Row],[Whole_weight]]*0.5)</f>
        <v>0.96727500000000011</v>
      </c>
      <c r="W637" cm="1">
        <f t="array" ref="W6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0.77382000000000017</v>
      </c>
      <c r="X637" t="e">
        <f>IF(Table13[[#This Row],[Category All]]="Category 1",Table13[[#This Row],[Base Abalone Value]]*1.5,NA())</f>
        <v>#N/A</v>
      </c>
      <c r="Y637">
        <f>IF(Table13[[#This Row],[Category All]]="Category 2",Table13[[#This Row],[Base Abalone Value]]*0.8,NA())</f>
        <v>0.77382000000000017</v>
      </c>
      <c r="Z637" t="e">
        <f>IF(Table13[[#This Row],[Category All]]="Category 3",Table13[[#This Row],[Base Abalone Value]],NA())</f>
        <v>#N/A</v>
      </c>
      <c r="AA637" s="2" t="e">
        <f>IF(Table13[[#This Row],[Gender]]="M",Table13[[#This Row],[Whole_weight]],NA())</f>
        <v>#N/A</v>
      </c>
      <c r="AB637" s="2">
        <f>IF(Table13[[#This Row],[Gender]]="F",Table13[[#This Row],[Whole_weight]],NA())</f>
        <v>0.59</v>
      </c>
      <c r="AC637" s="2" t="e">
        <f>IF(Table13[[#This Row],[Gender]]="I",Table13[[#This Row],[Whole_weight]],NA())</f>
        <v>#N/A</v>
      </c>
      <c r="AD637" s="2" t="e">
        <f>IF(Table13[[#This Row],[Gender]]="M",Table13[[#This Row],[Diameter]],NA())</f>
        <v>#N/A</v>
      </c>
      <c r="AE637" s="2">
        <f>IF(Table13[[#This Row],[Gender]]="F",Table13[[#This Row],[Diameter]],NA())</f>
        <v>0.39</v>
      </c>
      <c r="AF637" s="2" t="e">
        <f>IF(Table13[[#This Row],[Gender]]="I",Table13[[#This Row],[Diameter]],NA())</f>
        <v>#N/A</v>
      </c>
    </row>
    <row r="638" spans="1:32" x14ac:dyDescent="0.2">
      <c r="A638">
        <v>783</v>
      </c>
      <c r="B638" t="s">
        <v>15</v>
      </c>
      <c r="C638">
        <v>0.51500000000000001</v>
      </c>
      <c r="D638">
        <v>0.435</v>
      </c>
      <c r="E638">
        <v>0.14499999999999999</v>
      </c>
      <c r="F638">
        <v>0.88149999999999995</v>
      </c>
      <c r="G638">
        <v>0.29199999999999998</v>
      </c>
      <c r="H638">
        <v>0.20599999999999999</v>
      </c>
      <c r="I638">
        <v>0.255</v>
      </c>
      <c r="J638">
        <v>10</v>
      </c>
      <c r="K638">
        <v>14</v>
      </c>
      <c r="L638" t="s">
        <v>23</v>
      </c>
      <c r="M638" t="s">
        <v>24</v>
      </c>
      <c r="N638" t="s">
        <v>25</v>
      </c>
      <c r="O638">
        <v>5</v>
      </c>
      <c r="P638" t="s">
        <v>14</v>
      </c>
      <c r="Q638">
        <v>12.8</v>
      </c>
      <c r="R638" t="str" cm="1">
        <f t="array" ref="R6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38" t="e">
        <f>IF(Table13[[#This Row],[Category All]]="Category 1", "Yes",NA())</f>
        <v>#N/A</v>
      </c>
      <c r="T638" t="str">
        <f>IF(Table13[[#This Row],[Category All]]="Category 2", "Yes",NA())</f>
        <v>Yes</v>
      </c>
      <c r="U638" t="e">
        <f>IF(Table13[[#This Row],[Category All]]="Category 3", "Yes",NA())</f>
        <v>#N/A</v>
      </c>
      <c r="V638">
        <f>SUM(1,(1/3)*(Table13[[#This Row],[Length]]-0.5),(1/3)*(Table13[[#This Row],[Diameter]]-0.4),(1/3)*(Table13[[#This Row],[Height]]-0.4)*Table13[[#This Row],[Whole_weight]]*0.5)</f>
        <v>0.97920291666666659</v>
      </c>
      <c r="W638" cm="1">
        <f t="array" ref="W6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0.78336233333333327</v>
      </c>
      <c r="X638" t="e">
        <f>IF(Table13[[#This Row],[Category All]]="Category 1",Table13[[#This Row],[Base Abalone Value]]*1.5,NA())</f>
        <v>#N/A</v>
      </c>
      <c r="Y638">
        <f>IF(Table13[[#This Row],[Category All]]="Category 2",Table13[[#This Row],[Base Abalone Value]]*0.8,NA())</f>
        <v>0.78336233333333327</v>
      </c>
      <c r="Z638" t="e">
        <f>IF(Table13[[#This Row],[Category All]]="Category 3",Table13[[#This Row],[Base Abalone Value]],NA())</f>
        <v>#N/A</v>
      </c>
      <c r="AA638" s="2">
        <f>IF(Table13[[#This Row],[Gender]]="M",Table13[[#This Row],[Whole_weight]],NA())</f>
        <v>0.88149999999999995</v>
      </c>
      <c r="AB638" s="2" t="e">
        <f>IF(Table13[[#This Row],[Gender]]="F",Table13[[#This Row],[Whole_weight]],NA())</f>
        <v>#N/A</v>
      </c>
      <c r="AC638" s="2" t="e">
        <f>IF(Table13[[#This Row],[Gender]]="I",Table13[[#This Row],[Whole_weight]],NA())</f>
        <v>#N/A</v>
      </c>
      <c r="AD638" s="2">
        <f>IF(Table13[[#This Row],[Gender]]="M",Table13[[#This Row],[Diameter]],NA())</f>
        <v>0.435</v>
      </c>
      <c r="AE638" s="2" t="e">
        <f>IF(Table13[[#This Row],[Gender]]="F",Table13[[#This Row],[Diameter]],NA())</f>
        <v>#N/A</v>
      </c>
      <c r="AF638" s="2" t="e">
        <f>IF(Table13[[#This Row],[Gender]]="I",Table13[[#This Row],[Diameter]],NA())</f>
        <v>#N/A</v>
      </c>
    </row>
    <row r="639" spans="1:32" x14ac:dyDescent="0.2">
      <c r="A639">
        <v>3078</v>
      </c>
      <c r="B639" t="s">
        <v>15</v>
      </c>
      <c r="C639">
        <v>0.68500000000000005</v>
      </c>
      <c r="D639">
        <v>0.51</v>
      </c>
      <c r="E639">
        <v>0.16500000000000001</v>
      </c>
      <c r="F639">
        <v>1.5449999999999999</v>
      </c>
      <c r="G639">
        <v>0.68600000000000005</v>
      </c>
      <c r="H639">
        <v>0.3775</v>
      </c>
      <c r="I639">
        <v>0.40550000000000003</v>
      </c>
      <c r="J639">
        <v>10</v>
      </c>
      <c r="K639">
        <v>9</v>
      </c>
      <c r="L639" t="s">
        <v>20</v>
      </c>
      <c r="M639" t="s">
        <v>21</v>
      </c>
      <c r="N639" t="s">
        <v>22</v>
      </c>
      <c r="O639">
        <v>9</v>
      </c>
      <c r="P639" t="s">
        <v>46</v>
      </c>
      <c r="Q639">
        <v>1.9</v>
      </c>
      <c r="R639" t="str" cm="1">
        <f t="array" ref="R6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39" t="e">
        <f>IF(Table13[[#This Row],[Category All]]="Category 1", "Yes",NA())</f>
        <v>#N/A</v>
      </c>
      <c r="T639" t="e">
        <f>IF(Table13[[#This Row],[Category All]]="Category 2", "Yes",NA())</f>
        <v>#N/A</v>
      </c>
      <c r="U639" t="str">
        <f>IF(Table13[[#This Row],[Category All]]="Category 3", "Yes",NA())</f>
        <v>Yes</v>
      </c>
      <c r="V639">
        <f>SUM(1,(1/3)*(Table13[[#This Row],[Length]]-0.5),(1/3)*(Table13[[#This Row],[Diameter]]-0.4),(1/3)*(Table13[[#This Row],[Height]]-0.4)*Table13[[#This Row],[Whole_weight]]*0.5)</f>
        <v>1.0378208333333334</v>
      </c>
      <c r="W639" cm="1">
        <f t="array" ref="W6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1.0378208333333334</v>
      </c>
      <c r="X639" t="e">
        <f>IF(Table13[[#This Row],[Category All]]="Category 1",Table13[[#This Row],[Base Abalone Value]]*1.5,NA())</f>
        <v>#N/A</v>
      </c>
      <c r="Y639" t="e">
        <f>IF(Table13[[#This Row],[Category All]]="Category 2",Table13[[#This Row],[Base Abalone Value]]*0.8,NA())</f>
        <v>#N/A</v>
      </c>
      <c r="Z639">
        <f>IF(Table13[[#This Row],[Category All]]="Category 3",Table13[[#This Row],[Base Abalone Value]],NA())</f>
        <v>1.0378208333333334</v>
      </c>
      <c r="AA639" s="2">
        <f>IF(Table13[[#This Row],[Gender]]="M",Table13[[#This Row],[Whole_weight]],NA())</f>
        <v>1.5449999999999999</v>
      </c>
      <c r="AB639" s="2" t="e">
        <f>IF(Table13[[#This Row],[Gender]]="F",Table13[[#This Row],[Whole_weight]],NA())</f>
        <v>#N/A</v>
      </c>
      <c r="AC639" s="2" t="e">
        <f>IF(Table13[[#This Row],[Gender]]="I",Table13[[#This Row],[Whole_weight]],NA())</f>
        <v>#N/A</v>
      </c>
      <c r="AD639" s="2">
        <f>IF(Table13[[#This Row],[Gender]]="M",Table13[[#This Row],[Diameter]],NA())</f>
        <v>0.51</v>
      </c>
      <c r="AE639" s="2" t="e">
        <f>IF(Table13[[#This Row],[Gender]]="F",Table13[[#This Row],[Diameter]],NA())</f>
        <v>#N/A</v>
      </c>
      <c r="AF639" s="2" t="e">
        <f>IF(Table13[[#This Row],[Gender]]="I",Table13[[#This Row],[Diameter]],NA())</f>
        <v>#N/A</v>
      </c>
    </row>
    <row r="640" spans="1:32" x14ac:dyDescent="0.2">
      <c r="A640">
        <v>2155</v>
      </c>
      <c r="B640" t="s">
        <v>15</v>
      </c>
      <c r="C640">
        <v>0.55000000000000004</v>
      </c>
      <c r="D640">
        <v>0.44</v>
      </c>
      <c r="E640">
        <v>0.13500000000000001</v>
      </c>
      <c r="F640">
        <v>0.879</v>
      </c>
      <c r="G640">
        <v>0.36799999999999999</v>
      </c>
      <c r="H640">
        <v>0.20949999999999999</v>
      </c>
      <c r="I640">
        <v>0.26500000000000001</v>
      </c>
      <c r="J640">
        <v>10</v>
      </c>
      <c r="K640">
        <v>8</v>
      </c>
      <c r="L640" t="s">
        <v>29</v>
      </c>
      <c r="M640" t="s">
        <v>30</v>
      </c>
      <c r="N640" t="s">
        <v>31</v>
      </c>
      <c r="O640">
        <v>7</v>
      </c>
      <c r="P640" t="s">
        <v>42</v>
      </c>
      <c r="Q640">
        <v>2.5</v>
      </c>
      <c r="R640" t="str" cm="1">
        <f t="array" ref="R6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0" t="e">
        <f>IF(Table13[[#This Row],[Category All]]="Category 1", "Yes",NA())</f>
        <v>#N/A</v>
      </c>
      <c r="T640" t="str">
        <f>IF(Table13[[#This Row],[Category All]]="Category 2", "Yes",NA())</f>
        <v>Yes</v>
      </c>
      <c r="U640" t="e">
        <f>IF(Table13[[#This Row],[Category All]]="Category 3", "Yes",NA())</f>
        <v>#N/A</v>
      </c>
      <c r="V640">
        <f>SUM(1,(1/3)*(Table13[[#This Row],[Length]]-0.5),(1/3)*(Table13[[#This Row],[Diameter]]-0.4),(1/3)*(Table13[[#This Row],[Height]]-0.4)*Table13[[#This Row],[Whole_weight]]*0.5)</f>
        <v>0.99117750000000004</v>
      </c>
      <c r="W640" cm="1">
        <f t="array" ref="W6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0.79294200000000004</v>
      </c>
      <c r="X640" t="e">
        <f>IF(Table13[[#This Row],[Category All]]="Category 1",Table13[[#This Row],[Base Abalone Value]]*1.5,NA())</f>
        <v>#N/A</v>
      </c>
      <c r="Y640">
        <f>IF(Table13[[#This Row],[Category All]]="Category 2",Table13[[#This Row],[Base Abalone Value]]*0.8,NA())</f>
        <v>0.79294200000000004</v>
      </c>
      <c r="Z640" t="e">
        <f>IF(Table13[[#This Row],[Category All]]="Category 3",Table13[[#This Row],[Base Abalone Value]],NA())</f>
        <v>#N/A</v>
      </c>
      <c r="AA640" s="2">
        <f>IF(Table13[[#This Row],[Gender]]="M",Table13[[#This Row],[Whole_weight]],NA())</f>
        <v>0.879</v>
      </c>
      <c r="AB640" s="2" t="e">
        <f>IF(Table13[[#This Row],[Gender]]="F",Table13[[#This Row],[Whole_weight]],NA())</f>
        <v>#N/A</v>
      </c>
      <c r="AC640" s="2" t="e">
        <f>IF(Table13[[#This Row],[Gender]]="I",Table13[[#This Row],[Whole_weight]],NA())</f>
        <v>#N/A</v>
      </c>
      <c r="AD640" s="2">
        <f>IF(Table13[[#This Row],[Gender]]="M",Table13[[#This Row],[Diameter]],NA())</f>
        <v>0.44</v>
      </c>
      <c r="AE640" s="2" t="e">
        <f>IF(Table13[[#This Row],[Gender]]="F",Table13[[#This Row],[Diameter]],NA())</f>
        <v>#N/A</v>
      </c>
      <c r="AF640" s="2" t="e">
        <f>IF(Table13[[#This Row],[Gender]]="I",Table13[[#This Row],[Diameter]],NA())</f>
        <v>#N/A</v>
      </c>
    </row>
    <row r="641" spans="1:32" x14ac:dyDescent="0.2">
      <c r="A641">
        <v>947</v>
      </c>
      <c r="B641" t="s">
        <v>0</v>
      </c>
      <c r="C641">
        <v>0.47</v>
      </c>
      <c r="D641">
        <v>0.36499999999999999</v>
      </c>
      <c r="E641">
        <v>0.12</v>
      </c>
      <c r="F641">
        <v>0.58199999999999996</v>
      </c>
      <c r="G641">
        <v>0.28999999999999998</v>
      </c>
      <c r="H641">
        <v>9.1999999999999998E-2</v>
      </c>
      <c r="I641">
        <v>0.14599999999999999</v>
      </c>
      <c r="J641">
        <v>8</v>
      </c>
      <c r="K641">
        <v>14</v>
      </c>
      <c r="L641" t="s">
        <v>23</v>
      </c>
      <c r="M641" t="s">
        <v>24</v>
      </c>
      <c r="N641" t="s">
        <v>25</v>
      </c>
      <c r="O641">
        <v>6</v>
      </c>
      <c r="P641" t="s">
        <v>47</v>
      </c>
      <c r="Q641">
        <v>14.1</v>
      </c>
      <c r="R641" t="str" cm="1">
        <f t="array" ref="R6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1" t="e">
        <f>IF(Table13[[#This Row],[Category All]]="Category 1", "Yes",NA())</f>
        <v>#N/A</v>
      </c>
      <c r="T641" t="str">
        <f>IF(Table13[[#This Row],[Category All]]="Category 2", "Yes",NA())</f>
        <v>Yes</v>
      </c>
      <c r="U641" t="e">
        <f>IF(Table13[[#This Row],[Category All]]="Category 3", "Yes",NA())</f>
        <v>#N/A</v>
      </c>
      <c r="V641">
        <f>SUM(1,(1/3)*(Table13[[#This Row],[Length]]-0.5),(1/3)*(Table13[[#This Row],[Diameter]]-0.4),(1/3)*(Table13[[#This Row],[Height]]-0.4)*Table13[[#This Row],[Whole_weight]]*0.5)</f>
        <v>0.95117333333333332</v>
      </c>
      <c r="W641" cm="1">
        <f t="array" ref="W6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0.76093866666666665</v>
      </c>
      <c r="X641" t="e">
        <f>IF(Table13[[#This Row],[Category All]]="Category 1",Table13[[#This Row],[Base Abalone Value]]*1.5,NA())</f>
        <v>#N/A</v>
      </c>
      <c r="Y641">
        <f>IF(Table13[[#This Row],[Category All]]="Category 2",Table13[[#This Row],[Base Abalone Value]]*0.8,NA())</f>
        <v>0.76093866666666665</v>
      </c>
      <c r="Z641" t="e">
        <f>IF(Table13[[#This Row],[Category All]]="Category 3",Table13[[#This Row],[Base Abalone Value]],NA())</f>
        <v>#N/A</v>
      </c>
      <c r="AA641" s="2" t="e">
        <f>IF(Table13[[#This Row],[Gender]]="M",Table13[[#This Row],[Whole_weight]],NA())</f>
        <v>#N/A</v>
      </c>
      <c r="AB641" s="2">
        <f>IF(Table13[[#This Row],[Gender]]="F",Table13[[#This Row],[Whole_weight]],NA())</f>
        <v>0.58199999999999996</v>
      </c>
      <c r="AC641" s="2" t="e">
        <f>IF(Table13[[#This Row],[Gender]]="I",Table13[[#This Row],[Whole_weight]],NA())</f>
        <v>#N/A</v>
      </c>
      <c r="AD641" s="2" t="e">
        <f>IF(Table13[[#This Row],[Gender]]="M",Table13[[#This Row],[Diameter]],NA())</f>
        <v>#N/A</v>
      </c>
      <c r="AE641" s="2">
        <f>IF(Table13[[#This Row],[Gender]]="F",Table13[[#This Row],[Diameter]],NA())</f>
        <v>0.36499999999999999</v>
      </c>
      <c r="AF641" s="2" t="e">
        <f>IF(Table13[[#This Row],[Gender]]="I",Table13[[#This Row],[Diameter]],NA())</f>
        <v>#N/A</v>
      </c>
    </row>
    <row r="642" spans="1:32" x14ac:dyDescent="0.2">
      <c r="A642">
        <v>2071</v>
      </c>
      <c r="B642" t="s">
        <v>11</v>
      </c>
      <c r="C642">
        <v>0.55000000000000004</v>
      </c>
      <c r="D642">
        <v>0.42</v>
      </c>
      <c r="E642">
        <v>0.115</v>
      </c>
      <c r="F642">
        <v>0.66800000000000004</v>
      </c>
      <c r="G642">
        <v>0.29249999999999998</v>
      </c>
      <c r="H642">
        <v>0.13700000000000001</v>
      </c>
      <c r="I642">
        <v>0.20899999999999999</v>
      </c>
      <c r="J642">
        <v>11</v>
      </c>
      <c r="K642">
        <v>11</v>
      </c>
      <c r="L642" t="s">
        <v>5</v>
      </c>
      <c r="M642" t="s">
        <v>6</v>
      </c>
      <c r="N642" t="s">
        <v>3</v>
      </c>
      <c r="O642">
        <v>3</v>
      </c>
      <c r="P642" t="s">
        <v>48</v>
      </c>
      <c r="Q642">
        <v>3.6</v>
      </c>
      <c r="R642" t="str" cm="1">
        <f t="array" ref="R6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2" t="e">
        <f>IF(Table13[[#This Row],[Category All]]="Category 1", "Yes",NA())</f>
        <v>#N/A</v>
      </c>
      <c r="T642" t="str">
        <f>IF(Table13[[#This Row],[Category All]]="Category 2", "Yes",NA())</f>
        <v>Yes</v>
      </c>
      <c r="U642" t="e">
        <f>IF(Table13[[#This Row],[Category All]]="Category 3", "Yes",NA())</f>
        <v>#N/A</v>
      </c>
      <c r="V642">
        <f>SUM(1,(1/3)*(Table13[[#This Row],[Length]]-0.5),(1/3)*(Table13[[#This Row],[Diameter]]-0.4),(1/3)*(Table13[[#This Row],[Height]]-0.4)*Table13[[#This Row],[Whole_weight]]*0.5)</f>
        <v>0.99160333333333317</v>
      </c>
      <c r="W642" cm="1">
        <f t="array" ref="W6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0.79328266666666658</v>
      </c>
      <c r="X642" t="e">
        <f>IF(Table13[[#This Row],[Category All]]="Category 1",Table13[[#This Row],[Base Abalone Value]]*1.5,NA())</f>
        <v>#N/A</v>
      </c>
      <c r="Y642">
        <f>IF(Table13[[#This Row],[Category All]]="Category 2",Table13[[#This Row],[Base Abalone Value]]*0.8,NA())</f>
        <v>0.79328266666666658</v>
      </c>
      <c r="Z642" t="e">
        <f>IF(Table13[[#This Row],[Category All]]="Category 3",Table13[[#This Row],[Base Abalone Value]],NA())</f>
        <v>#N/A</v>
      </c>
      <c r="AA642" s="2" t="e">
        <f>IF(Table13[[#This Row],[Gender]]="M",Table13[[#This Row],[Whole_weight]],NA())</f>
        <v>#N/A</v>
      </c>
      <c r="AB642" s="2" t="e">
        <f>IF(Table13[[#This Row],[Gender]]="F",Table13[[#This Row],[Whole_weight]],NA())</f>
        <v>#N/A</v>
      </c>
      <c r="AC642" s="2">
        <f>IF(Table13[[#This Row],[Gender]]="I",Table13[[#This Row],[Whole_weight]],NA())</f>
        <v>0.66800000000000004</v>
      </c>
      <c r="AD642" s="2" t="e">
        <f>IF(Table13[[#This Row],[Gender]]="M",Table13[[#This Row],[Diameter]],NA())</f>
        <v>#N/A</v>
      </c>
      <c r="AE642" s="2" t="e">
        <f>IF(Table13[[#This Row],[Gender]]="F",Table13[[#This Row],[Diameter]],NA())</f>
        <v>#N/A</v>
      </c>
      <c r="AF642" s="2">
        <f>IF(Table13[[#This Row],[Gender]]="I",Table13[[#This Row],[Diameter]],NA())</f>
        <v>0.42</v>
      </c>
    </row>
    <row r="643" spans="1:32" x14ac:dyDescent="0.2">
      <c r="A643">
        <v>2775</v>
      </c>
      <c r="B643" t="s">
        <v>0</v>
      </c>
      <c r="C643">
        <v>0.57999999999999996</v>
      </c>
      <c r="D643">
        <v>0.42499999999999999</v>
      </c>
      <c r="E643">
        <v>0.15</v>
      </c>
      <c r="F643">
        <v>0.84399999999999997</v>
      </c>
      <c r="G643">
        <v>0.36449999999999999</v>
      </c>
      <c r="H643">
        <v>0.185</v>
      </c>
      <c r="I643">
        <v>0.27050000000000002</v>
      </c>
      <c r="J643">
        <v>9</v>
      </c>
      <c r="K643">
        <v>11</v>
      </c>
      <c r="L643" t="s">
        <v>5</v>
      </c>
      <c r="M643" t="s">
        <v>6</v>
      </c>
      <c r="N643" t="s">
        <v>3</v>
      </c>
      <c r="O643">
        <v>2</v>
      </c>
      <c r="P643" t="s">
        <v>7</v>
      </c>
      <c r="Q643">
        <v>18</v>
      </c>
      <c r="R643" t="str" cm="1">
        <f t="array" ref="R6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3" t="e">
        <f>IF(Table13[[#This Row],[Category All]]="Category 1", "Yes",NA())</f>
        <v>#N/A</v>
      </c>
      <c r="T643" t="str">
        <f>IF(Table13[[#This Row],[Category All]]="Category 2", "Yes",NA())</f>
        <v>Yes</v>
      </c>
      <c r="U643" t="e">
        <f>IF(Table13[[#This Row],[Category All]]="Category 3", "Yes",NA())</f>
        <v>#N/A</v>
      </c>
      <c r="V643">
        <f>SUM(1,(1/3)*(Table13[[#This Row],[Length]]-0.5),(1/3)*(Table13[[#This Row],[Diameter]]-0.4),(1/3)*(Table13[[#This Row],[Height]]-0.4)*Table13[[#This Row],[Whole_weight]]*0.5)</f>
        <v>0.99983333333333324</v>
      </c>
      <c r="W643" cm="1">
        <f t="array" ref="W6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0.79986666666666661</v>
      </c>
      <c r="X643" t="e">
        <f>IF(Table13[[#This Row],[Category All]]="Category 1",Table13[[#This Row],[Base Abalone Value]]*1.5,NA())</f>
        <v>#N/A</v>
      </c>
      <c r="Y643">
        <f>IF(Table13[[#This Row],[Category All]]="Category 2",Table13[[#This Row],[Base Abalone Value]]*0.8,NA())</f>
        <v>0.79986666666666661</v>
      </c>
      <c r="Z643" t="e">
        <f>IF(Table13[[#This Row],[Category All]]="Category 3",Table13[[#This Row],[Base Abalone Value]],NA())</f>
        <v>#N/A</v>
      </c>
      <c r="AA643" s="2" t="e">
        <f>IF(Table13[[#This Row],[Gender]]="M",Table13[[#This Row],[Whole_weight]],NA())</f>
        <v>#N/A</v>
      </c>
      <c r="AB643" s="2">
        <f>IF(Table13[[#This Row],[Gender]]="F",Table13[[#This Row],[Whole_weight]],NA())</f>
        <v>0.84399999999999997</v>
      </c>
      <c r="AC643" s="2" t="e">
        <f>IF(Table13[[#This Row],[Gender]]="I",Table13[[#This Row],[Whole_weight]],NA())</f>
        <v>#N/A</v>
      </c>
      <c r="AD643" s="2" t="e">
        <f>IF(Table13[[#This Row],[Gender]]="M",Table13[[#This Row],[Diameter]],NA())</f>
        <v>#N/A</v>
      </c>
      <c r="AE643" s="2">
        <f>IF(Table13[[#This Row],[Gender]]="F",Table13[[#This Row],[Diameter]],NA())</f>
        <v>0.42499999999999999</v>
      </c>
      <c r="AF643" s="2" t="e">
        <f>IF(Table13[[#This Row],[Gender]]="I",Table13[[#This Row],[Diameter]],NA())</f>
        <v>#N/A</v>
      </c>
    </row>
    <row r="644" spans="1:32" x14ac:dyDescent="0.2">
      <c r="A644">
        <v>2251</v>
      </c>
      <c r="B644" t="s">
        <v>15</v>
      </c>
      <c r="C644">
        <v>0.65500000000000003</v>
      </c>
      <c r="D644">
        <v>0.59</v>
      </c>
      <c r="E644">
        <v>0.2</v>
      </c>
      <c r="F644">
        <v>1.5455000000000001</v>
      </c>
      <c r="G644">
        <v>0.65400000000000003</v>
      </c>
      <c r="H644">
        <v>0.3765</v>
      </c>
      <c r="I644">
        <v>0.41499999999999998</v>
      </c>
      <c r="J644">
        <v>11</v>
      </c>
      <c r="K644">
        <v>7</v>
      </c>
      <c r="L644" t="s">
        <v>35</v>
      </c>
      <c r="M644" t="s">
        <v>36</v>
      </c>
      <c r="N644" t="s">
        <v>37</v>
      </c>
      <c r="O644">
        <v>1</v>
      </c>
      <c r="P644" t="s">
        <v>4</v>
      </c>
      <c r="Q644">
        <v>22.1</v>
      </c>
      <c r="R644" t="str" cm="1">
        <f t="array" ref="R6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44" t="e">
        <f>IF(Table13[[#This Row],[Category All]]="Category 1", "Yes",NA())</f>
        <v>#N/A</v>
      </c>
      <c r="T644" t="e">
        <f>IF(Table13[[#This Row],[Category All]]="Category 2", "Yes",NA())</f>
        <v>#N/A</v>
      </c>
      <c r="U644" t="str">
        <f>IF(Table13[[#This Row],[Category All]]="Category 3", "Yes",NA())</f>
        <v>Yes</v>
      </c>
      <c r="V644">
        <f>SUM(1,(1/3)*(Table13[[#This Row],[Length]]-0.5),(1/3)*(Table13[[#This Row],[Diameter]]-0.4),(1/3)*(Table13[[#This Row],[Height]]-0.4)*Table13[[#This Row],[Whole_weight]]*0.5)</f>
        <v>1.0634833333333333</v>
      </c>
      <c r="W644" cm="1">
        <f t="array" ref="W6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1.0634833333333333</v>
      </c>
      <c r="X644" t="e">
        <f>IF(Table13[[#This Row],[Category All]]="Category 1",Table13[[#This Row],[Base Abalone Value]]*1.5,NA())</f>
        <v>#N/A</v>
      </c>
      <c r="Y644" t="e">
        <f>IF(Table13[[#This Row],[Category All]]="Category 2",Table13[[#This Row],[Base Abalone Value]]*0.8,NA())</f>
        <v>#N/A</v>
      </c>
      <c r="Z644">
        <f>IF(Table13[[#This Row],[Category All]]="Category 3",Table13[[#This Row],[Base Abalone Value]],NA())</f>
        <v>1.0634833333333333</v>
      </c>
      <c r="AA644" s="2">
        <f>IF(Table13[[#This Row],[Gender]]="M",Table13[[#This Row],[Whole_weight]],NA())</f>
        <v>1.5455000000000001</v>
      </c>
      <c r="AB644" s="2" t="e">
        <f>IF(Table13[[#This Row],[Gender]]="F",Table13[[#This Row],[Whole_weight]],NA())</f>
        <v>#N/A</v>
      </c>
      <c r="AC644" s="2" t="e">
        <f>IF(Table13[[#This Row],[Gender]]="I",Table13[[#This Row],[Whole_weight]],NA())</f>
        <v>#N/A</v>
      </c>
      <c r="AD644" s="2">
        <f>IF(Table13[[#This Row],[Gender]]="M",Table13[[#This Row],[Diameter]],NA())</f>
        <v>0.59</v>
      </c>
      <c r="AE644" s="2" t="e">
        <f>IF(Table13[[#This Row],[Gender]]="F",Table13[[#This Row],[Diameter]],NA())</f>
        <v>#N/A</v>
      </c>
      <c r="AF644" s="2" t="e">
        <f>IF(Table13[[#This Row],[Gender]]="I",Table13[[#This Row],[Diameter]],NA())</f>
        <v>#N/A</v>
      </c>
    </row>
    <row r="645" spans="1:32" x14ac:dyDescent="0.2">
      <c r="A645">
        <v>1789</v>
      </c>
      <c r="B645" t="s">
        <v>0</v>
      </c>
      <c r="C645">
        <v>0.54500000000000004</v>
      </c>
      <c r="D645">
        <v>0.41499999999999998</v>
      </c>
      <c r="E645">
        <v>0.2</v>
      </c>
      <c r="F645">
        <v>1.3580000000000001</v>
      </c>
      <c r="G645">
        <v>0.56699999999999995</v>
      </c>
      <c r="H645">
        <v>0.318</v>
      </c>
      <c r="I645">
        <v>0.40300000000000002</v>
      </c>
      <c r="J645">
        <v>10</v>
      </c>
      <c r="K645">
        <v>4</v>
      </c>
      <c r="L645" t="s">
        <v>52</v>
      </c>
      <c r="M645" t="s">
        <v>53</v>
      </c>
      <c r="N645" t="s">
        <v>54</v>
      </c>
      <c r="O645">
        <v>4</v>
      </c>
      <c r="P645" t="s">
        <v>10</v>
      </c>
      <c r="Q645">
        <v>6.1</v>
      </c>
      <c r="R645" t="str" cm="1">
        <f t="array" ref="R6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45" t="e">
        <f>IF(Table13[[#This Row],[Category All]]="Category 1", "Yes",NA())</f>
        <v>#N/A</v>
      </c>
      <c r="T645" t="e">
        <f>IF(Table13[[#This Row],[Category All]]="Category 2", "Yes",NA())</f>
        <v>#N/A</v>
      </c>
      <c r="U645" t="str">
        <f>IF(Table13[[#This Row],[Category All]]="Category 3", "Yes",NA())</f>
        <v>Yes</v>
      </c>
      <c r="V645">
        <f>SUM(1,(1/3)*(Table13[[#This Row],[Length]]-0.5),(1/3)*(Table13[[#This Row],[Diameter]]-0.4),(1/3)*(Table13[[#This Row],[Height]]-0.4)*Table13[[#This Row],[Whole_weight]]*0.5)</f>
        <v>0.97473333333333334</v>
      </c>
      <c r="W645" cm="1">
        <f t="array" ref="W6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0.97473333333333334</v>
      </c>
      <c r="X645" t="e">
        <f>IF(Table13[[#This Row],[Category All]]="Category 1",Table13[[#This Row],[Base Abalone Value]]*1.5,NA())</f>
        <v>#N/A</v>
      </c>
      <c r="Y645" t="e">
        <f>IF(Table13[[#This Row],[Category All]]="Category 2",Table13[[#This Row],[Base Abalone Value]]*0.8,NA())</f>
        <v>#N/A</v>
      </c>
      <c r="Z645">
        <f>IF(Table13[[#This Row],[Category All]]="Category 3",Table13[[#This Row],[Base Abalone Value]],NA())</f>
        <v>0.97473333333333334</v>
      </c>
      <c r="AA645" s="2" t="e">
        <f>IF(Table13[[#This Row],[Gender]]="M",Table13[[#This Row],[Whole_weight]],NA())</f>
        <v>#N/A</v>
      </c>
      <c r="AB645" s="2">
        <f>IF(Table13[[#This Row],[Gender]]="F",Table13[[#This Row],[Whole_weight]],NA())</f>
        <v>1.3580000000000001</v>
      </c>
      <c r="AC645" s="2" t="e">
        <f>IF(Table13[[#This Row],[Gender]]="I",Table13[[#This Row],[Whole_weight]],NA())</f>
        <v>#N/A</v>
      </c>
      <c r="AD645" s="2" t="e">
        <f>IF(Table13[[#This Row],[Gender]]="M",Table13[[#This Row],[Diameter]],NA())</f>
        <v>#N/A</v>
      </c>
      <c r="AE645" s="2">
        <f>IF(Table13[[#This Row],[Gender]]="F",Table13[[#This Row],[Diameter]],NA())</f>
        <v>0.41499999999999998</v>
      </c>
      <c r="AF645" s="2" t="e">
        <f>IF(Table13[[#This Row],[Gender]]="I",Table13[[#This Row],[Diameter]],NA())</f>
        <v>#N/A</v>
      </c>
    </row>
    <row r="646" spans="1:32" x14ac:dyDescent="0.2">
      <c r="A646">
        <v>103</v>
      </c>
      <c r="B646" t="s">
        <v>15</v>
      </c>
      <c r="C646">
        <v>0.53</v>
      </c>
      <c r="D646">
        <v>0.435</v>
      </c>
      <c r="E646">
        <v>0.16</v>
      </c>
      <c r="F646">
        <v>0.88300000000000001</v>
      </c>
      <c r="G646">
        <v>0.316</v>
      </c>
      <c r="H646">
        <v>0.16400000000000001</v>
      </c>
      <c r="I646">
        <v>0.33500000000000002</v>
      </c>
      <c r="J646">
        <v>15</v>
      </c>
      <c r="K646">
        <v>10</v>
      </c>
      <c r="L646" t="s">
        <v>16</v>
      </c>
      <c r="M646" t="s">
        <v>17</v>
      </c>
      <c r="N646" t="s">
        <v>18</v>
      </c>
      <c r="O646">
        <v>3</v>
      </c>
      <c r="P646" t="s">
        <v>48</v>
      </c>
      <c r="Q646">
        <v>3.6</v>
      </c>
      <c r="R646" t="str" cm="1">
        <f t="array" ref="R6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6" t="e">
        <f>IF(Table13[[#This Row],[Category All]]="Category 1", "Yes",NA())</f>
        <v>#N/A</v>
      </c>
      <c r="T646" t="str">
        <f>IF(Table13[[#This Row],[Category All]]="Category 2", "Yes",NA())</f>
        <v>Yes</v>
      </c>
      <c r="U646" t="e">
        <f>IF(Table13[[#This Row],[Category All]]="Category 3", "Yes",NA())</f>
        <v>#N/A</v>
      </c>
      <c r="V646">
        <f>SUM(1,(1/3)*(Table13[[#This Row],[Length]]-0.5),(1/3)*(Table13[[#This Row],[Diameter]]-0.4),(1/3)*(Table13[[#This Row],[Height]]-0.4)*Table13[[#This Row],[Whole_weight]]*0.5)</f>
        <v>0.9863466666666667</v>
      </c>
      <c r="W646" cm="1">
        <f t="array" ref="W6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0.78907733333333341</v>
      </c>
      <c r="X646" t="e">
        <f>IF(Table13[[#This Row],[Category All]]="Category 1",Table13[[#This Row],[Base Abalone Value]]*1.5,NA())</f>
        <v>#N/A</v>
      </c>
      <c r="Y646">
        <f>IF(Table13[[#This Row],[Category All]]="Category 2",Table13[[#This Row],[Base Abalone Value]]*0.8,NA())</f>
        <v>0.78907733333333341</v>
      </c>
      <c r="Z646" t="e">
        <f>IF(Table13[[#This Row],[Category All]]="Category 3",Table13[[#This Row],[Base Abalone Value]],NA())</f>
        <v>#N/A</v>
      </c>
      <c r="AA646" s="2">
        <f>IF(Table13[[#This Row],[Gender]]="M",Table13[[#This Row],[Whole_weight]],NA())</f>
        <v>0.88300000000000001</v>
      </c>
      <c r="AB646" s="2" t="e">
        <f>IF(Table13[[#This Row],[Gender]]="F",Table13[[#This Row],[Whole_weight]],NA())</f>
        <v>#N/A</v>
      </c>
      <c r="AC646" s="2" t="e">
        <f>IF(Table13[[#This Row],[Gender]]="I",Table13[[#This Row],[Whole_weight]],NA())</f>
        <v>#N/A</v>
      </c>
      <c r="AD646" s="2">
        <f>IF(Table13[[#This Row],[Gender]]="M",Table13[[#This Row],[Diameter]],NA())</f>
        <v>0.435</v>
      </c>
      <c r="AE646" s="2" t="e">
        <f>IF(Table13[[#This Row],[Gender]]="F",Table13[[#This Row],[Diameter]],NA())</f>
        <v>#N/A</v>
      </c>
      <c r="AF646" s="2" t="e">
        <f>IF(Table13[[#This Row],[Gender]]="I",Table13[[#This Row],[Diameter]],NA())</f>
        <v>#N/A</v>
      </c>
    </row>
    <row r="647" spans="1:32" x14ac:dyDescent="0.2">
      <c r="A647">
        <v>567</v>
      </c>
      <c r="B647" t="s">
        <v>11</v>
      </c>
      <c r="C647">
        <v>0.48499999999999999</v>
      </c>
      <c r="D647">
        <v>0.35499999999999998</v>
      </c>
      <c r="E647">
        <v>0.13</v>
      </c>
      <c r="F647">
        <v>0.58099999999999996</v>
      </c>
      <c r="G647">
        <v>0.245</v>
      </c>
      <c r="H647">
        <v>0.13200000000000001</v>
      </c>
      <c r="I647">
        <v>0.16800000000000001</v>
      </c>
      <c r="J647">
        <v>12</v>
      </c>
      <c r="K647">
        <v>1</v>
      </c>
      <c r="L647" t="s">
        <v>8</v>
      </c>
      <c r="M647" t="s">
        <v>9</v>
      </c>
      <c r="N647" t="s">
        <v>3</v>
      </c>
      <c r="O647">
        <v>5</v>
      </c>
      <c r="P647" t="s">
        <v>14</v>
      </c>
      <c r="Q647">
        <v>12.8</v>
      </c>
      <c r="R647" t="str" cm="1">
        <f t="array" ref="R6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7" t="e">
        <f>IF(Table13[[#This Row],[Category All]]="Category 1", "Yes",NA())</f>
        <v>#N/A</v>
      </c>
      <c r="T647" t="str">
        <f>IF(Table13[[#This Row],[Category All]]="Category 2", "Yes",NA())</f>
        <v>Yes</v>
      </c>
      <c r="U647" t="e">
        <f>IF(Table13[[#This Row],[Category All]]="Category 3", "Yes",NA())</f>
        <v>#N/A</v>
      </c>
      <c r="V647">
        <f>SUM(1,(1/3)*(Table13[[#This Row],[Length]]-0.5),(1/3)*(Table13[[#This Row],[Diameter]]-0.4),(1/3)*(Table13[[#This Row],[Height]]-0.4)*Table13[[#This Row],[Whole_weight]]*0.5)</f>
        <v>0.95385500000000001</v>
      </c>
      <c r="W647" cm="1">
        <f t="array" ref="W6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0.7630840000000001</v>
      </c>
      <c r="X647" t="e">
        <f>IF(Table13[[#This Row],[Category All]]="Category 1",Table13[[#This Row],[Base Abalone Value]]*1.5,NA())</f>
        <v>#N/A</v>
      </c>
      <c r="Y647">
        <f>IF(Table13[[#This Row],[Category All]]="Category 2",Table13[[#This Row],[Base Abalone Value]]*0.8,NA())</f>
        <v>0.7630840000000001</v>
      </c>
      <c r="Z647" t="e">
        <f>IF(Table13[[#This Row],[Category All]]="Category 3",Table13[[#This Row],[Base Abalone Value]],NA())</f>
        <v>#N/A</v>
      </c>
      <c r="AA647" s="2" t="e">
        <f>IF(Table13[[#This Row],[Gender]]="M",Table13[[#This Row],[Whole_weight]],NA())</f>
        <v>#N/A</v>
      </c>
      <c r="AB647" s="2" t="e">
        <f>IF(Table13[[#This Row],[Gender]]="F",Table13[[#This Row],[Whole_weight]],NA())</f>
        <v>#N/A</v>
      </c>
      <c r="AC647" s="2">
        <f>IF(Table13[[#This Row],[Gender]]="I",Table13[[#This Row],[Whole_weight]],NA())</f>
        <v>0.58099999999999996</v>
      </c>
      <c r="AD647" s="2" t="e">
        <f>IF(Table13[[#This Row],[Gender]]="M",Table13[[#This Row],[Diameter]],NA())</f>
        <v>#N/A</v>
      </c>
      <c r="AE647" s="2" t="e">
        <f>IF(Table13[[#This Row],[Gender]]="F",Table13[[#This Row],[Diameter]],NA())</f>
        <v>#N/A</v>
      </c>
      <c r="AF647" s="2">
        <f>IF(Table13[[#This Row],[Gender]]="I",Table13[[#This Row],[Diameter]],NA())</f>
        <v>0.35499999999999998</v>
      </c>
    </row>
    <row r="648" spans="1:32" x14ac:dyDescent="0.2">
      <c r="A648">
        <v>3440</v>
      </c>
      <c r="B648" t="s">
        <v>11</v>
      </c>
      <c r="C648">
        <v>0.44</v>
      </c>
      <c r="D648">
        <v>0.35</v>
      </c>
      <c r="E648">
        <v>0.125</v>
      </c>
      <c r="F648">
        <v>0.45600000000000002</v>
      </c>
      <c r="G648">
        <v>0.21</v>
      </c>
      <c r="H648">
        <v>9.5500000000000002E-2</v>
      </c>
      <c r="I648">
        <v>0.13100000000000001</v>
      </c>
      <c r="J648">
        <v>8</v>
      </c>
      <c r="K648">
        <v>4</v>
      </c>
      <c r="L648" t="s">
        <v>52</v>
      </c>
      <c r="M648" t="s">
        <v>53</v>
      </c>
      <c r="N648" t="s">
        <v>54</v>
      </c>
      <c r="O648">
        <v>2</v>
      </c>
      <c r="P648" t="s">
        <v>7</v>
      </c>
      <c r="Q648">
        <v>18</v>
      </c>
      <c r="R648" t="str" cm="1">
        <f t="array" ref="R6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8" t="e">
        <f>IF(Table13[[#This Row],[Category All]]="Category 1", "Yes",NA())</f>
        <v>#N/A</v>
      </c>
      <c r="T648" t="str">
        <f>IF(Table13[[#This Row],[Category All]]="Category 2", "Yes",NA())</f>
        <v>Yes</v>
      </c>
      <c r="U648" t="e">
        <f>IF(Table13[[#This Row],[Category All]]="Category 3", "Yes",NA())</f>
        <v>#N/A</v>
      </c>
      <c r="V648">
        <f>SUM(1,(1/3)*(Table13[[#This Row],[Length]]-0.5),(1/3)*(Table13[[#This Row],[Diameter]]-0.4),(1/3)*(Table13[[#This Row],[Height]]-0.4)*Table13[[#This Row],[Whole_weight]]*0.5)</f>
        <v>0.94243333333333323</v>
      </c>
      <c r="W648" cm="1">
        <f t="array" ref="W6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0.75394666666666665</v>
      </c>
      <c r="X648" t="e">
        <f>IF(Table13[[#This Row],[Category All]]="Category 1",Table13[[#This Row],[Base Abalone Value]]*1.5,NA())</f>
        <v>#N/A</v>
      </c>
      <c r="Y648">
        <f>IF(Table13[[#This Row],[Category All]]="Category 2",Table13[[#This Row],[Base Abalone Value]]*0.8,NA())</f>
        <v>0.75394666666666665</v>
      </c>
      <c r="Z648" t="e">
        <f>IF(Table13[[#This Row],[Category All]]="Category 3",Table13[[#This Row],[Base Abalone Value]],NA())</f>
        <v>#N/A</v>
      </c>
      <c r="AA648" s="2" t="e">
        <f>IF(Table13[[#This Row],[Gender]]="M",Table13[[#This Row],[Whole_weight]],NA())</f>
        <v>#N/A</v>
      </c>
      <c r="AB648" s="2" t="e">
        <f>IF(Table13[[#This Row],[Gender]]="F",Table13[[#This Row],[Whole_weight]],NA())</f>
        <v>#N/A</v>
      </c>
      <c r="AC648" s="2">
        <f>IF(Table13[[#This Row],[Gender]]="I",Table13[[#This Row],[Whole_weight]],NA())</f>
        <v>0.45600000000000002</v>
      </c>
      <c r="AD648" s="2" t="e">
        <f>IF(Table13[[#This Row],[Gender]]="M",Table13[[#This Row],[Diameter]],NA())</f>
        <v>#N/A</v>
      </c>
      <c r="AE648" s="2" t="e">
        <f>IF(Table13[[#This Row],[Gender]]="F",Table13[[#This Row],[Diameter]],NA())</f>
        <v>#N/A</v>
      </c>
      <c r="AF648" s="2">
        <f>IF(Table13[[#This Row],[Gender]]="I",Table13[[#This Row],[Diameter]],NA())</f>
        <v>0.35</v>
      </c>
    </row>
    <row r="649" spans="1:32" x14ac:dyDescent="0.2">
      <c r="A649">
        <v>3752</v>
      </c>
      <c r="B649" t="s">
        <v>11</v>
      </c>
      <c r="C649">
        <v>0.45</v>
      </c>
      <c r="D649">
        <v>0.33500000000000002</v>
      </c>
      <c r="E649">
        <v>0.115</v>
      </c>
      <c r="F649">
        <v>0.39350000000000002</v>
      </c>
      <c r="G649">
        <v>0.19500000000000001</v>
      </c>
      <c r="H649">
        <v>7.0999999999999994E-2</v>
      </c>
      <c r="I649">
        <v>0.11</v>
      </c>
      <c r="J649">
        <v>7</v>
      </c>
      <c r="K649">
        <v>10</v>
      </c>
      <c r="L649" t="s">
        <v>16</v>
      </c>
      <c r="M649" t="s">
        <v>17</v>
      </c>
      <c r="N649" t="s">
        <v>18</v>
      </c>
      <c r="O649">
        <v>8</v>
      </c>
      <c r="P649" t="s">
        <v>19</v>
      </c>
      <c r="Q649">
        <v>12.3</v>
      </c>
      <c r="R649" t="str" cm="1">
        <f t="array" ref="R6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9" t="e">
        <f>IF(Table13[[#This Row],[Category All]]="Category 1", "Yes",NA())</f>
        <v>#N/A</v>
      </c>
      <c r="T649" t="str">
        <f>IF(Table13[[#This Row],[Category All]]="Category 2", "Yes",NA())</f>
        <v>Yes</v>
      </c>
      <c r="U649" t="e">
        <f>IF(Table13[[#This Row],[Category All]]="Category 3", "Yes",NA())</f>
        <v>#N/A</v>
      </c>
      <c r="V649">
        <f>SUM(1,(1/3)*(Table13[[#This Row],[Length]]-0.5),(1/3)*(Table13[[#This Row],[Diameter]]-0.4),(1/3)*(Table13[[#This Row],[Height]]-0.4)*Table13[[#This Row],[Whole_weight]]*0.5)</f>
        <v>0.94297541666666662</v>
      </c>
      <c r="W649" cm="1">
        <f t="array" ref="W6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0.75438033333333332</v>
      </c>
      <c r="X649" t="e">
        <f>IF(Table13[[#This Row],[Category All]]="Category 1",Table13[[#This Row],[Base Abalone Value]]*1.5,NA())</f>
        <v>#N/A</v>
      </c>
      <c r="Y649">
        <f>IF(Table13[[#This Row],[Category All]]="Category 2",Table13[[#This Row],[Base Abalone Value]]*0.8,NA())</f>
        <v>0.75438033333333332</v>
      </c>
      <c r="Z649" t="e">
        <f>IF(Table13[[#This Row],[Category All]]="Category 3",Table13[[#This Row],[Base Abalone Value]],NA())</f>
        <v>#N/A</v>
      </c>
      <c r="AA649" s="2" t="e">
        <f>IF(Table13[[#This Row],[Gender]]="M",Table13[[#This Row],[Whole_weight]],NA())</f>
        <v>#N/A</v>
      </c>
      <c r="AB649" s="2" t="e">
        <f>IF(Table13[[#This Row],[Gender]]="F",Table13[[#This Row],[Whole_weight]],NA())</f>
        <v>#N/A</v>
      </c>
      <c r="AC649" s="2">
        <f>IF(Table13[[#This Row],[Gender]]="I",Table13[[#This Row],[Whole_weight]],NA())</f>
        <v>0.39350000000000002</v>
      </c>
      <c r="AD649" s="2" t="e">
        <f>IF(Table13[[#This Row],[Gender]]="M",Table13[[#This Row],[Diameter]],NA())</f>
        <v>#N/A</v>
      </c>
      <c r="AE649" s="2" t="e">
        <f>IF(Table13[[#This Row],[Gender]]="F",Table13[[#This Row],[Diameter]],NA())</f>
        <v>#N/A</v>
      </c>
      <c r="AF649" s="2">
        <f>IF(Table13[[#This Row],[Gender]]="I",Table13[[#This Row],[Diameter]],NA())</f>
        <v>0.33500000000000002</v>
      </c>
    </row>
    <row r="650" spans="1:32" x14ac:dyDescent="0.2">
      <c r="A650">
        <v>3289</v>
      </c>
      <c r="B650" t="s">
        <v>0</v>
      </c>
      <c r="C650">
        <v>0.60499999999999998</v>
      </c>
      <c r="D650">
        <v>0.47499999999999998</v>
      </c>
      <c r="E650">
        <v>0.14499999999999999</v>
      </c>
      <c r="F650">
        <v>1.0185</v>
      </c>
      <c r="G650">
        <v>0.46949999999999997</v>
      </c>
      <c r="H650">
        <v>0.22500000000000001</v>
      </c>
      <c r="I650">
        <v>0.27</v>
      </c>
      <c r="J650">
        <v>15</v>
      </c>
      <c r="K650">
        <v>10</v>
      </c>
      <c r="L650" t="s">
        <v>16</v>
      </c>
      <c r="M650" t="s">
        <v>17</v>
      </c>
      <c r="N650" t="s">
        <v>18</v>
      </c>
      <c r="O650">
        <v>7</v>
      </c>
      <c r="P650" t="s">
        <v>42</v>
      </c>
      <c r="Q650">
        <v>2.5</v>
      </c>
      <c r="R650" t="str" cm="1">
        <f t="array" ref="R6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50" t="e">
        <f>IF(Table13[[#This Row],[Category All]]="Category 1", "Yes",NA())</f>
        <v>#N/A</v>
      </c>
      <c r="T650" t="e">
        <f>IF(Table13[[#This Row],[Category All]]="Category 2", "Yes",NA())</f>
        <v>#N/A</v>
      </c>
      <c r="U650" t="str">
        <f>IF(Table13[[#This Row],[Category All]]="Category 3", "Yes",NA())</f>
        <v>Yes</v>
      </c>
      <c r="V650">
        <f>SUM(1,(1/3)*(Table13[[#This Row],[Length]]-0.5),(1/3)*(Table13[[#This Row],[Diameter]]-0.4),(1/3)*(Table13[[#This Row],[Height]]-0.4)*Table13[[#This Row],[Whole_weight]]*0.5)</f>
        <v>1.0167137499999999</v>
      </c>
      <c r="W650" cm="1">
        <f t="array" ref="W6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1.0167137499999999</v>
      </c>
      <c r="X650" t="e">
        <f>IF(Table13[[#This Row],[Category All]]="Category 1",Table13[[#This Row],[Base Abalone Value]]*1.5,NA())</f>
        <v>#N/A</v>
      </c>
      <c r="Y650" t="e">
        <f>IF(Table13[[#This Row],[Category All]]="Category 2",Table13[[#This Row],[Base Abalone Value]]*0.8,NA())</f>
        <v>#N/A</v>
      </c>
      <c r="Z650">
        <f>IF(Table13[[#This Row],[Category All]]="Category 3",Table13[[#This Row],[Base Abalone Value]],NA())</f>
        <v>1.0167137499999999</v>
      </c>
      <c r="AA650" s="2" t="e">
        <f>IF(Table13[[#This Row],[Gender]]="M",Table13[[#This Row],[Whole_weight]],NA())</f>
        <v>#N/A</v>
      </c>
      <c r="AB650" s="2">
        <f>IF(Table13[[#This Row],[Gender]]="F",Table13[[#This Row],[Whole_weight]],NA())</f>
        <v>1.0185</v>
      </c>
      <c r="AC650" s="2" t="e">
        <f>IF(Table13[[#This Row],[Gender]]="I",Table13[[#This Row],[Whole_weight]],NA())</f>
        <v>#N/A</v>
      </c>
      <c r="AD650" s="2" t="e">
        <f>IF(Table13[[#This Row],[Gender]]="M",Table13[[#This Row],[Diameter]],NA())</f>
        <v>#N/A</v>
      </c>
      <c r="AE650" s="2">
        <f>IF(Table13[[#This Row],[Gender]]="F",Table13[[#This Row],[Diameter]],NA())</f>
        <v>0.47499999999999998</v>
      </c>
      <c r="AF650" s="2" t="e">
        <f>IF(Table13[[#This Row],[Gender]]="I",Table13[[#This Row],[Diameter]],NA())</f>
        <v>#N/A</v>
      </c>
    </row>
    <row r="651" spans="1:32" x14ac:dyDescent="0.2">
      <c r="A651">
        <v>180</v>
      </c>
      <c r="B651" t="s">
        <v>15</v>
      </c>
      <c r="C651">
        <v>0.57999999999999996</v>
      </c>
      <c r="D651">
        <v>0.47499999999999998</v>
      </c>
      <c r="E651">
        <v>0.15</v>
      </c>
      <c r="F651">
        <v>0.97</v>
      </c>
      <c r="G651">
        <v>0.38500000000000001</v>
      </c>
      <c r="H651">
        <v>0.2165</v>
      </c>
      <c r="I651">
        <v>0.35</v>
      </c>
      <c r="J651">
        <v>11</v>
      </c>
      <c r="K651">
        <v>12</v>
      </c>
      <c r="L651" t="s">
        <v>1</v>
      </c>
      <c r="M651" t="s">
        <v>2</v>
      </c>
      <c r="N651" t="s">
        <v>3</v>
      </c>
      <c r="O651">
        <v>4</v>
      </c>
      <c r="P651" t="s">
        <v>10</v>
      </c>
      <c r="Q651">
        <v>6.1</v>
      </c>
      <c r="R651" t="str" cm="1">
        <f t="array" ref="R6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51" t="e">
        <f>IF(Table13[[#This Row],[Category All]]="Category 1", "Yes",NA())</f>
        <v>#N/A</v>
      </c>
      <c r="T651" t="str">
        <f>IF(Table13[[#This Row],[Category All]]="Category 2", "Yes",NA())</f>
        <v>Yes</v>
      </c>
      <c r="U651" t="e">
        <f>IF(Table13[[#This Row],[Category All]]="Category 3", "Yes",NA())</f>
        <v>#N/A</v>
      </c>
      <c r="V651">
        <f>SUM(1,(1/3)*(Table13[[#This Row],[Length]]-0.5),(1/3)*(Table13[[#This Row],[Diameter]]-0.4),(1/3)*(Table13[[#This Row],[Height]]-0.4)*Table13[[#This Row],[Whole_weight]]*0.5)</f>
        <v>1.0112499999999998</v>
      </c>
      <c r="W651" cm="1">
        <f t="array" ref="W6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0.80899999999999983</v>
      </c>
      <c r="X651" t="e">
        <f>IF(Table13[[#This Row],[Category All]]="Category 1",Table13[[#This Row],[Base Abalone Value]]*1.5,NA())</f>
        <v>#N/A</v>
      </c>
      <c r="Y651">
        <f>IF(Table13[[#This Row],[Category All]]="Category 2",Table13[[#This Row],[Base Abalone Value]]*0.8,NA())</f>
        <v>0.80899999999999983</v>
      </c>
      <c r="Z651" t="e">
        <f>IF(Table13[[#This Row],[Category All]]="Category 3",Table13[[#This Row],[Base Abalone Value]],NA())</f>
        <v>#N/A</v>
      </c>
      <c r="AA651" s="2">
        <f>IF(Table13[[#This Row],[Gender]]="M",Table13[[#This Row],[Whole_weight]],NA())</f>
        <v>0.97</v>
      </c>
      <c r="AB651" s="2" t="e">
        <f>IF(Table13[[#This Row],[Gender]]="F",Table13[[#This Row],[Whole_weight]],NA())</f>
        <v>#N/A</v>
      </c>
      <c r="AC651" s="2" t="e">
        <f>IF(Table13[[#This Row],[Gender]]="I",Table13[[#This Row],[Whole_weight]],NA())</f>
        <v>#N/A</v>
      </c>
      <c r="AD651" s="2">
        <f>IF(Table13[[#This Row],[Gender]]="M",Table13[[#This Row],[Diameter]],NA())</f>
        <v>0.47499999999999998</v>
      </c>
      <c r="AE651" s="2" t="e">
        <f>IF(Table13[[#This Row],[Gender]]="F",Table13[[#This Row],[Diameter]],NA())</f>
        <v>#N/A</v>
      </c>
      <c r="AF651" s="2" t="e">
        <f>IF(Table13[[#This Row],[Gender]]="I",Table13[[#This Row],[Diameter]],NA())</f>
        <v>#N/A</v>
      </c>
    </row>
    <row r="652" spans="1:32" x14ac:dyDescent="0.2">
      <c r="A652">
        <v>3341</v>
      </c>
      <c r="B652" t="s">
        <v>11</v>
      </c>
      <c r="C652">
        <v>0.54</v>
      </c>
      <c r="D652">
        <v>0.435</v>
      </c>
      <c r="E652">
        <v>0.14499999999999999</v>
      </c>
      <c r="F652">
        <v>0.97</v>
      </c>
      <c r="G652">
        <v>0.42849999999999999</v>
      </c>
      <c r="H652">
        <v>0.22</v>
      </c>
      <c r="I652">
        <v>0.26400000000000001</v>
      </c>
      <c r="J652">
        <v>17</v>
      </c>
      <c r="K652">
        <v>1</v>
      </c>
      <c r="L652" t="s">
        <v>8</v>
      </c>
      <c r="M652" t="s">
        <v>9</v>
      </c>
      <c r="N652" t="s">
        <v>3</v>
      </c>
      <c r="O652">
        <v>7</v>
      </c>
      <c r="P652" t="s">
        <v>42</v>
      </c>
      <c r="Q652">
        <v>2.5</v>
      </c>
      <c r="R652" t="str" cm="1">
        <f t="array" ref="R6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652" t="str">
        <f>IF(Table13[[#This Row],[Category All]]="Category 1", "Yes",NA())</f>
        <v>Yes</v>
      </c>
      <c r="T652" t="e">
        <f>IF(Table13[[#This Row],[Category All]]="Category 2", "Yes",NA())</f>
        <v>#N/A</v>
      </c>
      <c r="U652" t="e">
        <f>IF(Table13[[#This Row],[Category All]]="Category 3", "Yes",NA())</f>
        <v>#N/A</v>
      </c>
      <c r="V652">
        <f>SUM(1,(1/3)*(Table13[[#This Row],[Length]]-0.5),(1/3)*(Table13[[#This Row],[Diameter]]-0.4),(1/3)*(Table13[[#This Row],[Height]]-0.4)*Table13[[#This Row],[Whole_weight]]*0.5)</f>
        <v>0.98377500000000018</v>
      </c>
      <c r="W652" cm="1">
        <f t="array" ref="W6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1.4756625000000003</v>
      </c>
      <c r="X652">
        <f>IF(Table13[[#This Row],[Category All]]="Category 1",Table13[[#This Row],[Base Abalone Value]]*1.5,NA())</f>
        <v>1.4756625000000003</v>
      </c>
      <c r="Y652" t="e">
        <f>IF(Table13[[#This Row],[Category All]]="Category 2",Table13[[#This Row],[Base Abalone Value]]*0.8,NA())</f>
        <v>#N/A</v>
      </c>
      <c r="Z652" t="e">
        <f>IF(Table13[[#This Row],[Category All]]="Category 3",Table13[[#This Row],[Base Abalone Value]],NA())</f>
        <v>#N/A</v>
      </c>
      <c r="AA652" s="2" t="e">
        <f>IF(Table13[[#This Row],[Gender]]="M",Table13[[#This Row],[Whole_weight]],NA())</f>
        <v>#N/A</v>
      </c>
      <c r="AB652" s="2" t="e">
        <f>IF(Table13[[#This Row],[Gender]]="F",Table13[[#This Row],[Whole_weight]],NA())</f>
        <v>#N/A</v>
      </c>
      <c r="AC652" s="2">
        <f>IF(Table13[[#This Row],[Gender]]="I",Table13[[#This Row],[Whole_weight]],NA())</f>
        <v>0.97</v>
      </c>
      <c r="AD652" s="2" t="e">
        <f>IF(Table13[[#This Row],[Gender]]="M",Table13[[#This Row],[Diameter]],NA())</f>
        <v>#N/A</v>
      </c>
      <c r="AE652" s="2" t="e">
        <f>IF(Table13[[#This Row],[Gender]]="F",Table13[[#This Row],[Diameter]],NA())</f>
        <v>#N/A</v>
      </c>
      <c r="AF652" s="2">
        <f>IF(Table13[[#This Row],[Gender]]="I",Table13[[#This Row],[Diameter]],NA())</f>
        <v>0.435</v>
      </c>
    </row>
    <row r="653" spans="1:32" x14ac:dyDescent="0.2">
      <c r="A653">
        <v>2700</v>
      </c>
      <c r="B653" t="s">
        <v>15</v>
      </c>
      <c r="C653">
        <v>0.67</v>
      </c>
      <c r="D653">
        <v>0.5</v>
      </c>
      <c r="E653">
        <v>0.2</v>
      </c>
      <c r="F653">
        <v>1.2689999999999999</v>
      </c>
      <c r="G653">
        <v>0.57599999999999996</v>
      </c>
      <c r="H653">
        <v>0.29849999999999999</v>
      </c>
      <c r="I653">
        <v>0.35099999999999998</v>
      </c>
      <c r="J653">
        <v>11</v>
      </c>
      <c r="K653">
        <v>13</v>
      </c>
      <c r="L653" t="s">
        <v>12</v>
      </c>
      <c r="M653" t="s">
        <v>13</v>
      </c>
      <c r="N653" t="s">
        <v>3</v>
      </c>
      <c r="O653">
        <v>6</v>
      </c>
      <c r="P653" t="s">
        <v>47</v>
      </c>
      <c r="Q653">
        <v>14.1</v>
      </c>
      <c r="R653" t="str" cm="1">
        <f t="array" ref="R6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53" t="e">
        <f>IF(Table13[[#This Row],[Category All]]="Category 1", "Yes",NA())</f>
        <v>#N/A</v>
      </c>
      <c r="T653" t="e">
        <f>IF(Table13[[#This Row],[Category All]]="Category 2", "Yes",NA())</f>
        <v>#N/A</v>
      </c>
      <c r="U653" t="str">
        <f>IF(Table13[[#This Row],[Category All]]="Category 3", "Yes",NA())</f>
        <v>Yes</v>
      </c>
      <c r="V653">
        <f>SUM(1,(1/3)*(Table13[[#This Row],[Length]]-0.5),(1/3)*(Table13[[#This Row],[Diameter]]-0.4),(1/3)*(Table13[[#This Row],[Height]]-0.4)*Table13[[#This Row],[Whole_weight]]*0.5)</f>
        <v>1.0476999999999999</v>
      </c>
      <c r="W653" cm="1">
        <f t="array" ref="W6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1.0476999999999999</v>
      </c>
      <c r="X653" t="e">
        <f>IF(Table13[[#This Row],[Category All]]="Category 1",Table13[[#This Row],[Base Abalone Value]]*1.5,NA())</f>
        <v>#N/A</v>
      </c>
      <c r="Y653" t="e">
        <f>IF(Table13[[#This Row],[Category All]]="Category 2",Table13[[#This Row],[Base Abalone Value]]*0.8,NA())</f>
        <v>#N/A</v>
      </c>
      <c r="Z653">
        <f>IF(Table13[[#This Row],[Category All]]="Category 3",Table13[[#This Row],[Base Abalone Value]],NA())</f>
        <v>1.0476999999999999</v>
      </c>
      <c r="AA653" s="2">
        <f>IF(Table13[[#This Row],[Gender]]="M",Table13[[#This Row],[Whole_weight]],NA())</f>
        <v>1.2689999999999999</v>
      </c>
      <c r="AB653" s="2" t="e">
        <f>IF(Table13[[#This Row],[Gender]]="F",Table13[[#This Row],[Whole_weight]],NA())</f>
        <v>#N/A</v>
      </c>
      <c r="AC653" s="2" t="e">
        <f>IF(Table13[[#This Row],[Gender]]="I",Table13[[#This Row],[Whole_weight]],NA())</f>
        <v>#N/A</v>
      </c>
      <c r="AD653" s="2">
        <f>IF(Table13[[#This Row],[Gender]]="M",Table13[[#This Row],[Diameter]],NA())</f>
        <v>0.5</v>
      </c>
      <c r="AE653" s="2" t="e">
        <f>IF(Table13[[#This Row],[Gender]]="F",Table13[[#This Row],[Diameter]],NA())</f>
        <v>#N/A</v>
      </c>
      <c r="AF653" s="2" t="e">
        <f>IF(Table13[[#This Row],[Gender]]="I",Table13[[#This Row],[Diameter]],NA())</f>
        <v>#N/A</v>
      </c>
    </row>
    <row r="654" spans="1:32" x14ac:dyDescent="0.2">
      <c r="A654">
        <v>3452</v>
      </c>
      <c r="B654" t="s">
        <v>15</v>
      </c>
      <c r="C654">
        <v>0.55000000000000004</v>
      </c>
      <c r="D654">
        <v>0.44</v>
      </c>
      <c r="E654">
        <v>0.155</v>
      </c>
      <c r="F654">
        <v>0.91549999999999998</v>
      </c>
      <c r="G654">
        <v>0.36449999999999999</v>
      </c>
      <c r="H654">
        <v>0.19500000000000001</v>
      </c>
      <c r="I654">
        <v>0.25</v>
      </c>
      <c r="J654">
        <v>8</v>
      </c>
      <c r="K654">
        <v>5</v>
      </c>
      <c r="L654" t="s">
        <v>26</v>
      </c>
      <c r="M654" t="s">
        <v>27</v>
      </c>
      <c r="N654" t="s">
        <v>28</v>
      </c>
      <c r="O654">
        <v>5</v>
      </c>
      <c r="P654" t="s">
        <v>14</v>
      </c>
      <c r="Q654">
        <v>12.8</v>
      </c>
      <c r="R654" t="str" cm="1">
        <f t="array" ref="R6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54" t="e">
        <f>IF(Table13[[#This Row],[Category All]]="Category 1", "Yes",NA())</f>
        <v>#N/A</v>
      </c>
      <c r="T654" t="str">
        <f>IF(Table13[[#This Row],[Category All]]="Category 2", "Yes",NA())</f>
        <v>Yes</v>
      </c>
      <c r="U654" t="e">
        <f>IF(Table13[[#This Row],[Category All]]="Category 3", "Yes",NA())</f>
        <v>#N/A</v>
      </c>
      <c r="V654">
        <f>SUM(1,(1/3)*(Table13[[#This Row],[Length]]-0.5),(1/3)*(Table13[[#This Row],[Diameter]]-0.4),(1/3)*(Table13[[#This Row],[Height]]-0.4)*Table13[[#This Row],[Whole_weight]]*0.5)</f>
        <v>0.99261708333333332</v>
      </c>
      <c r="W654" cm="1">
        <f t="array" ref="W6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0.7940936666666667</v>
      </c>
      <c r="X654" t="e">
        <f>IF(Table13[[#This Row],[Category All]]="Category 1",Table13[[#This Row],[Base Abalone Value]]*1.5,NA())</f>
        <v>#N/A</v>
      </c>
      <c r="Y654">
        <f>IF(Table13[[#This Row],[Category All]]="Category 2",Table13[[#This Row],[Base Abalone Value]]*0.8,NA())</f>
        <v>0.7940936666666667</v>
      </c>
      <c r="Z654" t="e">
        <f>IF(Table13[[#This Row],[Category All]]="Category 3",Table13[[#This Row],[Base Abalone Value]],NA())</f>
        <v>#N/A</v>
      </c>
      <c r="AA654" s="2">
        <f>IF(Table13[[#This Row],[Gender]]="M",Table13[[#This Row],[Whole_weight]],NA())</f>
        <v>0.91549999999999998</v>
      </c>
      <c r="AB654" s="2" t="e">
        <f>IF(Table13[[#This Row],[Gender]]="F",Table13[[#This Row],[Whole_weight]],NA())</f>
        <v>#N/A</v>
      </c>
      <c r="AC654" s="2" t="e">
        <f>IF(Table13[[#This Row],[Gender]]="I",Table13[[#This Row],[Whole_weight]],NA())</f>
        <v>#N/A</v>
      </c>
      <c r="AD654" s="2">
        <f>IF(Table13[[#This Row],[Gender]]="M",Table13[[#This Row],[Diameter]],NA())</f>
        <v>0.44</v>
      </c>
      <c r="AE654" s="2" t="e">
        <f>IF(Table13[[#This Row],[Gender]]="F",Table13[[#This Row],[Diameter]],NA())</f>
        <v>#N/A</v>
      </c>
      <c r="AF654" s="2" t="e">
        <f>IF(Table13[[#This Row],[Gender]]="I",Table13[[#This Row],[Diameter]],NA())</f>
        <v>#N/A</v>
      </c>
    </row>
    <row r="655" spans="1:32" x14ac:dyDescent="0.2">
      <c r="A655">
        <v>801</v>
      </c>
      <c r="B655" t="s">
        <v>15</v>
      </c>
      <c r="C655">
        <v>0.46</v>
      </c>
      <c r="D655">
        <v>0.34</v>
      </c>
      <c r="E655">
        <v>0.13500000000000001</v>
      </c>
      <c r="F655">
        <v>0.495</v>
      </c>
      <c r="G655">
        <v>0.16550000000000001</v>
      </c>
      <c r="H655">
        <v>0.11700000000000001</v>
      </c>
      <c r="I655">
        <v>0.185</v>
      </c>
      <c r="J655">
        <v>10</v>
      </c>
      <c r="K655">
        <v>12</v>
      </c>
      <c r="L655" t="s">
        <v>1</v>
      </c>
      <c r="M655" t="s">
        <v>2</v>
      </c>
      <c r="N655" t="s">
        <v>3</v>
      </c>
      <c r="O655">
        <v>10</v>
      </c>
      <c r="P655" t="s">
        <v>38</v>
      </c>
      <c r="Q655">
        <v>24.1</v>
      </c>
      <c r="R655" t="str" cm="1">
        <f t="array" ref="R6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55" t="e">
        <f>IF(Table13[[#This Row],[Category All]]="Category 1", "Yes",NA())</f>
        <v>#N/A</v>
      </c>
      <c r="T655" t="str">
        <f>IF(Table13[[#This Row],[Category All]]="Category 2", "Yes",NA())</f>
        <v>Yes</v>
      </c>
      <c r="U655" t="e">
        <f>IF(Table13[[#This Row],[Category All]]="Category 3", "Yes",NA())</f>
        <v>#N/A</v>
      </c>
      <c r="V655">
        <f>SUM(1,(1/3)*(Table13[[#This Row],[Length]]-0.5),(1/3)*(Table13[[#This Row],[Diameter]]-0.4),(1/3)*(Table13[[#This Row],[Height]]-0.4)*Table13[[#This Row],[Whole_weight]]*0.5)</f>
        <v>0.94480416666666667</v>
      </c>
      <c r="W655" cm="1">
        <f t="array" ref="W6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0.75584333333333342</v>
      </c>
      <c r="X655" t="e">
        <f>IF(Table13[[#This Row],[Category All]]="Category 1",Table13[[#This Row],[Base Abalone Value]]*1.5,NA())</f>
        <v>#N/A</v>
      </c>
      <c r="Y655">
        <f>IF(Table13[[#This Row],[Category All]]="Category 2",Table13[[#This Row],[Base Abalone Value]]*0.8,NA())</f>
        <v>0.75584333333333342</v>
      </c>
      <c r="Z655" t="e">
        <f>IF(Table13[[#This Row],[Category All]]="Category 3",Table13[[#This Row],[Base Abalone Value]],NA())</f>
        <v>#N/A</v>
      </c>
      <c r="AA655" s="2">
        <f>IF(Table13[[#This Row],[Gender]]="M",Table13[[#This Row],[Whole_weight]],NA())</f>
        <v>0.495</v>
      </c>
      <c r="AB655" s="2" t="e">
        <f>IF(Table13[[#This Row],[Gender]]="F",Table13[[#This Row],[Whole_weight]],NA())</f>
        <v>#N/A</v>
      </c>
      <c r="AC655" s="2" t="e">
        <f>IF(Table13[[#This Row],[Gender]]="I",Table13[[#This Row],[Whole_weight]],NA())</f>
        <v>#N/A</v>
      </c>
      <c r="AD655" s="2">
        <f>IF(Table13[[#This Row],[Gender]]="M",Table13[[#This Row],[Diameter]],NA())</f>
        <v>0.34</v>
      </c>
      <c r="AE655" s="2" t="e">
        <f>IF(Table13[[#This Row],[Gender]]="F",Table13[[#This Row],[Diameter]],NA())</f>
        <v>#N/A</v>
      </c>
      <c r="AF655" s="2" t="e">
        <f>IF(Table13[[#This Row],[Gender]]="I",Table13[[#This Row],[Diameter]],NA())</f>
        <v>#N/A</v>
      </c>
    </row>
    <row r="656" spans="1:32" x14ac:dyDescent="0.2">
      <c r="A656">
        <v>2788</v>
      </c>
      <c r="B656" t="s">
        <v>0</v>
      </c>
      <c r="C656">
        <v>0.61</v>
      </c>
      <c r="D656">
        <v>0.45</v>
      </c>
      <c r="E656">
        <v>0.13</v>
      </c>
      <c r="F656">
        <v>0.87250000000000005</v>
      </c>
      <c r="G656">
        <v>0.38900000000000001</v>
      </c>
      <c r="H656">
        <v>0.17150000000000001</v>
      </c>
      <c r="I656">
        <v>0.27200000000000002</v>
      </c>
      <c r="J656">
        <v>11</v>
      </c>
      <c r="K656">
        <v>5</v>
      </c>
      <c r="L656" t="s">
        <v>26</v>
      </c>
      <c r="M656" t="s">
        <v>27</v>
      </c>
      <c r="N656" t="s">
        <v>28</v>
      </c>
      <c r="O656">
        <v>5</v>
      </c>
      <c r="P656" t="s">
        <v>14</v>
      </c>
      <c r="Q656">
        <v>12.8</v>
      </c>
      <c r="R656" t="str" cm="1">
        <f t="array" ref="R6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56" t="e">
        <f>IF(Table13[[#This Row],[Category All]]="Category 1", "Yes",NA())</f>
        <v>#N/A</v>
      </c>
      <c r="T656" t="str">
        <f>IF(Table13[[#This Row],[Category All]]="Category 2", "Yes",NA())</f>
        <v>Yes</v>
      </c>
      <c r="U656" t="e">
        <f>IF(Table13[[#This Row],[Category All]]="Category 3", "Yes",NA())</f>
        <v>#N/A</v>
      </c>
      <c r="V656">
        <f>SUM(1,(1/3)*(Table13[[#This Row],[Length]]-0.5),(1/3)*(Table13[[#This Row],[Diameter]]-0.4),(1/3)*(Table13[[#This Row],[Height]]-0.4)*Table13[[#This Row],[Whole_weight]]*0.5)</f>
        <v>1.0140708333333333</v>
      </c>
      <c r="W656" cm="1">
        <f t="array" ref="W6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0.81125666666666663</v>
      </c>
      <c r="X656" t="e">
        <f>IF(Table13[[#This Row],[Category All]]="Category 1",Table13[[#This Row],[Base Abalone Value]]*1.5,NA())</f>
        <v>#N/A</v>
      </c>
      <c r="Y656">
        <f>IF(Table13[[#This Row],[Category All]]="Category 2",Table13[[#This Row],[Base Abalone Value]]*0.8,NA())</f>
        <v>0.81125666666666663</v>
      </c>
      <c r="Z656" t="e">
        <f>IF(Table13[[#This Row],[Category All]]="Category 3",Table13[[#This Row],[Base Abalone Value]],NA())</f>
        <v>#N/A</v>
      </c>
      <c r="AA656" s="2" t="e">
        <f>IF(Table13[[#This Row],[Gender]]="M",Table13[[#This Row],[Whole_weight]],NA())</f>
        <v>#N/A</v>
      </c>
      <c r="AB656" s="2">
        <f>IF(Table13[[#This Row],[Gender]]="F",Table13[[#This Row],[Whole_weight]],NA())</f>
        <v>0.87250000000000005</v>
      </c>
      <c r="AC656" s="2" t="e">
        <f>IF(Table13[[#This Row],[Gender]]="I",Table13[[#This Row],[Whole_weight]],NA())</f>
        <v>#N/A</v>
      </c>
      <c r="AD656" s="2" t="e">
        <f>IF(Table13[[#This Row],[Gender]]="M",Table13[[#This Row],[Diameter]],NA())</f>
        <v>#N/A</v>
      </c>
      <c r="AE656" s="2">
        <f>IF(Table13[[#This Row],[Gender]]="F",Table13[[#This Row],[Diameter]],NA())</f>
        <v>0.45</v>
      </c>
      <c r="AF656" s="2" t="e">
        <f>IF(Table13[[#This Row],[Gender]]="I",Table13[[#This Row],[Diameter]],NA())</f>
        <v>#N/A</v>
      </c>
    </row>
    <row r="657" spans="1:32" x14ac:dyDescent="0.2">
      <c r="A657">
        <v>307</v>
      </c>
      <c r="B657" t="s">
        <v>11</v>
      </c>
      <c r="C657">
        <v>0.16500000000000001</v>
      </c>
      <c r="D657">
        <v>0.12</v>
      </c>
      <c r="E657">
        <v>0.03</v>
      </c>
      <c r="F657">
        <v>2.1499999999999998E-2</v>
      </c>
      <c r="G657">
        <v>7.0000000000000001E-3</v>
      </c>
      <c r="H657">
        <v>5.0000000000000001E-3</v>
      </c>
      <c r="I657">
        <v>5.0000000000000001E-3</v>
      </c>
      <c r="J657">
        <v>3</v>
      </c>
      <c r="K657">
        <v>11</v>
      </c>
      <c r="L657" t="s">
        <v>5</v>
      </c>
      <c r="M657" t="s">
        <v>6</v>
      </c>
      <c r="N657" t="s">
        <v>3</v>
      </c>
      <c r="O657">
        <v>10</v>
      </c>
      <c r="P657" t="s">
        <v>38</v>
      </c>
      <c r="Q657">
        <v>24.1</v>
      </c>
      <c r="R657" t="str" cm="1">
        <f t="array" ref="R6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57" t="e">
        <f>IF(Table13[[#This Row],[Category All]]="Category 1", "Yes",NA())</f>
        <v>#N/A</v>
      </c>
      <c r="T657" t="str">
        <f>IF(Table13[[#This Row],[Category All]]="Category 2", "Yes",NA())</f>
        <v>Yes</v>
      </c>
      <c r="U657" t="e">
        <f>IF(Table13[[#This Row],[Category All]]="Category 3", "Yes",NA())</f>
        <v>#N/A</v>
      </c>
      <c r="V657">
        <f>SUM(1,(1/3)*(Table13[[#This Row],[Length]]-0.5),(1/3)*(Table13[[#This Row],[Diameter]]-0.4),(1/3)*(Table13[[#This Row],[Height]]-0.4)*Table13[[#This Row],[Whole_weight]]*0.5)</f>
        <v>0.79367416666666657</v>
      </c>
      <c r="W657" cm="1">
        <f t="array" ref="W6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0.6349393333333333</v>
      </c>
      <c r="X657" t="e">
        <f>IF(Table13[[#This Row],[Category All]]="Category 1",Table13[[#This Row],[Base Abalone Value]]*1.5,NA())</f>
        <v>#N/A</v>
      </c>
      <c r="Y657">
        <f>IF(Table13[[#This Row],[Category All]]="Category 2",Table13[[#This Row],[Base Abalone Value]]*0.8,NA())</f>
        <v>0.6349393333333333</v>
      </c>
      <c r="Z657" t="e">
        <f>IF(Table13[[#This Row],[Category All]]="Category 3",Table13[[#This Row],[Base Abalone Value]],NA())</f>
        <v>#N/A</v>
      </c>
      <c r="AA657" s="2" t="e">
        <f>IF(Table13[[#This Row],[Gender]]="M",Table13[[#This Row],[Whole_weight]],NA())</f>
        <v>#N/A</v>
      </c>
      <c r="AB657" s="2" t="e">
        <f>IF(Table13[[#This Row],[Gender]]="F",Table13[[#This Row],[Whole_weight]],NA())</f>
        <v>#N/A</v>
      </c>
      <c r="AC657" s="2">
        <f>IF(Table13[[#This Row],[Gender]]="I",Table13[[#This Row],[Whole_weight]],NA())</f>
        <v>2.1499999999999998E-2</v>
      </c>
      <c r="AD657" s="2" t="e">
        <f>IF(Table13[[#This Row],[Gender]]="M",Table13[[#This Row],[Diameter]],NA())</f>
        <v>#N/A</v>
      </c>
      <c r="AE657" s="2" t="e">
        <f>IF(Table13[[#This Row],[Gender]]="F",Table13[[#This Row],[Diameter]],NA())</f>
        <v>#N/A</v>
      </c>
      <c r="AF657" s="2">
        <f>IF(Table13[[#This Row],[Gender]]="I",Table13[[#This Row],[Diameter]],NA())</f>
        <v>0.12</v>
      </c>
    </row>
    <row r="658" spans="1:32" x14ac:dyDescent="0.2">
      <c r="A658">
        <v>3654</v>
      </c>
      <c r="B658" t="s">
        <v>11</v>
      </c>
      <c r="C658">
        <v>0.53</v>
      </c>
      <c r="D658">
        <v>0.42499999999999999</v>
      </c>
      <c r="E658">
        <v>0.13</v>
      </c>
      <c r="F658">
        <v>0.78100000000000003</v>
      </c>
      <c r="G658">
        <v>0.39050000000000001</v>
      </c>
      <c r="H658">
        <v>0.20050000000000001</v>
      </c>
      <c r="I658">
        <v>0.215</v>
      </c>
      <c r="J658">
        <v>9</v>
      </c>
      <c r="K658">
        <v>3</v>
      </c>
      <c r="L658" t="s">
        <v>43</v>
      </c>
      <c r="M658" t="s">
        <v>44</v>
      </c>
      <c r="N658" t="s">
        <v>45</v>
      </c>
      <c r="O658">
        <v>2</v>
      </c>
      <c r="P658" t="s">
        <v>7</v>
      </c>
      <c r="Q658">
        <v>18</v>
      </c>
      <c r="R658" t="str" cm="1">
        <f t="array" ref="R6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58" t="e">
        <f>IF(Table13[[#This Row],[Category All]]="Category 1", "Yes",NA())</f>
        <v>#N/A</v>
      </c>
      <c r="T658" t="str">
        <f>IF(Table13[[#This Row],[Category All]]="Category 2", "Yes",NA())</f>
        <v>Yes</v>
      </c>
      <c r="U658" t="e">
        <f>IF(Table13[[#This Row],[Category All]]="Category 3", "Yes",NA())</f>
        <v>#N/A</v>
      </c>
      <c r="V658">
        <f>SUM(1,(1/3)*(Table13[[#This Row],[Length]]-0.5),(1/3)*(Table13[[#This Row],[Diameter]]-0.4),(1/3)*(Table13[[#This Row],[Height]]-0.4)*Table13[[#This Row],[Whole_weight]]*0.5)</f>
        <v>0.98318833333333333</v>
      </c>
      <c r="W658" cm="1">
        <f t="array" ref="W6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0.78655066666666673</v>
      </c>
      <c r="X658" t="e">
        <f>IF(Table13[[#This Row],[Category All]]="Category 1",Table13[[#This Row],[Base Abalone Value]]*1.5,NA())</f>
        <v>#N/A</v>
      </c>
      <c r="Y658">
        <f>IF(Table13[[#This Row],[Category All]]="Category 2",Table13[[#This Row],[Base Abalone Value]]*0.8,NA())</f>
        <v>0.78655066666666673</v>
      </c>
      <c r="Z658" t="e">
        <f>IF(Table13[[#This Row],[Category All]]="Category 3",Table13[[#This Row],[Base Abalone Value]],NA())</f>
        <v>#N/A</v>
      </c>
      <c r="AA658" s="2" t="e">
        <f>IF(Table13[[#This Row],[Gender]]="M",Table13[[#This Row],[Whole_weight]],NA())</f>
        <v>#N/A</v>
      </c>
      <c r="AB658" s="2" t="e">
        <f>IF(Table13[[#This Row],[Gender]]="F",Table13[[#This Row],[Whole_weight]],NA())</f>
        <v>#N/A</v>
      </c>
      <c r="AC658" s="2">
        <f>IF(Table13[[#This Row],[Gender]]="I",Table13[[#This Row],[Whole_weight]],NA())</f>
        <v>0.78100000000000003</v>
      </c>
      <c r="AD658" s="2" t="e">
        <f>IF(Table13[[#This Row],[Gender]]="M",Table13[[#This Row],[Diameter]],NA())</f>
        <v>#N/A</v>
      </c>
      <c r="AE658" s="2" t="e">
        <f>IF(Table13[[#This Row],[Gender]]="F",Table13[[#This Row],[Diameter]],NA())</f>
        <v>#N/A</v>
      </c>
      <c r="AF658" s="2">
        <f>IF(Table13[[#This Row],[Gender]]="I",Table13[[#This Row],[Diameter]],NA())</f>
        <v>0.42499999999999999</v>
      </c>
    </row>
    <row r="659" spans="1:32" x14ac:dyDescent="0.2">
      <c r="A659">
        <v>2755</v>
      </c>
      <c r="B659" t="s">
        <v>11</v>
      </c>
      <c r="C659">
        <v>0.52500000000000002</v>
      </c>
      <c r="D659">
        <v>0.38500000000000001</v>
      </c>
      <c r="E659">
        <v>0.13</v>
      </c>
      <c r="F659">
        <v>0.60699999999999998</v>
      </c>
      <c r="G659">
        <v>0.23549999999999999</v>
      </c>
      <c r="H659">
        <v>0.125</v>
      </c>
      <c r="I659">
        <v>0.19500000000000001</v>
      </c>
      <c r="J659">
        <v>8</v>
      </c>
      <c r="K659">
        <v>6</v>
      </c>
      <c r="L659" t="s">
        <v>39</v>
      </c>
      <c r="M659" t="s">
        <v>40</v>
      </c>
      <c r="N659" t="s">
        <v>41</v>
      </c>
      <c r="O659">
        <v>5</v>
      </c>
      <c r="P659" t="s">
        <v>14</v>
      </c>
      <c r="Q659">
        <v>12.8</v>
      </c>
      <c r="R659" t="str" cm="1">
        <f t="array" ref="R6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59" t="e">
        <f>IF(Table13[[#This Row],[Category All]]="Category 1", "Yes",NA())</f>
        <v>#N/A</v>
      </c>
      <c r="T659" t="str">
        <f>IF(Table13[[#This Row],[Category All]]="Category 2", "Yes",NA())</f>
        <v>Yes</v>
      </c>
      <c r="U659" t="e">
        <f>IF(Table13[[#This Row],[Category All]]="Category 3", "Yes",NA())</f>
        <v>#N/A</v>
      </c>
      <c r="V659">
        <f>SUM(1,(1/3)*(Table13[[#This Row],[Length]]-0.5),(1/3)*(Table13[[#This Row],[Diameter]]-0.4),(1/3)*(Table13[[#This Row],[Height]]-0.4)*Table13[[#This Row],[Whole_weight]]*0.5)</f>
        <v>0.97601833333333343</v>
      </c>
      <c r="W659" cm="1">
        <f t="array" ref="W6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0.78081466666666677</v>
      </c>
      <c r="X659" t="e">
        <f>IF(Table13[[#This Row],[Category All]]="Category 1",Table13[[#This Row],[Base Abalone Value]]*1.5,NA())</f>
        <v>#N/A</v>
      </c>
      <c r="Y659">
        <f>IF(Table13[[#This Row],[Category All]]="Category 2",Table13[[#This Row],[Base Abalone Value]]*0.8,NA())</f>
        <v>0.78081466666666677</v>
      </c>
      <c r="Z659" t="e">
        <f>IF(Table13[[#This Row],[Category All]]="Category 3",Table13[[#This Row],[Base Abalone Value]],NA())</f>
        <v>#N/A</v>
      </c>
      <c r="AA659" s="2" t="e">
        <f>IF(Table13[[#This Row],[Gender]]="M",Table13[[#This Row],[Whole_weight]],NA())</f>
        <v>#N/A</v>
      </c>
      <c r="AB659" s="2" t="e">
        <f>IF(Table13[[#This Row],[Gender]]="F",Table13[[#This Row],[Whole_weight]],NA())</f>
        <v>#N/A</v>
      </c>
      <c r="AC659" s="2">
        <f>IF(Table13[[#This Row],[Gender]]="I",Table13[[#This Row],[Whole_weight]],NA())</f>
        <v>0.60699999999999998</v>
      </c>
      <c r="AD659" s="2" t="e">
        <f>IF(Table13[[#This Row],[Gender]]="M",Table13[[#This Row],[Diameter]],NA())</f>
        <v>#N/A</v>
      </c>
      <c r="AE659" s="2" t="e">
        <f>IF(Table13[[#This Row],[Gender]]="F",Table13[[#This Row],[Diameter]],NA())</f>
        <v>#N/A</v>
      </c>
      <c r="AF659" s="2">
        <f>IF(Table13[[#This Row],[Gender]]="I",Table13[[#This Row],[Diameter]],NA())</f>
        <v>0.38500000000000001</v>
      </c>
    </row>
    <row r="660" spans="1:32" x14ac:dyDescent="0.2">
      <c r="A660">
        <v>3426</v>
      </c>
      <c r="B660" t="s">
        <v>0</v>
      </c>
      <c r="C660">
        <v>0.65</v>
      </c>
      <c r="D660">
        <v>0.54500000000000004</v>
      </c>
      <c r="E660">
        <v>0.185</v>
      </c>
      <c r="F660">
        <v>1.5055000000000001</v>
      </c>
      <c r="G660">
        <v>0.65649999999999997</v>
      </c>
      <c r="H660">
        <v>0.34100000000000003</v>
      </c>
      <c r="I660">
        <v>0.43</v>
      </c>
      <c r="J660">
        <v>10</v>
      </c>
      <c r="K660">
        <v>12</v>
      </c>
      <c r="L660" t="s">
        <v>1</v>
      </c>
      <c r="M660" t="s">
        <v>2</v>
      </c>
      <c r="N660" t="s">
        <v>3</v>
      </c>
      <c r="O660">
        <v>2</v>
      </c>
      <c r="P660" t="s">
        <v>7</v>
      </c>
      <c r="Q660">
        <v>18</v>
      </c>
      <c r="R660" t="str" cm="1">
        <f t="array" ref="R6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60" t="e">
        <f>IF(Table13[[#This Row],[Category All]]="Category 1", "Yes",NA())</f>
        <v>#N/A</v>
      </c>
      <c r="T660" t="e">
        <f>IF(Table13[[#This Row],[Category All]]="Category 2", "Yes",NA())</f>
        <v>#N/A</v>
      </c>
      <c r="U660" t="str">
        <f>IF(Table13[[#This Row],[Category All]]="Category 3", "Yes",NA())</f>
        <v>Yes</v>
      </c>
      <c r="V660">
        <f>SUM(1,(1/3)*(Table13[[#This Row],[Length]]-0.5),(1/3)*(Table13[[#This Row],[Diameter]]-0.4),(1/3)*(Table13[[#This Row],[Height]]-0.4)*Table13[[#This Row],[Whole_weight]]*0.5)</f>
        <v>1.0443862500000001</v>
      </c>
      <c r="W660" cm="1">
        <f t="array" ref="W6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1.0443862500000001</v>
      </c>
      <c r="X660" t="e">
        <f>IF(Table13[[#This Row],[Category All]]="Category 1",Table13[[#This Row],[Base Abalone Value]]*1.5,NA())</f>
        <v>#N/A</v>
      </c>
      <c r="Y660" t="e">
        <f>IF(Table13[[#This Row],[Category All]]="Category 2",Table13[[#This Row],[Base Abalone Value]]*0.8,NA())</f>
        <v>#N/A</v>
      </c>
      <c r="Z660">
        <f>IF(Table13[[#This Row],[Category All]]="Category 3",Table13[[#This Row],[Base Abalone Value]],NA())</f>
        <v>1.0443862500000001</v>
      </c>
      <c r="AA660" s="2" t="e">
        <f>IF(Table13[[#This Row],[Gender]]="M",Table13[[#This Row],[Whole_weight]],NA())</f>
        <v>#N/A</v>
      </c>
      <c r="AB660" s="2">
        <f>IF(Table13[[#This Row],[Gender]]="F",Table13[[#This Row],[Whole_weight]],NA())</f>
        <v>1.5055000000000001</v>
      </c>
      <c r="AC660" s="2" t="e">
        <f>IF(Table13[[#This Row],[Gender]]="I",Table13[[#This Row],[Whole_weight]],NA())</f>
        <v>#N/A</v>
      </c>
      <c r="AD660" s="2" t="e">
        <f>IF(Table13[[#This Row],[Gender]]="M",Table13[[#This Row],[Diameter]],NA())</f>
        <v>#N/A</v>
      </c>
      <c r="AE660" s="2">
        <f>IF(Table13[[#This Row],[Gender]]="F",Table13[[#This Row],[Diameter]],NA())</f>
        <v>0.54500000000000004</v>
      </c>
      <c r="AF660" s="2" t="e">
        <f>IF(Table13[[#This Row],[Gender]]="I",Table13[[#This Row],[Diameter]],NA())</f>
        <v>#N/A</v>
      </c>
    </row>
    <row r="661" spans="1:32" x14ac:dyDescent="0.2">
      <c r="A661">
        <v>4094</v>
      </c>
      <c r="B661" t="s">
        <v>15</v>
      </c>
      <c r="C661">
        <v>0.63</v>
      </c>
      <c r="D661">
        <v>0.48499999999999999</v>
      </c>
      <c r="E661">
        <v>0.18</v>
      </c>
      <c r="F661">
        <v>1.2435</v>
      </c>
      <c r="G661">
        <v>0.51749999999999996</v>
      </c>
      <c r="H661">
        <v>0.308</v>
      </c>
      <c r="I661">
        <v>0.37</v>
      </c>
      <c r="J661">
        <v>11</v>
      </c>
      <c r="K661">
        <v>8</v>
      </c>
      <c r="L661" t="s">
        <v>29</v>
      </c>
      <c r="M661" t="s">
        <v>30</v>
      </c>
      <c r="N661" t="s">
        <v>31</v>
      </c>
      <c r="O661">
        <v>10</v>
      </c>
      <c r="P661" t="s">
        <v>38</v>
      </c>
      <c r="Q661">
        <v>24.1</v>
      </c>
      <c r="R661" t="str" cm="1">
        <f t="array" ref="R6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61" t="e">
        <f>IF(Table13[[#This Row],[Category All]]="Category 1", "Yes",NA())</f>
        <v>#N/A</v>
      </c>
      <c r="T661" t="e">
        <f>IF(Table13[[#This Row],[Category All]]="Category 2", "Yes",NA())</f>
        <v>#N/A</v>
      </c>
      <c r="U661" t="str">
        <f>IF(Table13[[#This Row],[Category All]]="Category 3", "Yes",NA())</f>
        <v>Yes</v>
      </c>
      <c r="V661">
        <f>SUM(1,(1/3)*(Table13[[#This Row],[Length]]-0.5),(1/3)*(Table13[[#This Row],[Diameter]]-0.4),(1/3)*(Table13[[#This Row],[Height]]-0.4)*Table13[[#This Row],[Whole_weight]]*0.5)</f>
        <v>1.0260716666666667</v>
      </c>
      <c r="W661" cm="1">
        <f t="array" ref="W6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1.0260716666666667</v>
      </c>
      <c r="X661" t="e">
        <f>IF(Table13[[#This Row],[Category All]]="Category 1",Table13[[#This Row],[Base Abalone Value]]*1.5,NA())</f>
        <v>#N/A</v>
      </c>
      <c r="Y661" t="e">
        <f>IF(Table13[[#This Row],[Category All]]="Category 2",Table13[[#This Row],[Base Abalone Value]]*0.8,NA())</f>
        <v>#N/A</v>
      </c>
      <c r="Z661">
        <f>IF(Table13[[#This Row],[Category All]]="Category 3",Table13[[#This Row],[Base Abalone Value]],NA())</f>
        <v>1.0260716666666667</v>
      </c>
      <c r="AA661" s="2">
        <f>IF(Table13[[#This Row],[Gender]]="M",Table13[[#This Row],[Whole_weight]],NA())</f>
        <v>1.2435</v>
      </c>
      <c r="AB661" s="2" t="e">
        <f>IF(Table13[[#This Row],[Gender]]="F",Table13[[#This Row],[Whole_weight]],NA())</f>
        <v>#N/A</v>
      </c>
      <c r="AC661" s="2" t="e">
        <f>IF(Table13[[#This Row],[Gender]]="I",Table13[[#This Row],[Whole_weight]],NA())</f>
        <v>#N/A</v>
      </c>
      <c r="AD661" s="2">
        <f>IF(Table13[[#This Row],[Gender]]="M",Table13[[#This Row],[Diameter]],NA())</f>
        <v>0.48499999999999999</v>
      </c>
      <c r="AE661" s="2" t="e">
        <f>IF(Table13[[#This Row],[Gender]]="F",Table13[[#This Row],[Diameter]],NA())</f>
        <v>#N/A</v>
      </c>
      <c r="AF661" s="2" t="e">
        <f>IF(Table13[[#This Row],[Gender]]="I",Table13[[#This Row],[Diameter]],NA())</f>
        <v>#N/A</v>
      </c>
    </row>
    <row r="662" spans="1:32" x14ac:dyDescent="0.2">
      <c r="A662">
        <v>2499</v>
      </c>
      <c r="B662" t="s">
        <v>15</v>
      </c>
      <c r="C662">
        <v>0.495</v>
      </c>
      <c r="D662">
        <v>0.4</v>
      </c>
      <c r="E662">
        <v>0.14000000000000001</v>
      </c>
      <c r="F662">
        <v>0.77749999999999997</v>
      </c>
      <c r="G662">
        <v>0.20150000000000001</v>
      </c>
      <c r="H662">
        <v>0.18</v>
      </c>
      <c r="I662">
        <v>0.25</v>
      </c>
      <c r="J662">
        <v>15</v>
      </c>
      <c r="K662">
        <v>4</v>
      </c>
      <c r="L662" t="s">
        <v>52</v>
      </c>
      <c r="M662" t="s">
        <v>53</v>
      </c>
      <c r="N662" t="s">
        <v>54</v>
      </c>
      <c r="O662">
        <v>1</v>
      </c>
      <c r="P662" t="s">
        <v>4</v>
      </c>
      <c r="Q662">
        <v>22.1</v>
      </c>
      <c r="R662" t="str" cm="1">
        <f t="array" ref="R6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2" t="e">
        <f>IF(Table13[[#This Row],[Category All]]="Category 1", "Yes",NA())</f>
        <v>#N/A</v>
      </c>
      <c r="T662" t="str">
        <f>IF(Table13[[#This Row],[Category All]]="Category 2", "Yes",NA())</f>
        <v>Yes</v>
      </c>
      <c r="U662" t="e">
        <f>IF(Table13[[#This Row],[Category All]]="Category 3", "Yes",NA())</f>
        <v>#N/A</v>
      </c>
      <c r="V662">
        <f>SUM(1,(1/3)*(Table13[[#This Row],[Length]]-0.5),(1/3)*(Table13[[#This Row],[Diameter]]-0.4),(1/3)*(Table13[[#This Row],[Height]]-0.4)*Table13[[#This Row],[Whole_weight]]*0.5)</f>
        <v>0.96464166666666662</v>
      </c>
      <c r="W662" cm="1">
        <f t="array" ref="W6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0.77171333333333336</v>
      </c>
      <c r="X662" t="e">
        <f>IF(Table13[[#This Row],[Category All]]="Category 1",Table13[[#This Row],[Base Abalone Value]]*1.5,NA())</f>
        <v>#N/A</v>
      </c>
      <c r="Y662">
        <f>IF(Table13[[#This Row],[Category All]]="Category 2",Table13[[#This Row],[Base Abalone Value]]*0.8,NA())</f>
        <v>0.77171333333333336</v>
      </c>
      <c r="Z662" t="e">
        <f>IF(Table13[[#This Row],[Category All]]="Category 3",Table13[[#This Row],[Base Abalone Value]],NA())</f>
        <v>#N/A</v>
      </c>
      <c r="AA662" s="2">
        <f>IF(Table13[[#This Row],[Gender]]="M",Table13[[#This Row],[Whole_weight]],NA())</f>
        <v>0.77749999999999997</v>
      </c>
      <c r="AB662" s="2" t="e">
        <f>IF(Table13[[#This Row],[Gender]]="F",Table13[[#This Row],[Whole_weight]],NA())</f>
        <v>#N/A</v>
      </c>
      <c r="AC662" s="2" t="e">
        <f>IF(Table13[[#This Row],[Gender]]="I",Table13[[#This Row],[Whole_weight]],NA())</f>
        <v>#N/A</v>
      </c>
      <c r="AD662" s="2">
        <f>IF(Table13[[#This Row],[Gender]]="M",Table13[[#This Row],[Diameter]],NA())</f>
        <v>0.4</v>
      </c>
      <c r="AE662" s="2" t="e">
        <f>IF(Table13[[#This Row],[Gender]]="F",Table13[[#This Row],[Diameter]],NA())</f>
        <v>#N/A</v>
      </c>
      <c r="AF662" s="2" t="e">
        <f>IF(Table13[[#This Row],[Gender]]="I",Table13[[#This Row],[Diameter]],NA())</f>
        <v>#N/A</v>
      </c>
    </row>
    <row r="663" spans="1:32" x14ac:dyDescent="0.2">
      <c r="A663">
        <v>3260</v>
      </c>
      <c r="B663" t="s">
        <v>15</v>
      </c>
      <c r="C663">
        <v>0.64</v>
      </c>
      <c r="D663">
        <v>0.505</v>
      </c>
      <c r="E663">
        <v>0.16500000000000001</v>
      </c>
      <c r="F663">
        <v>1.4435</v>
      </c>
      <c r="G663">
        <v>0.61450000000000005</v>
      </c>
      <c r="H663">
        <v>0.30349999999999999</v>
      </c>
      <c r="I663">
        <v>0.39</v>
      </c>
      <c r="J663">
        <v>18</v>
      </c>
      <c r="K663">
        <v>8</v>
      </c>
      <c r="L663" t="s">
        <v>29</v>
      </c>
      <c r="M663" t="s">
        <v>30</v>
      </c>
      <c r="N663" t="s">
        <v>31</v>
      </c>
      <c r="O663">
        <v>3</v>
      </c>
      <c r="P663" t="s">
        <v>48</v>
      </c>
      <c r="Q663">
        <v>3.6</v>
      </c>
      <c r="R663" t="str" cm="1">
        <f t="array" ref="R6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3" t="e">
        <f>IF(Table13[[#This Row],[Category All]]="Category 1", "Yes",NA())</f>
        <v>#N/A</v>
      </c>
      <c r="T663" t="str">
        <f>IF(Table13[[#This Row],[Category All]]="Category 2", "Yes",NA())</f>
        <v>Yes</v>
      </c>
      <c r="U663" t="e">
        <f>IF(Table13[[#This Row],[Category All]]="Category 3", "Yes",NA())</f>
        <v>#N/A</v>
      </c>
      <c r="V663">
        <f>SUM(1,(1/3)*(Table13[[#This Row],[Length]]-0.5),(1/3)*(Table13[[#This Row],[Diameter]]-0.4),(1/3)*(Table13[[#This Row],[Height]]-0.4)*Table13[[#This Row],[Whole_weight]]*0.5)</f>
        <v>1.0251295833333331</v>
      </c>
      <c r="W663" cm="1">
        <f t="array" ref="W6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0.82010366666666656</v>
      </c>
      <c r="X663" t="e">
        <f>IF(Table13[[#This Row],[Category All]]="Category 1",Table13[[#This Row],[Base Abalone Value]]*1.5,NA())</f>
        <v>#N/A</v>
      </c>
      <c r="Y663">
        <f>IF(Table13[[#This Row],[Category All]]="Category 2",Table13[[#This Row],[Base Abalone Value]]*0.8,NA())</f>
        <v>0.82010366666666656</v>
      </c>
      <c r="Z663" t="e">
        <f>IF(Table13[[#This Row],[Category All]]="Category 3",Table13[[#This Row],[Base Abalone Value]],NA())</f>
        <v>#N/A</v>
      </c>
      <c r="AA663" s="2">
        <f>IF(Table13[[#This Row],[Gender]]="M",Table13[[#This Row],[Whole_weight]],NA())</f>
        <v>1.4435</v>
      </c>
      <c r="AB663" s="2" t="e">
        <f>IF(Table13[[#This Row],[Gender]]="F",Table13[[#This Row],[Whole_weight]],NA())</f>
        <v>#N/A</v>
      </c>
      <c r="AC663" s="2" t="e">
        <f>IF(Table13[[#This Row],[Gender]]="I",Table13[[#This Row],[Whole_weight]],NA())</f>
        <v>#N/A</v>
      </c>
      <c r="AD663" s="2">
        <f>IF(Table13[[#This Row],[Gender]]="M",Table13[[#This Row],[Diameter]],NA())</f>
        <v>0.505</v>
      </c>
      <c r="AE663" s="2" t="e">
        <f>IF(Table13[[#This Row],[Gender]]="F",Table13[[#This Row],[Diameter]],NA())</f>
        <v>#N/A</v>
      </c>
      <c r="AF663" s="2" t="e">
        <f>IF(Table13[[#This Row],[Gender]]="I",Table13[[#This Row],[Diameter]],NA())</f>
        <v>#N/A</v>
      </c>
    </row>
    <row r="664" spans="1:32" x14ac:dyDescent="0.2">
      <c r="A664">
        <v>2220</v>
      </c>
      <c r="B664" t="s">
        <v>0</v>
      </c>
      <c r="C664">
        <v>0.48499999999999999</v>
      </c>
      <c r="D664">
        <v>0.375</v>
      </c>
      <c r="E664">
        <v>0.14499999999999999</v>
      </c>
      <c r="F664">
        <v>0.58850000000000002</v>
      </c>
      <c r="G664">
        <v>0.23849999999999999</v>
      </c>
      <c r="H664">
        <v>0.11550000000000001</v>
      </c>
      <c r="I664">
        <v>0.19</v>
      </c>
      <c r="J664">
        <v>13</v>
      </c>
      <c r="K664">
        <v>14</v>
      </c>
      <c r="L664" t="s">
        <v>23</v>
      </c>
      <c r="M664" t="s">
        <v>24</v>
      </c>
      <c r="N664" t="s">
        <v>25</v>
      </c>
      <c r="O664">
        <v>5</v>
      </c>
      <c r="P664" t="s">
        <v>14</v>
      </c>
      <c r="Q664">
        <v>12.8</v>
      </c>
      <c r="R664" t="str" cm="1">
        <f t="array" ref="R6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4" t="e">
        <f>IF(Table13[[#This Row],[Category All]]="Category 1", "Yes",NA())</f>
        <v>#N/A</v>
      </c>
      <c r="T664" t="str">
        <f>IF(Table13[[#This Row],[Category All]]="Category 2", "Yes",NA())</f>
        <v>Yes</v>
      </c>
      <c r="U664" t="e">
        <f>IF(Table13[[#This Row],[Category All]]="Category 3", "Yes",NA())</f>
        <v>#N/A</v>
      </c>
      <c r="V664">
        <f>SUM(1,(1/3)*(Table13[[#This Row],[Length]]-0.5),(1/3)*(Table13[[#This Row],[Diameter]]-0.4),(1/3)*(Table13[[#This Row],[Height]]-0.4)*Table13[[#This Row],[Whole_weight]]*0.5)</f>
        <v>0.96165541666666665</v>
      </c>
      <c r="W664" cm="1">
        <f t="array" ref="W6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0.76932433333333339</v>
      </c>
      <c r="X664" t="e">
        <f>IF(Table13[[#This Row],[Category All]]="Category 1",Table13[[#This Row],[Base Abalone Value]]*1.5,NA())</f>
        <v>#N/A</v>
      </c>
      <c r="Y664">
        <f>IF(Table13[[#This Row],[Category All]]="Category 2",Table13[[#This Row],[Base Abalone Value]]*0.8,NA())</f>
        <v>0.76932433333333339</v>
      </c>
      <c r="Z664" t="e">
        <f>IF(Table13[[#This Row],[Category All]]="Category 3",Table13[[#This Row],[Base Abalone Value]],NA())</f>
        <v>#N/A</v>
      </c>
      <c r="AA664" s="2" t="e">
        <f>IF(Table13[[#This Row],[Gender]]="M",Table13[[#This Row],[Whole_weight]],NA())</f>
        <v>#N/A</v>
      </c>
      <c r="AB664" s="2">
        <f>IF(Table13[[#This Row],[Gender]]="F",Table13[[#This Row],[Whole_weight]],NA())</f>
        <v>0.58850000000000002</v>
      </c>
      <c r="AC664" s="2" t="e">
        <f>IF(Table13[[#This Row],[Gender]]="I",Table13[[#This Row],[Whole_weight]],NA())</f>
        <v>#N/A</v>
      </c>
      <c r="AD664" s="2" t="e">
        <f>IF(Table13[[#This Row],[Gender]]="M",Table13[[#This Row],[Diameter]],NA())</f>
        <v>#N/A</v>
      </c>
      <c r="AE664" s="2">
        <f>IF(Table13[[#This Row],[Gender]]="F",Table13[[#This Row],[Diameter]],NA())</f>
        <v>0.375</v>
      </c>
      <c r="AF664" s="2" t="e">
        <f>IF(Table13[[#This Row],[Gender]]="I",Table13[[#This Row],[Diameter]],NA())</f>
        <v>#N/A</v>
      </c>
    </row>
    <row r="665" spans="1:32" x14ac:dyDescent="0.2">
      <c r="A665">
        <v>3180</v>
      </c>
      <c r="B665" t="s">
        <v>11</v>
      </c>
      <c r="C665">
        <v>0.27</v>
      </c>
      <c r="D665">
        <v>0.19500000000000001</v>
      </c>
      <c r="E665">
        <v>7.0000000000000007E-2</v>
      </c>
      <c r="F665">
        <v>0.10199999999999999</v>
      </c>
      <c r="G665">
        <v>4.4999999999999998E-2</v>
      </c>
      <c r="H665">
        <v>1.35E-2</v>
      </c>
      <c r="I665">
        <v>3.4000000000000002E-2</v>
      </c>
      <c r="J665">
        <v>8</v>
      </c>
      <c r="K665">
        <v>14</v>
      </c>
      <c r="L665" t="s">
        <v>23</v>
      </c>
      <c r="M665" t="s">
        <v>24</v>
      </c>
      <c r="N665" t="s">
        <v>25</v>
      </c>
      <c r="O665">
        <v>9</v>
      </c>
      <c r="P665" t="s">
        <v>46</v>
      </c>
      <c r="Q665">
        <v>1.9</v>
      </c>
      <c r="R665" t="str" cm="1">
        <f t="array" ref="R6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5" t="e">
        <f>IF(Table13[[#This Row],[Category All]]="Category 1", "Yes",NA())</f>
        <v>#N/A</v>
      </c>
      <c r="T665" t="str">
        <f>IF(Table13[[#This Row],[Category All]]="Category 2", "Yes",NA())</f>
        <v>Yes</v>
      </c>
      <c r="U665" t="e">
        <f>IF(Table13[[#This Row],[Category All]]="Category 3", "Yes",NA())</f>
        <v>#N/A</v>
      </c>
      <c r="V665">
        <f>SUM(1,(1/3)*(Table13[[#This Row],[Length]]-0.5),(1/3)*(Table13[[#This Row],[Diameter]]-0.4),(1/3)*(Table13[[#This Row],[Height]]-0.4)*Table13[[#This Row],[Whole_weight]]*0.5)</f>
        <v>0.84938999999999998</v>
      </c>
      <c r="W665" cm="1">
        <f t="array" ref="W6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0.679512</v>
      </c>
      <c r="X665" t="e">
        <f>IF(Table13[[#This Row],[Category All]]="Category 1",Table13[[#This Row],[Base Abalone Value]]*1.5,NA())</f>
        <v>#N/A</v>
      </c>
      <c r="Y665">
        <f>IF(Table13[[#This Row],[Category All]]="Category 2",Table13[[#This Row],[Base Abalone Value]]*0.8,NA())</f>
        <v>0.679512</v>
      </c>
      <c r="Z665" t="e">
        <f>IF(Table13[[#This Row],[Category All]]="Category 3",Table13[[#This Row],[Base Abalone Value]],NA())</f>
        <v>#N/A</v>
      </c>
      <c r="AA665" s="2" t="e">
        <f>IF(Table13[[#This Row],[Gender]]="M",Table13[[#This Row],[Whole_weight]],NA())</f>
        <v>#N/A</v>
      </c>
      <c r="AB665" s="2" t="e">
        <f>IF(Table13[[#This Row],[Gender]]="F",Table13[[#This Row],[Whole_weight]],NA())</f>
        <v>#N/A</v>
      </c>
      <c r="AC665" s="2">
        <f>IF(Table13[[#This Row],[Gender]]="I",Table13[[#This Row],[Whole_weight]],NA())</f>
        <v>0.10199999999999999</v>
      </c>
      <c r="AD665" s="2" t="e">
        <f>IF(Table13[[#This Row],[Gender]]="M",Table13[[#This Row],[Diameter]],NA())</f>
        <v>#N/A</v>
      </c>
      <c r="AE665" s="2" t="e">
        <f>IF(Table13[[#This Row],[Gender]]="F",Table13[[#This Row],[Diameter]],NA())</f>
        <v>#N/A</v>
      </c>
      <c r="AF665" s="2">
        <f>IF(Table13[[#This Row],[Gender]]="I",Table13[[#This Row],[Diameter]],NA())</f>
        <v>0.19500000000000001</v>
      </c>
    </row>
    <row r="666" spans="1:32" x14ac:dyDescent="0.2">
      <c r="A666">
        <v>3321</v>
      </c>
      <c r="B666" t="s">
        <v>0</v>
      </c>
      <c r="C666">
        <v>0.53500000000000003</v>
      </c>
      <c r="D666">
        <v>0.42499999999999999</v>
      </c>
      <c r="E666">
        <v>0.155</v>
      </c>
      <c r="F666">
        <v>0.77649999999999997</v>
      </c>
      <c r="G666">
        <v>0.30199999999999999</v>
      </c>
      <c r="H666">
        <v>0.1565</v>
      </c>
      <c r="I666">
        <v>0.25</v>
      </c>
      <c r="J666">
        <v>16</v>
      </c>
      <c r="K666">
        <v>7</v>
      </c>
      <c r="L666" t="s">
        <v>35</v>
      </c>
      <c r="M666" t="s">
        <v>36</v>
      </c>
      <c r="N666" t="s">
        <v>37</v>
      </c>
      <c r="O666">
        <v>9</v>
      </c>
      <c r="P666" t="s">
        <v>46</v>
      </c>
      <c r="Q666">
        <v>1.9</v>
      </c>
      <c r="R666" t="str" cm="1">
        <f t="array" ref="R6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6" t="e">
        <f>IF(Table13[[#This Row],[Category All]]="Category 1", "Yes",NA())</f>
        <v>#N/A</v>
      </c>
      <c r="T666" t="str">
        <f>IF(Table13[[#This Row],[Category All]]="Category 2", "Yes",NA())</f>
        <v>Yes</v>
      </c>
      <c r="U666" t="e">
        <f>IF(Table13[[#This Row],[Category All]]="Category 3", "Yes",NA())</f>
        <v>#N/A</v>
      </c>
      <c r="V666">
        <f>SUM(1,(1/3)*(Table13[[#This Row],[Length]]-0.5),(1/3)*(Table13[[#This Row],[Diameter]]-0.4),(1/3)*(Table13[[#This Row],[Height]]-0.4)*Table13[[#This Row],[Whole_weight]]*0.5)</f>
        <v>0.98829291666666674</v>
      </c>
      <c r="W666" cm="1">
        <f t="array" ref="W6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0.79063433333333344</v>
      </c>
      <c r="X666" t="e">
        <f>IF(Table13[[#This Row],[Category All]]="Category 1",Table13[[#This Row],[Base Abalone Value]]*1.5,NA())</f>
        <v>#N/A</v>
      </c>
      <c r="Y666">
        <f>IF(Table13[[#This Row],[Category All]]="Category 2",Table13[[#This Row],[Base Abalone Value]]*0.8,NA())</f>
        <v>0.79063433333333344</v>
      </c>
      <c r="Z666" t="e">
        <f>IF(Table13[[#This Row],[Category All]]="Category 3",Table13[[#This Row],[Base Abalone Value]],NA())</f>
        <v>#N/A</v>
      </c>
      <c r="AA666" s="2" t="e">
        <f>IF(Table13[[#This Row],[Gender]]="M",Table13[[#This Row],[Whole_weight]],NA())</f>
        <v>#N/A</v>
      </c>
      <c r="AB666" s="2">
        <f>IF(Table13[[#This Row],[Gender]]="F",Table13[[#This Row],[Whole_weight]],NA())</f>
        <v>0.77649999999999997</v>
      </c>
      <c r="AC666" s="2" t="e">
        <f>IF(Table13[[#This Row],[Gender]]="I",Table13[[#This Row],[Whole_weight]],NA())</f>
        <v>#N/A</v>
      </c>
      <c r="AD666" s="2" t="e">
        <f>IF(Table13[[#This Row],[Gender]]="M",Table13[[#This Row],[Diameter]],NA())</f>
        <v>#N/A</v>
      </c>
      <c r="AE666" s="2">
        <f>IF(Table13[[#This Row],[Gender]]="F",Table13[[#This Row],[Diameter]],NA())</f>
        <v>0.42499999999999999</v>
      </c>
      <c r="AF666" s="2" t="e">
        <f>IF(Table13[[#This Row],[Gender]]="I",Table13[[#This Row],[Diameter]],NA())</f>
        <v>#N/A</v>
      </c>
    </row>
    <row r="667" spans="1:32" x14ac:dyDescent="0.2">
      <c r="A667">
        <v>1288</v>
      </c>
      <c r="B667" t="s">
        <v>11</v>
      </c>
      <c r="C667">
        <v>0.505</v>
      </c>
      <c r="D667">
        <v>0.40500000000000003</v>
      </c>
      <c r="E667">
        <v>0.13</v>
      </c>
      <c r="F667">
        <v>0.60150000000000003</v>
      </c>
      <c r="G667">
        <v>0.30149999999999999</v>
      </c>
      <c r="H667">
        <v>0.11</v>
      </c>
      <c r="I667">
        <v>0.18</v>
      </c>
      <c r="J667">
        <v>8</v>
      </c>
      <c r="K667">
        <v>4</v>
      </c>
      <c r="L667" t="s">
        <v>52</v>
      </c>
      <c r="M667" t="s">
        <v>53</v>
      </c>
      <c r="N667" t="s">
        <v>54</v>
      </c>
      <c r="O667">
        <v>5</v>
      </c>
      <c r="P667" t="s">
        <v>14</v>
      </c>
      <c r="Q667">
        <v>12.8</v>
      </c>
      <c r="R667" t="str" cm="1">
        <f t="array" ref="R6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7" t="e">
        <f>IF(Table13[[#This Row],[Category All]]="Category 1", "Yes",NA())</f>
        <v>#N/A</v>
      </c>
      <c r="T667" t="str">
        <f>IF(Table13[[#This Row],[Category All]]="Category 2", "Yes",NA())</f>
        <v>Yes</v>
      </c>
      <c r="U667" t="e">
        <f>IF(Table13[[#This Row],[Category All]]="Category 3", "Yes",NA())</f>
        <v>#N/A</v>
      </c>
      <c r="V667">
        <f>SUM(1,(1/3)*(Table13[[#This Row],[Length]]-0.5),(1/3)*(Table13[[#This Row],[Diameter]]-0.4),(1/3)*(Table13[[#This Row],[Height]]-0.4)*Table13[[#This Row],[Whole_weight]]*0.5)</f>
        <v>0.97626583333333339</v>
      </c>
      <c r="W667" cm="1">
        <f t="array" ref="W6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0.7810126666666668</v>
      </c>
      <c r="X667" t="e">
        <f>IF(Table13[[#This Row],[Category All]]="Category 1",Table13[[#This Row],[Base Abalone Value]]*1.5,NA())</f>
        <v>#N/A</v>
      </c>
      <c r="Y667">
        <f>IF(Table13[[#This Row],[Category All]]="Category 2",Table13[[#This Row],[Base Abalone Value]]*0.8,NA())</f>
        <v>0.7810126666666668</v>
      </c>
      <c r="Z667" t="e">
        <f>IF(Table13[[#This Row],[Category All]]="Category 3",Table13[[#This Row],[Base Abalone Value]],NA())</f>
        <v>#N/A</v>
      </c>
      <c r="AA667" s="2" t="e">
        <f>IF(Table13[[#This Row],[Gender]]="M",Table13[[#This Row],[Whole_weight]],NA())</f>
        <v>#N/A</v>
      </c>
      <c r="AB667" s="2" t="e">
        <f>IF(Table13[[#This Row],[Gender]]="F",Table13[[#This Row],[Whole_weight]],NA())</f>
        <v>#N/A</v>
      </c>
      <c r="AC667" s="2">
        <f>IF(Table13[[#This Row],[Gender]]="I",Table13[[#This Row],[Whole_weight]],NA())</f>
        <v>0.60150000000000003</v>
      </c>
      <c r="AD667" s="2" t="e">
        <f>IF(Table13[[#This Row],[Gender]]="M",Table13[[#This Row],[Diameter]],NA())</f>
        <v>#N/A</v>
      </c>
      <c r="AE667" s="2" t="e">
        <f>IF(Table13[[#This Row],[Gender]]="F",Table13[[#This Row],[Diameter]],NA())</f>
        <v>#N/A</v>
      </c>
      <c r="AF667" s="2">
        <f>IF(Table13[[#This Row],[Gender]]="I",Table13[[#This Row],[Diameter]],NA())</f>
        <v>0.40500000000000003</v>
      </c>
    </row>
    <row r="668" spans="1:32" x14ac:dyDescent="0.2">
      <c r="A668">
        <v>2323</v>
      </c>
      <c r="B668" t="s">
        <v>15</v>
      </c>
      <c r="C668">
        <v>0.53</v>
      </c>
      <c r="D668">
        <v>0.435</v>
      </c>
      <c r="E668">
        <v>0.13500000000000001</v>
      </c>
      <c r="F668">
        <v>0.73650000000000004</v>
      </c>
      <c r="G668">
        <v>0.32750000000000001</v>
      </c>
      <c r="H668">
        <v>0.13150000000000001</v>
      </c>
      <c r="I668">
        <v>0.22</v>
      </c>
      <c r="J668">
        <v>12</v>
      </c>
      <c r="K668">
        <v>6</v>
      </c>
      <c r="L668" t="s">
        <v>39</v>
      </c>
      <c r="M668" t="s">
        <v>40</v>
      </c>
      <c r="N668" t="s">
        <v>41</v>
      </c>
      <c r="O668">
        <v>10</v>
      </c>
      <c r="P668" t="s">
        <v>38</v>
      </c>
      <c r="Q668">
        <v>24.1</v>
      </c>
      <c r="R668" t="str" cm="1">
        <f t="array" ref="R6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8" t="e">
        <f>IF(Table13[[#This Row],[Category All]]="Category 1", "Yes",NA())</f>
        <v>#N/A</v>
      </c>
      <c r="T668" t="str">
        <f>IF(Table13[[#This Row],[Category All]]="Category 2", "Yes",NA())</f>
        <v>Yes</v>
      </c>
      <c r="U668" t="e">
        <f>IF(Table13[[#This Row],[Category All]]="Category 3", "Yes",NA())</f>
        <v>#N/A</v>
      </c>
      <c r="V668">
        <f>SUM(1,(1/3)*(Table13[[#This Row],[Length]]-0.5),(1/3)*(Table13[[#This Row],[Diameter]]-0.4),(1/3)*(Table13[[#This Row],[Height]]-0.4)*Table13[[#This Row],[Whole_weight]]*0.5)</f>
        <v>0.98913791666666673</v>
      </c>
      <c r="W668" cm="1">
        <f t="array" ref="W6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0.79131033333333345</v>
      </c>
      <c r="X668" t="e">
        <f>IF(Table13[[#This Row],[Category All]]="Category 1",Table13[[#This Row],[Base Abalone Value]]*1.5,NA())</f>
        <v>#N/A</v>
      </c>
      <c r="Y668">
        <f>IF(Table13[[#This Row],[Category All]]="Category 2",Table13[[#This Row],[Base Abalone Value]]*0.8,NA())</f>
        <v>0.79131033333333345</v>
      </c>
      <c r="Z668" t="e">
        <f>IF(Table13[[#This Row],[Category All]]="Category 3",Table13[[#This Row],[Base Abalone Value]],NA())</f>
        <v>#N/A</v>
      </c>
      <c r="AA668" s="2">
        <f>IF(Table13[[#This Row],[Gender]]="M",Table13[[#This Row],[Whole_weight]],NA())</f>
        <v>0.73650000000000004</v>
      </c>
      <c r="AB668" s="2" t="e">
        <f>IF(Table13[[#This Row],[Gender]]="F",Table13[[#This Row],[Whole_weight]],NA())</f>
        <v>#N/A</v>
      </c>
      <c r="AC668" s="2" t="e">
        <f>IF(Table13[[#This Row],[Gender]]="I",Table13[[#This Row],[Whole_weight]],NA())</f>
        <v>#N/A</v>
      </c>
      <c r="AD668" s="2">
        <f>IF(Table13[[#This Row],[Gender]]="M",Table13[[#This Row],[Diameter]],NA())</f>
        <v>0.435</v>
      </c>
      <c r="AE668" s="2" t="e">
        <f>IF(Table13[[#This Row],[Gender]]="F",Table13[[#This Row],[Diameter]],NA())</f>
        <v>#N/A</v>
      </c>
      <c r="AF668" s="2" t="e">
        <f>IF(Table13[[#This Row],[Gender]]="I",Table13[[#This Row],[Diameter]],NA())</f>
        <v>#N/A</v>
      </c>
    </row>
    <row r="669" spans="1:32" x14ac:dyDescent="0.2">
      <c r="A669">
        <v>3601</v>
      </c>
      <c r="B669" t="s">
        <v>11</v>
      </c>
      <c r="C669">
        <v>0.17499999999999999</v>
      </c>
      <c r="D669">
        <v>0.125</v>
      </c>
      <c r="E669">
        <v>0.04</v>
      </c>
      <c r="F669">
        <v>2.8000000000000001E-2</v>
      </c>
      <c r="G669">
        <v>9.4999999999999998E-3</v>
      </c>
      <c r="H669">
        <v>8.0000000000000002E-3</v>
      </c>
      <c r="I669">
        <v>8.9999999999999993E-3</v>
      </c>
      <c r="J669">
        <v>4</v>
      </c>
      <c r="K669">
        <v>7</v>
      </c>
      <c r="L669" t="s">
        <v>35</v>
      </c>
      <c r="M669" t="s">
        <v>36</v>
      </c>
      <c r="N669" t="s">
        <v>37</v>
      </c>
      <c r="O669">
        <v>2</v>
      </c>
      <c r="P669" t="s">
        <v>7</v>
      </c>
      <c r="Q669">
        <v>18</v>
      </c>
      <c r="R669" t="str" cm="1">
        <f t="array" ref="R6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9" t="e">
        <f>IF(Table13[[#This Row],[Category All]]="Category 1", "Yes",NA())</f>
        <v>#N/A</v>
      </c>
      <c r="T669" t="str">
        <f>IF(Table13[[#This Row],[Category All]]="Category 2", "Yes",NA())</f>
        <v>Yes</v>
      </c>
      <c r="U669" t="e">
        <f>IF(Table13[[#This Row],[Category All]]="Category 3", "Yes",NA())</f>
        <v>#N/A</v>
      </c>
      <c r="V669">
        <f>SUM(1,(1/3)*(Table13[[#This Row],[Length]]-0.5),(1/3)*(Table13[[#This Row],[Diameter]]-0.4),(1/3)*(Table13[[#This Row],[Height]]-0.4)*Table13[[#This Row],[Whole_weight]]*0.5)</f>
        <v>0.79831999999999992</v>
      </c>
      <c r="W669" cm="1">
        <f t="array" ref="W6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0.638656</v>
      </c>
      <c r="X669" t="e">
        <f>IF(Table13[[#This Row],[Category All]]="Category 1",Table13[[#This Row],[Base Abalone Value]]*1.5,NA())</f>
        <v>#N/A</v>
      </c>
      <c r="Y669">
        <f>IF(Table13[[#This Row],[Category All]]="Category 2",Table13[[#This Row],[Base Abalone Value]]*0.8,NA())</f>
        <v>0.638656</v>
      </c>
      <c r="Z669" t="e">
        <f>IF(Table13[[#This Row],[Category All]]="Category 3",Table13[[#This Row],[Base Abalone Value]],NA())</f>
        <v>#N/A</v>
      </c>
      <c r="AA669" s="2" t="e">
        <f>IF(Table13[[#This Row],[Gender]]="M",Table13[[#This Row],[Whole_weight]],NA())</f>
        <v>#N/A</v>
      </c>
      <c r="AB669" s="2" t="e">
        <f>IF(Table13[[#This Row],[Gender]]="F",Table13[[#This Row],[Whole_weight]],NA())</f>
        <v>#N/A</v>
      </c>
      <c r="AC669" s="2">
        <f>IF(Table13[[#This Row],[Gender]]="I",Table13[[#This Row],[Whole_weight]],NA())</f>
        <v>2.8000000000000001E-2</v>
      </c>
      <c r="AD669" s="2" t="e">
        <f>IF(Table13[[#This Row],[Gender]]="M",Table13[[#This Row],[Diameter]],NA())</f>
        <v>#N/A</v>
      </c>
      <c r="AE669" s="2" t="e">
        <f>IF(Table13[[#This Row],[Gender]]="F",Table13[[#This Row],[Diameter]],NA())</f>
        <v>#N/A</v>
      </c>
      <c r="AF669" s="2">
        <f>IF(Table13[[#This Row],[Gender]]="I",Table13[[#This Row],[Diameter]],NA())</f>
        <v>0.125</v>
      </c>
    </row>
    <row r="670" spans="1:32" x14ac:dyDescent="0.2">
      <c r="A670">
        <v>2127</v>
      </c>
      <c r="B670" t="s">
        <v>0</v>
      </c>
      <c r="C670">
        <v>0.5</v>
      </c>
      <c r="D670">
        <v>0.4</v>
      </c>
      <c r="E670">
        <v>0.125</v>
      </c>
      <c r="F670">
        <v>0.57650000000000001</v>
      </c>
      <c r="G670">
        <v>0.23949999999999999</v>
      </c>
      <c r="H670">
        <v>0.126</v>
      </c>
      <c r="I670">
        <v>0.185</v>
      </c>
      <c r="J670">
        <v>10</v>
      </c>
      <c r="K670">
        <v>7</v>
      </c>
      <c r="L670" t="s">
        <v>35</v>
      </c>
      <c r="M670" t="s">
        <v>36</v>
      </c>
      <c r="N670" t="s">
        <v>37</v>
      </c>
      <c r="O670">
        <v>8</v>
      </c>
      <c r="P670" t="s">
        <v>19</v>
      </c>
      <c r="Q670">
        <v>12.3</v>
      </c>
      <c r="R670" t="str" cm="1">
        <f t="array" ref="R6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70" t="e">
        <f>IF(Table13[[#This Row],[Category All]]="Category 1", "Yes",NA())</f>
        <v>#N/A</v>
      </c>
      <c r="T670" t="str">
        <f>IF(Table13[[#This Row],[Category All]]="Category 2", "Yes",NA())</f>
        <v>Yes</v>
      </c>
      <c r="U670" t="e">
        <f>IF(Table13[[#This Row],[Category All]]="Category 3", "Yes",NA())</f>
        <v>#N/A</v>
      </c>
      <c r="V670">
        <f>SUM(1,(1/3)*(Table13[[#This Row],[Length]]-0.5),(1/3)*(Table13[[#This Row],[Diameter]]-0.4),(1/3)*(Table13[[#This Row],[Height]]-0.4)*Table13[[#This Row],[Whole_weight]]*0.5)</f>
        <v>0.97357708333333337</v>
      </c>
      <c r="W670" cm="1">
        <f t="array" ref="W6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0.77886166666666679</v>
      </c>
      <c r="X670" t="e">
        <f>IF(Table13[[#This Row],[Category All]]="Category 1",Table13[[#This Row],[Base Abalone Value]]*1.5,NA())</f>
        <v>#N/A</v>
      </c>
      <c r="Y670">
        <f>IF(Table13[[#This Row],[Category All]]="Category 2",Table13[[#This Row],[Base Abalone Value]]*0.8,NA())</f>
        <v>0.77886166666666679</v>
      </c>
      <c r="Z670" t="e">
        <f>IF(Table13[[#This Row],[Category All]]="Category 3",Table13[[#This Row],[Base Abalone Value]],NA())</f>
        <v>#N/A</v>
      </c>
      <c r="AA670" s="2" t="e">
        <f>IF(Table13[[#This Row],[Gender]]="M",Table13[[#This Row],[Whole_weight]],NA())</f>
        <v>#N/A</v>
      </c>
      <c r="AB670" s="2">
        <f>IF(Table13[[#This Row],[Gender]]="F",Table13[[#This Row],[Whole_weight]],NA())</f>
        <v>0.57650000000000001</v>
      </c>
      <c r="AC670" s="2" t="e">
        <f>IF(Table13[[#This Row],[Gender]]="I",Table13[[#This Row],[Whole_weight]],NA())</f>
        <v>#N/A</v>
      </c>
      <c r="AD670" s="2" t="e">
        <f>IF(Table13[[#This Row],[Gender]]="M",Table13[[#This Row],[Diameter]],NA())</f>
        <v>#N/A</v>
      </c>
      <c r="AE670" s="2">
        <f>IF(Table13[[#This Row],[Gender]]="F",Table13[[#This Row],[Diameter]],NA())</f>
        <v>0.4</v>
      </c>
      <c r="AF670" s="2" t="e">
        <f>IF(Table13[[#This Row],[Gender]]="I",Table13[[#This Row],[Diameter]],NA())</f>
        <v>#N/A</v>
      </c>
    </row>
    <row r="671" spans="1:32" x14ac:dyDescent="0.2">
      <c r="A671">
        <v>4117</v>
      </c>
      <c r="B671" t="s">
        <v>15</v>
      </c>
      <c r="C671">
        <v>0.625</v>
      </c>
      <c r="D671">
        <v>0.48</v>
      </c>
      <c r="E671">
        <v>0.16</v>
      </c>
      <c r="F671">
        <v>1.2415</v>
      </c>
      <c r="G671">
        <v>0.65749999999999997</v>
      </c>
      <c r="H671">
        <v>0.26250000000000001</v>
      </c>
      <c r="I671">
        <v>0.27850000000000003</v>
      </c>
      <c r="J671">
        <v>9</v>
      </c>
      <c r="K671">
        <v>11</v>
      </c>
      <c r="L671" t="s">
        <v>5</v>
      </c>
      <c r="M671" t="s">
        <v>6</v>
      </c>
      <c r="N671" t="s">
        <v>3</v>
      </c>
      <c r="O671">
        <v>9</v>
      </c>
      <c r="P671" t="s">
        <v>46</v>
      </c>
      <c r="Q671">
        <v>1.9</v>
      </c>
      <c r="R671" t="str" cm="1">
        <f t="array" ref="R6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71" t="e">
        <f>IF(Table13[[#This Row],[Category All]]="Category 1", "Yes",NA())</f>
        <v>#N/A</v>
      </c>
      <c r="T671" t="e">
        <f>IF(Table13[[#This Row],[Category All]]="Category 2", "Yes",NA())</f>
        <v>#N/A</v>
      </c>
      <c r="U671" t="str">
        <f>IF(Table13[[#This Row],[Category All]]="Category 3", "Yes",NA())</f>
        <v>Yes</v>
      </c>
      <c r="V671">
        <f>SUM(1,(1/3)*(Table13[[#This Row],[Length]]-0.5),(1/3)*(Table13[[#This Row],[Diameter]]-0.4),(1/3)*(Table13[[#This Row],[Height]]-0.4)*Table13[[#This Row],[Whole_weight]]*0.5)</f>
        <v>1.0186733333333333</v>
      </c>
      <c r="W671" cm="1">
        <f t="array" ref="W6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1.0186733333333333</v>
      </c>
      <c r="X671" t="e">
        <f>IF(Table13[[#This Row],[Category All]]="Category 1",Table13[[#This Row],[Base Abalone Value]]*1.5,NA())</f>
        <v>#N/A</v>
      </c>
      <c r="Y671" t="e">
        <f>IF(Table13[[#This Row],[Category All]]="Category 2",Table13[[#This Row],[Base Abalone Value]]*0.8,NA())</f>
        <v>#N/A</v>
      </c>
      <c r="Z671">
        <f>IF(Table13[[#This Row],[Category All]]="Category 3",Table13[[#This Row],[Base Abalone Value]],NA())</f>
        <v>1.0186733333333333</v>
      </c>
      <c r="AA671" s="2">
        <f>IF(Table13[[#This Row],[Gender]]="M",Table13[[#This Row],[Whole_weight]],NA())</f>
        <v>1.2415</v>
      </c>
      <c r="AB671" s="2" t="e">
        <f>IF(Table13[[#This Row],[Gender]]="F",Table13[[#This Row],[Whole_weight]],NA())</f>
        <v>#N/A</v>
      </c>
      <c r="AC671" s="2" t="e">
        <f>IF(Table13[[#This Row],[Gender]]="I",Table13[[#This Row],[Whole_weight]],NA())</f>
        <v>#N/A</v>
      </c>
      <c r="AD671" s="2">
        <f>IF(Table13[[#This Row],[Gender]]="M",Table13[[#This Row],[Diameter]],NA())</f>
        <v>0.48</v>
      </c>
      <c r="AE671" s="2" t="e">
        <f>IF(Table13[[#This Row],[Gender]]="F",Table13[[#This Row],[Diameter]],NA())</f>
        <v>#N/A</v>
      </c>
      <c r="AF671" s="2" t="e">
        <f>IF(Table13[[#This Row],[Gender]]="I",Table13[[#This Row],[Diameter]],NA())</f>
        <v>#N/A</v>
      </c>
    </row>
    <row r="672" spans="1:32" x14ac:dyDescent="0.2">
      <c r="A672">
        <v>812</v>
      </c>
      <c r="B672" t="s">
        <v>0</v>
      </c>
      <c r="C672">
        <v>0.49</v>
      </c>
      <c r="D672">
        <v>0.36499999999999999</v>
      </c>
      <c r="E672">
        <v>0.13</v>
      </c>
      <c r="F672">
        <v>0.6835</v>
      </c>
      <c r="G672">
        <v>0.16500000000000001</v>
      </c>
      <c r="H672">
        <v>0.13150000000000001</v>
      </c>
      <c r="I672">
        <v>0.20499999999999999</v>
      </c>
      <c r="J672">
        <v>21</v>
      </c>
      <c r="K672">
        <v>5</v>
      </c>
      <c r="L672" t="s">
        <v>26</v>
      </c>
      <c r="M672" t="s">
        <v>27</v>
      </c>
      <c r="N672" t="s">
        <v>28</v>
      </c>
      <c r="O672">
        <v>6</v>
      </c>
      <c r="P672" t="s">
        <v>47</v>
      </c>
      <c r="Q672">
        <v>14.1</v>
      </c>
      <c r="R672" t="str" cm="1">
        <f t="array" ref="R6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72" t="e">
        <f>IF(Table13[[#This Row],[Category All]]="Category 1", "Yes",NA())</f>
        <v>#N/A</v>
      </c>
      <c r="T672" t="str">
        <f>IF(Table13[[#This Row],[Category All]]="Category 2", "Yes",NA())</f>
        <v>Yes</v>
      </c>
      <c r="U672" t="e">
        <f>IF(Table13[[#This Row],[Category All]]="Category 3", "Yes",NA())</f>
        <v>#N/A</v>
      </c>
      <c r="V672">
        <f>SUM(1,(1/3)*(Table13[[#This Row],[Length]]-0.5),(1/3)*(Table13[[#This Row],[Diameter]]-0.4),(1/3)*(Table13[[#This Row],[Height]]-0.4)*Table13[[#This Row],[Whole_weight]]*0.5)</f>
        <v>0.95424249999999999</v>
      </c>
      <c r="W672" cm="1">
        <f t="array" ref="W6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0.76339400000000002</v>
      </c>
      <c r="X672" t="e">
        <f>IF(Table13[[#This Row],[Category All]]="Category 1",Table13[[#This Row],[Base Abalone Value]]*1.5,NA())</f>
        <v>#N/A</v>
      </c>
      <c r="Y672">
        <f>IF(Table13[[#This Row],[Category All]]="Category 2",Table13[[#This Row],[Base Abalone Value]]*0.8,NA())</f>
        <v>0.76339400000000002</v>
      </c>
      <c r="Z672" t="e">
        <f>IF(Table13[[#This Row],[Category All]]="Category 3",Table13[[#This Row],[Base Abalone Value]],NA())</f>
        <v>#N/A</v>
      </c>
      <c r="AA672" s="2" t="e">
        <f>IF(Table13[[#This Row],[Gender]]="M",Table13[[#This Row],[Whole_weight]],NA())</f>
        <v>#N/A</v>
      </c>
      <c r="AB672" s="2">
        <f>IF(Table13[[#This Row],[Gender]]="F",Table13[[#This Row],[Whole_weight]],NA())</f>
        <v>0.6835</v>
      </c>
      <c r="AC672" s="2" t="e">
        <f>IF(Table13[[#This Row],[Gender]]="I",Table13[[#This Row],[Whole_weight]],NA())</f>
        <v>#N/A</v>
      </c>
      <c r="AD672" s="2" t="e">
        <f>IF(Table13[[#This Row],[Gender]]="M",Table13[[#This Row],[Diameter]],NA())</f>
        <v>#N/A</v>
      </c>
      <c r="AE672" s="2">
        <f>IF(Table13[[#This Row],[Gender]]="F",Table13[[#This Row],[Diameter]],NA())</f>
        <v>0.36499999999999999</v>
      </c>
      <c r="AF672" s="2" t="e">
        <f>IF(Table13[[#This Row],[Gender]]="I",Table13[[#This Row],[Diameter]],NA())</f>
        <v>#N/A</v>
      </c>
    </row>
    <row r="673" spans="1:32" x14ac:dyDescent="0.2">
      <c r="A673">
        <v>2194</v>
      </c>
      <c r="B673" t="s">
        <v>11</v>
      </c>
      <c r="C673">
        <v>0.215</v>
      </c>
      <c r="D673">
        <v>0.17</v>
      </c>
      <c r="E673">
        <v>5.5E-2</v>
      </c>
      <c r="F673">
        <v>6.0499999999999998E-2</v>
      </c>
      <c r="G673">
        <v>2.0500000000000001E-2</v>
      </c>
      <c r="H673">
        <v>1.4E-2</v>
      </c>
      <c r="I673">
        <v>0.02</v>
      </c>
      <c r="J673">
        <v>6</v>
      </c>
      <c r="K673">
        <v>3</v>
      </c>
      <c r="L673" t="s">
        <v>43</v>
      </c>
      <c r="M673" t="s">
        <v>44</v>
      </c>
      <c r="N673" t="s">
        <v>45</v>
      </c>
      <c r="O673">
        <v>9</v>
      </c>
      <c r="P673" t="s">
        <v>46</v>
      </c>
      <c r="Q673">
        <v>1.9</v>
      </c>
      <c r="R673" t="str" cm="1">
        <f t="array" ref="R6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73" t="e">
        <f>IF(Table13[[#This Row],[Category All]]="Category 1", "Yes",NA())</f>
        <v>#N/A</v>
      </c>
      <c r="T673" t="str">
        <f>IF(Table13[[#This Row],[Category All]]="Category 2", "Yes",NA())</f>
        <v>Yes</v>
      </c>
      <c r="U673" t="e">
        <f>IF(Table13[[#This Row],[Category All]]="Category 3", "Yes",NA())</f>
        <v>#N/A</v>
      </c>
      <c r="V673">
        <f>SUM(1,(1/3)*(Table13[[#This Row],[Length]]-0.5),(1/3)*(Table13[[#This Row],[Diameter]]-0.4),(1/3)*(Table13[[#This Row],[Height]]-0.4)*Table13[[#This Row],[Whole_weight]]*0.5)</f>
        <v>0.82485458333333339</v>
      </c>
      <c r="W673" cm="1">
        <f t="array" ref="W6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0.65988366666666676</v>
      </c>
      <c r="X673" t="e">
        <f>IF(Table13[[#This Row],[Category All]]="Category 1",Table13[[#This Row],[Base Abalone Value]]*1.5,NA())</f>
        <v>#N/A</v>
      </c>
      <c r="Y673">
        <f>IF(Table13[[#This Row],[Category All]]="Category 2",Table13[[#This Row],[Base Abalone Value]]*0.8,NA())</f>
        <v>0.65988366666666676</v>
      </c>
      <c r="Z673" t="e">
        <f>IF(Table13[[#This Row],[Category All]]="Category 3",Table13[[#This Row],[Base Abalone Value]],NA())</f>
        <v>#N/A</v>
      </c>
      <c r="AA673" s="2" t="e">
        <f>IF(Table13[[#This Row],[Gender]]="M",Table13[[#This Row],[Whole_weight]],NA())</f>
        <v>#N/A</v>
      </c>
      <c r="AB673" s="2" t="e">
        <f>IF(Table13[[#This Row],[Gender]]="F",Table13[[#This Row],[Whole_weight]],NA())</f>
        <v>#N/A</v>
      </c>
      <c r="AC673" s="2">
        <f>IF(Table13[[#This Row],[Gender]]="I",Table13[[#This Row],[Whole_weight]],NA())</f>
        <v>6.0499999999999998E-2</v>
      </c>
      <c r="AD673" s="2" t="e">
        <f>IF(Table13[[#This Row],[Gender]]="M",Table13[[#This Row],[Diameter]],NA())</f>
        <v>#N/A</v>
      </c>
      <c r="AE673" s="2" t="e">
        <f>IF(Table13[[#This Row],[Gender]]="F",Table13[[#This Row],[Diameter]],NA())</f>
        <v>#N/A</v>
      </c>
      <c r="AF673" s="2">
        <f>IF(Table13[[#This Row],[Gender]]="I",Table13[[#This Row],[Diameter]],NA())</f>
        <v>0.17</v>
      </c>
    </row>
    <row r="674" spans="1:32" x14ac:dyDescent="0.2">
      <c r="A674">
        <v>775</v>
      </c>
      <c r="B674" t="s">
        <v>15</v>
      </c>
      <c r="C674">
        <v>0.49</v>
      </c>
      <c r="D674">
        <v>0.38</v>
      </c>
      <c r="E674">
        <v>0.14000000000000001</v>
      </c>
      <c r="F674">
        <v>0.76049999999999995</v>
      </c>
      <c r="G674">
        <v>0.245</v>
      </c>
      <c r="H674">
        <v>0.16700000000000001</v>
      </c>
      <c r="I674">
        <v>0.185</v>
      </c>
      <c r="J674">
        <v>10</v>
      </c>
      <c r="K674">
        <v>14</v>
      </c>
      <c r="L674" t="s">
        <v>23</v>
      </c>
      <c r="M674" t="s">
        <v>24</v>
      </c>
      <c r="N674" t="s">
        <v>25</v>
      </c>
      <c r="O674">
        <v>3</v>
      </c>
      <c r="P674" t="s">
        <v>48</v>
      </c>
      <c r="Q674">
        <v>3.6</v>
      </c>
      <c r="R674" t="str" cm="1">
        <f t="array" ref="R6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74" t="e">
        <f>IF(Table13[[#This Row],[Category All]]="Category 1", "Yes",NA())</f>
        <v>#N/A</v>
      </c>
      <c r="T674" t="str">
        <f>IF(Table13[[#This Row],[Category All]]="Category 2", "Yes",NA())</f>
        <v>Yes</v>
      </c>
      <c r="U674" t="e">
        <f>IF(Table13[[#This Row],[Category All]]="Category 3", "Yes",NA())</f>
        <v>#N/A</v>
      </c>
      <c r="V674">
        <f>SUM(1,(1/3)*(Table13[[#This Row],[Length]]-0.5),(1/3)*(Table13[[#This Row],[Diameter]]-0.4),(1/3)*(Table13[[#This Row],[Height]]-0.4)*Table13[[#This Row],[Whole_weight]]*0.5)</f>
        <v>0.95704500000000003</v>
      </c>
      <c r="W674" cm="1">
        <f t="array" ref="W6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0.76563600000000009</v>
      </c>
      <c r="X674" t="e">
        <f>IF(Table13[[#This Row],[Category All]]="Category 1",Table13[[#This Row],[Base Abalone Value]]*1.5,NA())</f>
        <v>#N/A</v>
      </c>
      <c r="Y674">
        <f>IF(Table13[[#This Row],[Category All]]="Category 2",Table13[[#This Row],[Base Abalone Value]]*0.8,NA())</f>
        <v>0.76563600000000009</v>
      </c>
      <c r="Z674" t="e">
        <f>IF(Table13[[#This Row],[Category All]]="Category 3",Table13[[#This Row],[Base Abalone Value]],NA())</f>
        <v>#N/A</v>
      </c>
      <c r="AA674" s="2">
        <f>IF(Table13[[#This Row],[Gender]]="M",Table13[[#This Row],[Whole_weight]],NA())</f>
        <v>0.76049999999999995</v>
      </c>
      <c r="AB674" s="2" t="e">
        <f>IF(Table13[[#This Row],[Gender]]="F",Table13[[#This Row],[Whole_weight]],NA())</f>
        <v>#N/A</v>
      </c>
      <c r="AC674" s="2" t="e">
        <f>IF(Table13[[#This Row],[Gender]]="I",Table13[[#This Row],[Whole_weight]],NA())</f>
        <v>#N/A</v>
      </c>
      <c r="AD674" s="2">
        <f>IF(Table13[[#This Row],[Gender]]="M",Table13[[#This Row],[Diameter]],NA())</f>
        <v>0.38</v>
      </c>
      <c r="AE674" s="2" t="e">
        <f>IF(Table13[[#This Row],[Gender]]="F",Table13[[#This Row],[Diameter]],NA())</f>
        <v>#N/A</v>
      </c>
      <c r="AF674" s="2" t="e">
        <f>IF(Table13[[#This Row],[Gender]]="I",Table13[[#This Row],[Diameter]],NA())</f>
        <v>#N/A</v>
      </c>
    </row>
    <row r="675" spans="1:32" x14ac:dyDescent="0.2">
      <c r="A675">
        <v>2382</v>
      </c>
      <c r="B675" t="s">
        <v>15</v>
      </c>
      <c r="C675">
        <v>0.155</v>
      </c>
      <c r="D675">
        <v>0.115</v>
      </c>
      <c r="E675">
        <v>2.5000000000000001E-2</v>
      </c>
      <c r="F675">
        <v>2.4E-2</v>
      </c>
      <c r="G675">
        <v>8.9999999999999993E-3</v>
      </c>
      <c r="H675">
        <v>5.0000000000000001E-3</v>
      </c>
      <c r="I675">
        <v>7.4999999999999997E-3</v>
      </c>
      <c r="J675">
        <v>5</v>
      </c>
      <c r="K675">
        <v>12</v>
      </c>
      <c r="L675" t="s">
        <v>1</v>
      </c>
      <c r="M675" t="s">
        <v>2</v>
      </c>
      <c r="N675" t="s">
        <v>3</v>
      </c>
      <c r="O675">
        <v>9</v>
      </c>
      <c r="P675" t="s">
        <v>46</v>
      </c>
      <c r="Q675">
        <v>1.9</v>
      </c>
      <c r="R675" t="str" cm="1">
        <f t="array" ref="R6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75" t="e">
        <f>IF(Table13[[#This Row],[Category All]]="Category 1", "Yes",NA())</f>
        <v>#N/A</v>
      </c>
      <c r="T675" t="str">
        <f>IF(Table13[[#This Row],[Category All]]="Category 2", "Yes",NA())</f>
        <v>Yes</v>
      </c>
      <c r="U675" t="e">
        <f>IF(Table13[[#This Row],[Category All]]="Category 3", "Yes",NA())</f>
        <v>#N/A</v>
      </c>
      <c r="V675">
        <f>SUM(1,(1/3)*(Table13[[#This Row],[Length]]-0.5),(1/3)*(Table13[[#This Row],[Diameter]]-0.4),(1/3)*(Table13[[#This Row],[Height]]-0.4)*Table13[[#This Row],[Whole_weight]]*0.5)</f>
        <v>0.78850000000000009</v>
      </c>
      <c r="W675" cm="1">
        <f t="array" ref="W6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0.63080000000000014</v>
      </c>
      <c r="X675" t="e">
        <f>IF(Table13[[#This Row],[Category All]]="Category 1",Table13[[#This Row],[Base Abalone Value]]*1.5,NA())</f>
        <v>#N/A</v>
      </c>
      <c r="Y675">
        <f>IF(Table13[[#This Row],[Category All]]="Category 2",Table13[[#This Row],[Base Abalone Value]]*0.8,NA())</f>
        <v>0.63080000000000014</v>
      </c>
      <c r="Z675" t="e">
        <f>IF(Table13[[#This Row],[Category All]]="Category 3",Table13[[#This Row],[Base Abalone Value]],NA())</f>
        <v>#N/A</v>
      </c>
      <c r="AA675" s="2">
        <f>IF(Table13[[#This Row],[Gender]]="M",Table13[[#This Row],[Whole_weight]],NA())</f>
        <v>2.4E-2</v>
      </c>
      <c r="AB675" s="2" t="e">
        <f>IF(Table13[[#This Row],[Gender]]="F",Table13[[#This Row],[Whole_weight]],NA())</f>
        <v>#N/A</v>
      </c>
      <c r="AC675" s="2" t="e">
        <f>IF(Table13[[#This Row],[Gender]]="I",Table13[[#This Row],[Whole_weight]],NA())</f>
        <v>#N/A</v>
      </c>
      <c r="AD675" s="2">
        <f>IF(Table13[[#This Row],[Gender]]="M",Table13[[#This Row],[Diameter]],NA())</f>
        <v>0.115</v>
      </c>
      <c r="AE675" s="2" t="e">
        <f>IF(Table13[[#This Row],[Gender]]="F",Table13[[#This Row],[Diameter]],NA())</f>
        <v>#N/A</v>
      </c>
      <c r="AF675" s="2" t="e">
        <f>IF(Table13[[#This Row],[Gender]]="I",Table13[[#This Row],[Diameter]],NA())</f>
        <v>#N/A</v>
      </c>
    </row>
    <row r="676" spans="1:32" x14ac:dyDescent="0.2">
      <c r="A676">
        <v>2821</v>
      </c>
      <c r="B676" t="s">
        <v>11</v>
      </c>
      <c r="C676">
        <v>0.375</v>
      </c>
      <c r="D676">
        <v>0.28499999999999998</v>
      </c>
      <c r="E676">
        <v>0.09</v>
      </c>
      <c r="F676">
        <v>0.2545</v>
      </c>
      <c r="G676">
        <v>0.11899999999999999</v>
      </c>
      <c r="H676">
        <v>5.9499999999999997E-2</v>
      </c>
      <c r="I676">
        <v>6.7500000000000004E-2</v>
      </c>
      <c r="J676">
        <v>6</v>
      </c>
      <c r="K676">
        <v>2</v>
      </c>
      <c r="L676" t="s">
        <v>32</v>
      </c>
      <c r="M676" t="s">
        <v>33</v>
      </c>
      <c r="N676" t="s">
        <v>34</v>
      </c>
      <c r="O676">
        <v>3</v>
      </c>
      <c r="P676" t="s">
        <v>48</v>
      </c>
      <c r="Q676">
        <v>3.6</v>
      </c>
      <c r="R676" t="str" cm="1">
        <f t="array" ref="R6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76" t="e">
        <f>IF(Table13[[#This Row],[Category All]]="Category 1", "Yes",NA())</f>
        <v>#N/A</v>
      </c>
      <c r="T676" t="str">
        <f>IF(Table13[[#This Row],[Category All]]="Category 2", "Yes",NA())</f>
        <v>Yes</v>
      </c>
      <c r="U676" t="e">
        <f>IF(Table13[[#This Row],[Category All]]="Category 3", "Yes",NA())</f>
        <v>#N/A</v>
      </c>
      <c r="V676">
        <f>SUM(1,(1/3)*(Table13[[#This Row],[Length]]-0.5),(1/3)*(Table13[[#This Row],[Diameter]]-0.4),(1/3)*(Table13[[#This Row],[Height]]-0.4)*Table13[[#This Row],[Whole_weight]]*0.5)</f>
        <v>0.90685083333333338</v>
      </c>
      <c r="W676" cm="1">
        <f t="array" ref="W6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0.72548066666666677</v>
      </c>
      <c r="X676" t="e">
        <f>IF(Table13[[#This Row],[Category All]]="Category 1",Table13[[#This Row],[Base Abalone Value]]*1.5,NA())</f>
        <v>#N/A</v>
      </c>
      <c r="Y676">
        <f>IF(Table13[[#This Row],[Category All]]="Category 2",Table13[[#This Row],[Base Abalone Value]]*0.8,NA())</f>
        <v>0.72548066666666677</v>
      </c>
      <c r="Z676" t="e">
        <f>IF(Table13[[#This Row],[Category All]]="Category 3",Table13[[#This Row],[Base Abalone Value]],NA())</f>
        <v>#N/A</v>
      </c>
      <c r="AA676" s="2" t="e">
        <f>IF(Table13[[#This Row],[Gender]]="M",Table13[[#This Row],[Whole_weight]],NA())</f>
        <v>#N/A</v>
      </c>
      <c r="AB676" s="2" t="e">
        <f>IF(Table13[[#This Row],[Gender]]="F",Table13[[#This Row],[Whole_weight]],NA())</f>
        <v>#N/A</v>
      </c>
      <c r="AC676" s="2">
        <f>IF(Table13[[#This Row],[Gender]]="I",Table13[[#This Row],[Whole_weight]],NA())</f>
        <v>0.2545</v>
      </c>
      <c r="AD676" s="2" t="e">
        <f>IF(Table13[[#This Row],[Gender]]="M",Table13[[#This Row],[Diameter]],NA())</f>
        <v>#N/A</v>
      </c>
      <c r="AE676" s="2" t="e">
        <f>IF(Table13[[#This Row],[Gender]]="F",Table13[[#This Row],[Diameter]],NA())</f>
        <v>#N/A</v>
      </c>
      <c r="AF676" s="2">
        <f>IF(Table13[[#This Row],[Gender]]="I",Table13[[#This Row],[Diameter]],NA())</f>
        <v>0.28499999999999998</v>
      </c>
    </row>
    <row r="677" spans="1:32" x14ac:dyDescent="0.2">
      <c r="A677">
        <v>871</v>
      </c>
      <c r="B677" t="s">
        <v>15</v>
      </c>
      <c r="C677">
        <v>0.61499999999999999</v>
      </c>
      <c r="D677">
        <v>0.505</v>
      </c>
      <c r="E677">
        <v>0.16500000000000001</v>
      </c>
      <c r="F677">
        <v>1.34</v>
      </c>
      <c r="G677">
        <v>0.53149999999999997</v>
      </c>
      <c r="H677">
        <v>0.28149999999999997</v>
      </c>
      <c r="I677">
        <v>0.41</v>
      </c>
      <c r="J677">
        <v>12</v>
      </c>
      <c r="K677">
        <v>13</v>
      </c>
      <c r="L677" t="s">
        <v>12</v>
      </c>
      <c r="M677" t="s">
        <v>13</v>
      </c>
      <c r="N677" t="s">
        <v>3</v>
      </c>
      <c r="O677">
        <v>4</v>
      </c>
      <c r="P677" t="s">
        <v>10</v>
      </c>
      <c r="Q677">
        <v>6.1</v>
      </c>
      <c r="R677" t="str" cm="1">
        <f t="array" ref="R6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77" t="e">
        <f>IF(Table13[[#This Row],[Category All]]="Category 1", "Yes",NA())</f>
        <v>#N/A</v>
      </c>
      <c r="T677" t="e">
        <f>IF(Table13[[#This Row],[Category All]]="Category 2", "Yes",NA())</f>
        <v>#N/A</v>
      </c>
      <c r="U677" t="str">
        <f>IF(Table13[[#This Row],[Category All]]="Category 3", "Yes",NA())</f>
        <v>Yes</v>
      </c>
      <c r="V677">
        <f>SUM(1,(1/3)*(Table13[[#This Row],[Length]]-0.5),(1/3)*(Table13[[#This Row],[Diameter]]-0.4),(1/3)*(Table13[[#This Row],[Height]]-0.4)*Table13[[#This Row],[Whole_weight]]*0.5)</f>
        <v>1.0208499999999998</v>
      </c>
      <c r="W677" cm="1">
        <f t="array" ref="W6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1.0208499999999998</v>
      </c>
      <c r="X677" t="e">
        <f>IF(Table13[[#This Row],[Category All]]="Category 1",Table13[[#This Row],[Base Abalone Value]]*1.5,NA())</f>
        <v>#N/A</v>
      </c>
      <c r="Y677" t="e">
        <f>IF(Table13[[#This Row],[Category All]]="Category 2",Table13[[#This Row],[Base Abalone Value]]*0.8,NA())</f>
        <v>#N/A</v>
      </c>
      <c r="Z677">
        <f>IF(Table13[[#This Row],[Category All]]="Category 3",Table13[[#This Row],[Base Abalone Value]],NA())</f>
        <v>1.0208499999999998</v>
      </c>
      <c r="AA677" s="2">
        <f>IF(Table13[[#This Row],[Gender]]="M",Table13[[#This Row],[Whole_weight]],NA())</f>
        <v>1.34</v>
      </c>
      <c r="AB677" s="2" t="e">
        <f>IF(Table13[[#This Row],[Gender]]="F",Table13[[#This Row],[Whole_weight]],NA())</f>
        <v>#N/A</v>
      </c>
      <c r="AC677" s="2" t="e">
        <f>IF(Table13[[#This Row],[Gender]]="I",Table13[[#This Row],[Whole_weight]],NA())</f>
        <v>#N/A</v>
      </c>
      <c r="AD677" s="2">
        <f>IF(Table13[[#This Row],[Gender]]="M",Table13[[#This Row],[Diameter]],NA())</f>
        <v>0.505</v>
      </c>
      <c r="AE677" s="2" t="e">
        <f>IF(Table13[[#This Row],[Gender]]="F",Table13[[#This Row],[Diameter]],NA())</f>
        <v>#N/A</v>
      </c>
      <c r="AF677" s="2" t="e">
        <f>IF(Table13[[#This Row],[Gender]]="I",Table13[[#This Row],[Diameter]],NA())</f>
        <v>#N/A</v>
      </c>
    </row>
    <row r="678" spans="1:32" x14ac:dyDescent="0.2">
      <c r="A678">
        <v>2196</v>
      </c>
      <c r="B678" t="s">
        <v>11</v>
      </c>
      <c r="C678">
        <v>0.26</v>
      </c>
      <c r="D678">
        <v>0.215</v>
      </c>
      <c r="E678">
        <v>0.08</v>
      </c>
      <c r="F678">
        <v>9.9000000000000005E-2</v>
      </c>
      <c r="G678">
        <v>3.6999999999999998E-2</v>
      </c>
      <c r="H678">
        <v>2.5499999999999998E-2</v>
      </c>
      <c r="I678">
        <v>4.4999999999999998E-2</v>
      </c>
      <c r="J678">
        <v>5</v>
      </c>
      <c r="K678">
        <v>2</v>
      </c>
      <c r="L678" t="s">
        <v>32</v>
      </c>
      <c r="M678" t="s">
        <v>33</v>
      </c>
      <c r="N678" t="s">
        <v>34</v>
      </c>
      <c r="O678">
        <v>8</v>
      </c>
      <c r="P678" t="s">
        <v>19</v>
      </c>
      <c r="Q678">
        <v>12.3</v>
      </c>
      <c r="R678" t="str" cm="1">
        <f t="array" ref="R6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78" t="e">
        <f>IF(Table13[[#This Row],[Category All]]="Category 1", "Yes",NA())</f>
        <v>#N/A</v>
      </c>
      <c r="T678" t="str">
        <f>IF(Table13[[#This Row],[Category All]]="Category 2", "Yes",NA())</f>
        <v>Yes</v>
      </c>
      <c r="U678" t="e">
        <f>IF(Table13[[#This Row],[Category All]]="Category 3", "Yes",NA())</f>
        <v>#N/A</v>
      </c>
      <c r="V678">
        <f>SUM(1,(1/3)*(Table13[[#This Row],[Length]]-0.5),(1/3)*(Table13[[#This Row],[Diameter]]-0.4),(1/3)*(Table13[[#This Row],[Height]]-0.4)*Table13[[#This Row],[Whole_weight]]*0.5)</f>
        <v>0.85305333333333344</v>
      </c>
      <c r="W678" cm="1">
        <f t="array" ref="W6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0.68244266666666675</v>
      </c>
      <c r="X678" t="e">
        <f>IF(Table13[[#This Row],[Category All]]="Category 1",Table13[[#This Row],[Base Abalone Value]]*1.5,NA())</f>
        <v>#N/A</v>
      </c>
      <c r="Y678">
        <f>IF(Table13[[#This Row],[Category All]]="Category 2",Table13[[#This Row],[Base Abalone Value]]*0.8,NA())</f>
        <v>0.68244266666666675</v>
      </c>
      <c r="Z678" t="e">
        <f>IF(Table13[[#This Row],[Category All]]="Category 3",Table13[[#This Row],[Base Abalone Value]],NA())</f>
        <v>#N/A</v>
      </c>
      <c r="AA678" s="2" t="e">
        <f>IF(Table13[[#This Row],[Gender]]="M",Table13[[#This Row],[Whole_weight]],NA())</f>
        <v>#N/A</v>
      </c>
      <c r="AB678" s="2" t="e">
        <f>IF(Table13[[#This Row],[Gender]]="F",Table13[[#This Row],[Whole_weight]],NA())</f>
        <v>#N/A</v>
      </c>
      <c r="AC678" s="2">
        <f>IF(Table13[[#This Row],[Gender]]="I",Table13[[#This Row],[Whole_weight]],NA())</f>
        <v>9.9000000000000005E-2</v>
      </c>
      <c r="AD678" s="2" t="e">
        <f>IF(Table13[[#This Row],[Gender]]="M",Table13[[#This Row],[Diameter]],NA())</f>
        <v>#N/A</v>
      </c>
      <c r="AE678" s="2" t="e">
        <f>IF(Table13[[#This Row],[Gender]]="F",Table13[[#This Row],[Diameter]],NA())</f>
        <v>#N/A</v>
      </c>
      <c r="AF678" s="2">
        <f>IF(Table13[[#This Row],[Gender]]="I",Table13[[#This Row],[Diameter]],NA())</f>
        <v>0.215</v>
      </c>
    </row>
    <row r="679" spans="1:32" x14ac:dyDescent="0.2">
      <c r="A679">
        <v>619</v>
      </c>
      <c r="B679" t="s">
        <v>15</v>
      </c>
      <c r="C679">
        <v>0.31</v>
      </c>
      <c r="D679">
        <v>0.22500000000000001</v>
      </c>
      <c r="E679">
        <v>7.4999999999999997E-2</v>
      </c>
      <c r="F679">
        <v>0.1295</v>
      </c>
      <c r="G679">
        <v>4.5499999999999999E-2</v>
      </c>
      <c r="H679">
        <v>3.3500000000000002E-2</v>
      </c>
      <c r="I679">
        <v>4.3999999999999997E-2</v>
      </c>
      <c r="J679">
        <v>9</v>
      </c>
      <c r="K679">
        <v>7</v>
      </c>
      <c r="L679" t="s">
        <v>35</v>
      </c>
      <c r="M679" t="s">
        <v>36</v>
      </c>
      <c r="N679" t="s">
        <v>37</v>
      </c>
      <c r="O679">
        <v>2</v>
      </c>
      <c r="P679" t="s">
        <v>7</v>
      </c>
      <c r="Q679">
        <v>18</v>
      </c>
      <c r="R679" t="str" cm="1">
        <f t="array" ref="R6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79" t="e">
        <f>IF(Table13[[#This Row],[Category All]]="Category 1", "Yes",NA())</f>
        <v>#N/A</v>
      </c>
      <c r="T679" t="str">
        <f>IF(Table13[[#This Row],[Category All]]="Category 2", "Yes",NA())</f>
        <v>Yes</v>
      </c>
      <c r="U679" t="e">
        <f>IF(Table13[[#This Row],[Category All]]="Category 3", "Yes",NA())</f>
        <v>#N/A</v>
      </c>
      <c r="V679">
        <f>SUM(1,(1/3)*(Table13[[#This Row],[Length]]-0.5),(1/3)*(Table13[[#This Row],[Diameter]]-0.4),(1/3)*(Table13[[#This Row],[Height]]-0.4)*Table13[[#This Row],[Whole_weight]]*0.5)</f>
        <v>0.87131874999999992</v>
      </c>
      <c r="W679" cm="1">
        <f t="array" ref="W6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0.69705499999999998</v>
      </c>
      <c r="X679" t="e">
        <f>IF(Table13[[#This Row],[Category All]]="Category 1",Table13[[#This Row],[Base Abalone Value]]*1.5,NA())</f>
        <v>#N/A</v>
      </c>
      <c r="Y679">
        <f>IF(Table13[[#This Row],[Category All]]="Category 2",Table13[[#This Row],[Base Abalone Value]]*0.8,NA())</f>
        <v>0.69705499999999998</v>
      </c>
      <c r="Z679" t="e">
        <f>IF(Table13[[#This Row],[Category All]]="Category 3",Table13[[#This Row],[Base Abalone Value]],NA())</f>
        <v>#N/A</v>
      </c>
      <c r="AA679" s="2">
        <f>IF(Table13[[#This Row],[Gender]]="M",Table13[[#This Row],[Whole_weight]],NA())</f>
        <v>0.1295</v>
      </c>
      <c r="AB679" s="2" t="e">
        <f>IF(Table13[[#This Row],[Gender]]="F",Table13[[#This Row],[Whole_weight]],NA())</f>
        <v>#N/A</v>
      </c>
      <c r="AC679" s="2" t="e">
        <f>IF(Table13[[#This Row],[Gender]]="I",Table13[[#This Row],[Whole_weight]],NA())</f>
        <v>#N/A</v>
      </c>
      <c r="AD679" s="2">
        <f>IF(Table13[[#This Row],[Gender]]="M",Table13[[#This Row],[Diameter]],NA())</f>
        <v>0.22500000000000001</v>
      </c>
      <c r="AE679" s="2" t="e">
        <f>IF(Table13[[#This Row],[Gender]]="F",Table13[[#This Row],[Diameter]],NA())</f>
        <v>#N/A</v>
      </c>
      <c r="AF679" s="2" t="e">
        <f>IF(Table13[[#This Row],[Gender]]="I",Table13[[#This Row],[Diameter]],NA())</f>
        <v>#N/A</v>
      </c>
    </row>
    <row r="680" spans="1:32" x14ac:dyDescent="0.2">
      <c r="A680">
        <v>3237</v>
      </c>
      <c r="B680" t="s">
        <v>11</v>
      </c>
      <c r="C680">
        <v>0.34499999999999997</v>
      </c>
      <c r="D680">
        <v>0.28499999999999998</v>
      </c>
      <c r="E680">
        <v>0.1</v>
      </c>
      <c r="F680">
        <v>0.2225</v>
      </c>
      <c r="G680">
        <v>8.6499999999999994E-2</v>
      </c>
      <c r="H680">
        <v>5.8000000000000003E-2</v>
      </c>
      <c r="I680">
        <v>7.4999999999999997E-2</v>
      </c>
      <c r="J680">
        <v>8</v>
      </c>
      <c r="K680">
        <v>13</v>
      </c>
      <c r="L680" t="s">
        <v>12</v>
      </c>
      <c r="M680" t="s">
        <v>13</v>
      </c>
      <c r="N680" t="s">
        <v>3</v>
      </c>
      <c r="O680">
        <v>10</v>
      </c>
      <c r="P680" t="s">
        <v>38</v>
      </c>
      <c r="Q680">
        <v>24.1</v>
      </c>
      <c r="R680" t="str" cm="1">
        <f t="array" ref="R6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80" t="e">
        <f>IF(Table13[[#This Row],[Category All]]="Category 1", "Yes",NA())</f>
        <v>#N/A</v>
      </c>
      <c r="T680" t="str">
        <f>IF(Table13[[#This Row],[Category All]]="Category 2", "Yes",NA())</f>
        <v>Yes</v>
      </c>
      <c r="U680" t="e">
        <f>IF(Table13[[#This Row],[Category All]]="Category 3", "Yes",NA())</f>
        <v>#N/A</v>
      </c>
      <c r="V680">
        <f>SUM(1,(1/3)*(Table13[[#This Row],[Length]]-0.5),(1/3)*(Table13[[#This Row],[Diameter]]-0.4),(1/3)*(Table13[[#This Row],[Height]]-0.4)*Table13[[#This Row],[Whole_weight]]*0.5)</f>
        <v>0.89887499999999998</v>
      </c>
      <c r="W680" cm="1">
        <f t="array" ref="W6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0.71910000000000007</v>
      </c>
      <c r="X680" t="e">
        <f>IF(Table13[[#This Row],[Category All]]="Category 1",Table13[[#This Row],[Base Abalone Value]]*1.5,NA())</f>
        <v>#N/A</v>
      </c>
      <c r="Y680">
        <f>IF(Table13[[#This Row],[Category All]]="Category 2",Table13[[#This Row],[Base Abalone Value]]*0.8,NA())</f>
        <v>0.71910000000000007</v>
      </c>
      <c r="Z680" t="e">
        <f>IF(Table13[[#This Row],[Category All]]="Category 3",Table13[[#This Row],[Base Abalone Value]],NA())</f>
        <v>#N/A</v>
      </c>
      <c r="AA680" s="2" t="e">
        <f>IF(Table13[[#This Row],[Gender]]="M",Table13[[#This Row],[Whole_weight]],NA())</f>
        <v>#N/A</v>
      </c>
      <c r="AB680" s="2" t="e">
        <f>IF(Table13[[#This Row],[Gender]]="F",Table13[[#This Row],[Whole_weight]],NA())</f>
        <v>#N/A</v>
      </c>
      <c r="AC680" s="2">
        <f>IF(Table13[[#This Row],[Gender]]="I",Table13[[#This Row],[Whole_weight]],NA())</f>
        <v>0.2225</v>
      </c>
      <c r="AD680" s="2" t="e">
        <f>IF(Table13[[#This Row],[Gender]]="M",Table13[[#This Row],[Diameter]],NA())</f>
        <v>#N/A</v>
      </c>
      <c r="AE680" s="2" t="e">
        <f>IF(Table13[[#This Row],[Gender]]="F",Table13[[#This Row],[Diameter]],NA())</f>
        <v>#N/A</v>
      </c>
      <c r="AF680" s="2">
        <f>IF(Table13[[#This Row],[Gender]]="I",Table13[[#This Row],[Diameter]],NA())</f>
        <v>0.28499999999999998</v>
      </c>
    </row>
    <row r="681" spans="1:32" x14ac:dyDescent="0.2">
      <c r="A681">
        <v>1082</v>
      </c>
      <c r="B681" t="s">
        <v>11</v>
      </c>
      <c r="C681">
        <v>0.435</v>
      </c>
      <c r="D681">
        <v>0.33</v>
      </c>
      <c r="E681">
        <v>0.11</v>
      </c>
      <c r="F681">
        <v>0.41299999999999998</v>
      </c>
      <c r="G681">
        <v>0.20549999999999999</v>
      </c>
      <c r="H681">
        <v>9.6000000000000002E-2</v>
      </c>
      <c r="I681">
        <v>9.6000000000000002E-2</v>
      </c>
      <c r="J681">
        <v>6</v>
      </c>
      <c r="K681">
        <v>6</v>
      </c>
      <c r="L681" t="s">
        <v>39</v>
      </c>
      <c r="M681" t="s">
        <v>40</v>
      </c>
      <c r="N681" t="s">
        <v>41</v>
      </c>
      <c r="O681">
        <v>9</v>
      </c>
      <c r="P681" t="s">
        <v>46</v>
      </c>
      <c r="Q681">
        <v>1.9</v>
      </c>
      <c r="R681" t="str" cm="1">
        <f t="array" ref="R6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81" t="e">
        <f>IF(Table13[[#This Row],[Category All]]="Category 1", "Yes",NA())</f>
        <v>#N/A</v>
      </c>
      <c r="T681" t="str">
        <f>IF(Table13[[#This Row],[Category All]]="Category 2", "Yes",NA())</f>
        <v>Yes</v>
      </c>
      <c r="U681" t="e">
        <f>IF(Table13[[#This Row],[Category All]]="Category 3", "Yes",NA())</f>
        <v>#N/A</v>
      </c>
      <c r="V681">
        <f>SUM(1,(1/3)*(Table13[[#This Row],[Length]]-0.5),(1/3)*(Table13[[#This Row],[Diameter]]-0.4),(1/3)*(Table13[[#This Row],[Height]]-0.4)*Table13[[#This Row],[Whole_weight]]*0.5)</f>
        <v>0.9350383333333333</v>
      </c>
      <c r="W681" cm="1">
        <f t="array" ref="W6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0.74803066666666673</v>
      </c>
      <c r="X681" t="e">
        <f>IF(Table13[[#This Row],[Category All]]="Category 1",Table13[[#This Row],[Base Abalone Value]]*1.5,NA())</f>
        <v>#N/A</v>
      </c>
      <c r="Y681">
        <f>IF(Table13[[#This Row],[Category All]]="Category 2",Table13[[#This Row],[Base Abalone Value]]*0.8,NA())</f>
        <v>0.74803066666666673</v>
      </c>
      <c r="Z681" t="e">
        <f>IF(Table13[[#This Row],[Category All]]="Category 3",Table13[[#This Row],[Base Abalone Value]],NA())</f>
        <v>#N/A</v>
      </c>
      <c r="AA681" s="2" t="e">
        <f>IF(Table13[[#This Row],[Gender]]="M",Table13[[#This Row],[Whole_weight]],NA())</f>
        <v>#N/A</v>
      </c>
      <c r="AB681" s="2" t="e">
        <f>IF(Table13[[#This Row],[Gender]]="F",Table13[[#This Row],[Whole_weight]],NA())</f>
        <v>#N/A</v>
      </c>
      <c r="AC681" s="2">
        <f>IF(Table13[[#This Row],[Gender]]="I",Table13[[#This Row],[Whole_weight]],NA())</f>
        <v>0.41299999999999998</v>
      </c>
      <c r="AD681" s="2" t="e">
        <f>IF(Table13[[#This Row],[Gender]]="M",Table13[[#This Row],[Diameter]],NA())</f>
        <v>#N/A</v>
      </c>
      <c r="AE681" s="2" t="e">
        <f>IF(Table13[[#This Row],[Gender]]="F",Table13[[#This Row],[Diameter]],NA())</f>
        <v>#N/A</v>
      </c>
      <c r="AF681" s="2">
        <f>IF(Table13[[#This Row],[Gender]]="I",Table13[[#This Row],[Diameter]],NA())</f>
        <v>0.33</v>
      </c>
    </row>
    <row r="682" spans="1:32" x14ac:dyDescent="0.2">
      <c r="A682">
        <v>358</v>
      </c>
      <c r="B682" t="s">
        <v>0</v>
      </c>
      <c r="C682">
        <v>0.64500000000000002</v>
      </c>
      <c r="D682">
        <v>0.52500000000000002</v>
      </c>
      <c r="E682">
        <v>0.19</v>
      </c>
      <c r="F682">
        <v>1.8085</v>
      </c>
      <c r="G682">
        <v>0.70350000000000001</v>
      </c>
      <c r="H682">
        <v>0.38850000000000001</v>
      </c>
      <c r="I682">
        <v>0.39500000000000002</v>
      </c>
      <c r="J682">
        <v>18</v>
      </c>
      <c r="K682">
        <v>10</v>
      </c>
      <c r="L682" t="s">
        <v>16</v>
      </c>
      <c r="M682" t="s">
        <v>17</v>
      </c>
      <c r="N682" t="s">
        <v>18</v>
      </c>
      <c r="O682">
        <v>7</v>
      </c>
      <c r="P682" t="s">
        <v>42</v>
      </c>
      <c r="Q682">
        <v>2.5</v>
      </c>
      <c r="R682" t="str" cm="1">
        <f t="array" ref="R6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82" t="e">
        <f>IF(Table13[[#This Row],[Category All]]="Category 1", "Yes",NA())</f>
        <v>#N/A</v>
      </c>
      <c r="T682" t="e">
        <f>IF(Table13[[#This Row],[Category All]]="Category 2", "Yes",NA())</f>
        <v>#N/A</v>
      </c>
      <c r="U682" t="str">
        <f>IF(Table13[[#This Row],[Category All]]="Category 3", "Yes",NA())</f>
        <v>Yes</v>
      </c>
      <c r="V682">
        <f>SUM(1,(1/3)*(Table13[[#This Row],[Length]]-0.5),(1/3)*(Table13[[#This Row],[Diameter]]-0.4),(1/3)*(Table13[[#This Row],[Height]]-0.4)*Table13[[#This Row],[Whole_weight]]*0.5)</f>
        <v>1.0267025000000001</v>
      </c>
      <c r="W682" cm="1">
        <f t="array" ref="W6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1.0267025000000001</v>
      </c>
      <c r="X682" t="e">
        <f>IF(Table13[[#This Row],[Category All]]="Category 1",Table13[[#This Row],[Base Abalone Value]]*1.5,NA())</f>
        <v>#N/A</v>
      </c>
      <c r="Y682" t="e">
        <f>IF(Table13[[#This Row],[Category All]]="Category 2",Table13[[#This Row],[Base Abalone Value]]*0.8,NA())</f>
        <v>#N/A</v>
      </c>
      <c r="Z682">
        <f>IF(Table13[[#This Row],[Category All]]="Category 3",Table13[[#This Row],[Base Abalone Value]],NA())</f>
        <v>1.0267025000000001</v>
      </c>
      <c r="AA682" s="2" t="e">
        <f>IF(Table13[[#This Row],[Gender]]="M",Table13[[#This Row],[Whole_weight]],NA())</f>
        <v>#N/A</v>
      </c>
      <c r="AB682" s="2">
        <f>IF(Table13[[#This Row],[Gender]]="F",Table13[[#This Row],[Whole_weight]],NA())</f>
        <v>1.8085</v>
      </c>
      <c r="AC682" s="2" t="e">
        <f>IF(Table13[[#This Row],[Gender]]="I",Table13[[#This Row],[Whole_weight]],NA())</f>
        <v>#N/A</v>
      </c>
      <c r="AD682" s="2" t="e">
        <f>IF(Table13[[#This Row],[Gender]]="M",Table13[[#This Row],[Diameter]],NA())</f>
        <v>#N/A</v>
      </c>
      <c r="AE682" s="2">
        <f>IF(Table13[[#This Row],[Gender]]="F",Table13[[#This Row],[Diameter]],NA())</f>
        <v>0.52500000000000002</v>
      </c>
      <c r="AF682" s="2" t="e">
        <f>IF(Table13[[#This Row],[Gender]]="I",Table13[[#This Row],[Diameter]],NA())</f>
        <v>#N/A</v>
      </c>
    </row>
    <row r="683" spans="1:32" x14ac:dyDescent="0.2">
      <c r="A683">
        <v>3635</v>
      </c>
      <c r="B683" t="s">
        <v>11</v>
      </c>
      <c r="C683">
        <v>0.36</v>
      </c>
      <c r="D683">
        <v>0.26500000000000001</v>
      </c>
      <c r="E683">
        <v>8.5000000000000006E-2</v>
      </c>
      <c r="F683">
        <v>0.1895</v>
      </c>
      <c r="G683">
        <v>7.2499999999999995E-2</v>
      </c>
      <c r="H683">
        <v>5.1499999999999997E-2</v>
      </c>
      <c r="I683">
        <v>5.5E-2</v>
      </c>
      <c r="J683">
        <v>6</v>
      </c>
      <c r="K683">
        <v>14</v>
      </c>
      <c r="L683" t="s">
        <v>23</v>
      </c>
      <c r="M683" t="s">
        <v>24</v>
      </c>
      <c r="N683" t="s">
        <v>25</v>
      </c>
      <c r="O683">
        <v>3</v>
      </c>
      <c r="P683" t="s">
        <v>48</v>
      </c>
      <c r="Q683">
        <v>3.6</v>
      </c>
      <c r="R683" t="str" cm="1">
        <f t="array" ref="R6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83" t="e">
        <f>IF(Table13[[#This Row],[Category All]]="Category 1", "Yes",NA())</f>
        <v>#N/A</v>
      </c>
      <c r="T683" t="str">
        <f>IF(Table13[[#This Row],[Category All]]="Category 2", "Yes",NA())</f>
        <v>Yes</v>
      </c>
      <c r="U683" t="e">
        <f>IF(Table13[[#This Row],[Category All]]="Category 3", "Yes",NA())</f>
        <v>#N/A</v>
      </c>
      <c r="V683">
        <f>SUM(1,(1/3)*(Table13[[#This Row],[Length]]-0.5),(1/3)*(Table13[[#This Row],[Diameter]]-0.4),(1/3)*(Table13[[#This Row],[Height]]-0.4)*Table13[[#This Row],[Whole_weight]]*0.5)</f>
        <v>0.89838458333333338</v>
      </c>
      <c r="W683" cm="1">
        <f t="array" ref="W6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0.71870766666666674</v>
      </c>
      <c r="X683" t="e">
        <f>IF(Table13[[#This Row],[Category All]]="Category 1",Table13[[#This Row],[Base Abalone Value]]*1.5,NA())</f>
        <v>#N/A</v>
      </c>
      <c r="Y683">
        <f>IF(Table13[[#This Row],[Category All]]="Category 2",Table13[[#This Row],[Base Abalone Value]]*0.8,NA())</f>
        <v>0.71870766666666674</v>
      </c>
      <c r="Z683" t="e">
        <f>IF(Table13[[#This Row],[Category All]]="Category 3",Table13[[#This Row],[Base Abalone Value]],NA())</f>
        <v>#N/A</v>
      </c>
      <c r="AA683" s="2" t="e">
        <f>IF(Table13[[#This Row],[Gender]]="M",Table13[[#This Row],[Whole_weight]],NA())</f>
        <v>#N/A</v>
      </c>
      <c r="AB683" s="2" t="e">
        <f>IF(Table13[[#This Row],[Gender]]="F",Table13[[#This Row],[Whole_weight]],NA())</f>
        <v>#N/A</v>
      </c>
      <c r="AC683" s="2">
        <f>IF(Table13[[#This Row],[Gender]]="I",Table13[[#This Row],[Whole_weight]],NA())</f>
        <v>0.1895</v>
      </c>
      <c r="AD683" s="2" t="e">
        <f>IF(Table13[[#This Row],[Gender]]="M",Table13[[#This Row],[Diameter]],NA())</f>
        <v>#N/A</v>
      </c>
      <c r="AE683" s="2" t="e">
        <f>IF(Table13[[#This Row],[Gender]]="F",Table13[[#This Row],[Diameter]],NA())</f>
        <v>#N/A</v>
      </c>
      <c r="AF683" s="2">
        <f>IF(Table13[[#This Row],[Gender]]="I",Table13[[#This Row],[Diameter]],NA())</f>
        <v>0.26500000000000001</v>
      </c>
    </row>
    <row r="684" spans="1:32" x14ac:dyDescent="0.2">
      <c r="A684">
        <v>573</v>
      </c>
      <c r="B684" t="s">
        <v>0</v>
      </c>
      <c r="C684">
        <v>0.59</v>
      </c>
      <c r="D684">
        <v>0.45500000000000002</v>
      </c>
      <c r="E684">
        <v>0.155</v>
      </c>
      <c r="F684">
        <v>1.0660000000000001</v>
      </c>
      <c r="G684">
        <v>0.38200000000000001</v>
      </c>
      <c r="H684">
        <v>0.22750000000000001</v>
      </c>
      <c r="I684">
        <v>0.41499999999999998</v>
      </c>
      <c r="J684">
        <v>20</v>
      </c>
      <c r="K684">
        <v>2</v>
      </c>
      <c r="L684" t="s">
        <v>32</v>
      </c>
      <c r="M684" t="s">
        <v>33</v>
      </c>
      <c r="N684" t="s">
        <v>34</v>
      </c>
      <c r="O684">
        <v>4</v>
      </c>
      <c r="P684" t="s">
        <v>10</v>
      </c>
      <c r="Q684">
        <v>6.1</v>
      </c>
      <c r="R684" t="str" cm="1">
        <f t="array" ref="R6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84" t="e">
        <f>IF(Table13[[#This Row],[Category All]]="Category 1", "Yes",NA())</f>
        <v>#N/A</v>
      </c>
      <c r="T684" t="str">
        <f>IF(Table13[[#This Row],[Category All]]="Category 2", "Yes",NA())</f>
        <v>Yes</v>
      </c>
      <c r="U684" t="e">
        <f>IF(Table13[[#This Row],[Category All]]="Category 3", "Yes",NA())</f>
        <v>#N/A</v>
      </c>
      <c r="V684">
        <f>SUM(1,(1/3)*(Table13[[#This Row],[Length]]-0.5),(1/3)*(Table13[[#This Row],[Diameter]]-0.4),(1/3)*(Table13[[#This Row],[Height]]-0.4)*Table13[[#This Row],[Whole_weight]]*0.5)</f>
        <v>1.0048049999999999</v>
      </c>
      <c r="W684" cm="1">
        <f t="array" ref="W6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0.803844</v>
      </c>
      <c r="X684" t="e">
        <f>IF(Table13[[#This Row],[Category All]]="Category 1",Table13[[#This Row],[Base Abalone Value]]*1.5,NA())</f>
        <v>#N/A</v>
      </c>
      <c r="Y684">
        <f>IF(Table13[[#This Row],[Category All]]="Category 2",Table13[[#This Row],[Base Abalone Value]]*0.8,NA())</f>
        <v>0.803844</v>
      </c>
      <c r="Z684" t="e">
        <f>IF(Table13[[#This Row],[Category All]]="Category 3",Table13[[#This Row],[Base Abalone Value]],NA())</f>
        <v>#N/A</v>
      </c>
      <c r="AA684" s="2" t="e">
        <f>IF(Table13[[#This Row],[Gender]]="M",Table13[[#This Row],[Whole_weight]],NA())</f>
        <v>#N/A</v>
      </c>
      <c r="AB684" s="2">
        <f>IF(Table13[[#This Row],[Gender]]="F",Table13[[#This Row],[Whole_weight]],NA())</f>
        <v>1.0660000000000001</v>
      </c>
      <c r="AC684" s="2" t="e">
        <f>IF(Table13[[#This Row],[Gender]]="I",Table13[[#This Row],[Whole_weight]],NA())</f>
        <v>#N/A</v>
      </c>
      <c r="AD684" s="2" t="e">
        <f>IF(Table13[[#This Row],[Gender]]="M",Table13[[#This Row],[Diameter]],NA())</f>
        <v>#N/A</v>
      </c>
      <c r="AE684" s="2">
        <f>IF(Table13[[#This Row],[Gender]]="F",Table13[[#This Row],[Diameter]],NA())</f>
        <v>0.45500000000000002</v>
      </c>
      <c r="AF684" s="2" t="e">
        <f>IF(Table13[[#This Row],[Gender]]="I",Table13[[#This Row],[Diameter]],NA())</f>
        <v>#N/A</v>
      </c>
    </row>
    <row r="685" spans="1:32" x14ac:dyDescent="0.2">
      <c r="A685">
        <v>383</v>
      </c>
      <c r="B685" t="s">
        <v>15</v>
      </c>
      <c r="C685">
        <v>0.48499999999999999</v>
      </c>
      <c r="D685">
        <v>0.4</v>
      </c>
      <c r="E685">
        <v>0.13500000000000001</v>
      </c>
      <c r="F685">
        <v>0.66300000000000003</v>
      </c>
      <c r="G685">
        <v>0.313</v>
      </c>
      <c r="H685">
        <v>0.13700000000000001</v>
      </c>
      <c r="I685">
        <v>0.2</v>
      </c>
      <c r="J685">
        <v>10</v>
      </c>
      <c r="K685">
        <v>13</v>
      </c>
      <c r="L685" t="s">
        <v>12</v>
      </c>
      <c r="M685" t="s">
        <v>13</v>
      </c>
      <c r="N685" t="s">
        <v>3</v>
      </c>
      <c r="O685">
        <v>6</v>
      </c>
      <c r="P685" t="s">
        <v>47</v>
      </c>
      <c r="Q685">
        <v>14.1</v>
      </c>
      <c r="R685" t="str" cm="1">
        <f t="array" ref="R6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85" t="e">
        <f>IF(Table13[[#This Row],[Category All]]="Category 1", "Yes",NA())</f>
        <v>#N/A</v>
      </c>
      <c r="T685" t="str">
        <f>IF(Table13[[#This Row],[Category All]]="Category 2", "Yes",NA())</f>
        <v>Yes</v>
      </c>
      <c r="U685" t="e">
        <f>IF(Table13[[#This Row],[Category All]]="Category 3", "Yes",NA())</f>
        <v>#N/A</v>
      </c>
      <c r="V685">
        <f>SUM(1,(1/3)*(Table13[[#This Row],[Length]]-0.5),(1/3)*(Table13[[#This Row],[Diameter]]-0.4),(1/3)*(Table13[[#This Row],[Height]]-0.4)*Table13[[#This Row],[Whole_weight]]*0.5)</f>
        <v>0.96571750000000001</v>
      </c>
      <c r="W685" cm="1">
        <f t="array" ref="W6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0.77257400000000009</v>
      </c>
      <c r="X685" t="e">
        <f>IF(Table13[[#This Row],[Category All]]="Category 1",Table13[[#This Row],[Base Abalone Value]]*1.5,NA())</f>
        <v>#N/A</v>
      </c>
      <c r="Y685">
        <f>IF(Table13[[#This Row],[Category All]]="Category 2",Table13[[#This Row],[Base Abalone Value]]*0.8,NA())</f>
        <v>0.77257400000000009</v>
      </c>
      <c r="Z685" t="e">
        <f>IF(Table13[[#This Row],[Category All]]="Category 3",Table13[[#This Row],[Base Abalone Value]],NA())</f>
        <v>#N/A</v>
      </c>
      <c r="AA685" s="2">
        <f>IF(Table13[[#This Row],[Gender]]="M",Table13[[#This Row],[Whole_weight]],NA())</f>
        <v>0.66300000000000003</v>
      </c>
      <c r="AB685" s="2" t="e">
        <f>IF(Table13[[#This Row],[Gender]]="F",Table13[[#This Row],[Whole_weight]],NA())</f>
        <v>#N/A</v>
      </c>
      <c r="AC685" s="2" t="e">
        <f>IF(Table13[[#This Row],[Gender]]="I",Table13[[#This Row],[Whole_weight]],NA())</f>
        <v>#N/A</v>
      </c>
      <c r="AD685" s="2">
        <f>IF(Table13[[#This Row],[Gender]]="M",Table13[[#This Row],[Diameter]],NA())</f>
        <v>0.4</v>
      </c>
      <c r="AE685" s="2" t="e">
        <f>IF(Table13[[#This Row],[Gender]]="F",Table13[[#This Row],[Diameter]],NA())</f>
        <v>#N/A</v>
      </c>
      <c r="AF685" s="2" t="e">
        <f>IF(Table13[[#This Row],[Gender]]="I",Table13[[#This Row],[Diameter]],NA())</f>
        <v>#N/A</v>
      </c>
    </row>
    <row r="686" spans="1:32" x14ac:dyDescent="0.2">
      <c r="A686">
        <v>560</v>
      </c>
      <c r="B686" t="s">
        <v>11</v>
      </c>
      <c r="C686">
        <v>0.52</v>
      </c>
      <c r="D686">
        <v>0.4</v>
      </c>
      <c r="E686">
        <v>0.14499999999999999</v>
      </c>
      <c r="F686">
        <v>0.66</v>
      </c>
      <c r="G686">
        <v>0.26700000000000002</v>
      </c>
      <c r="H686">
        <v>0.1055</v>
      </c>
      <c r="I686">
        <v>0.22</v>
      </c>
      <c r="J686">
        <v>13</v>
      </c>
      <c r="K686">
        <v>9</v>
      </c>
      <c r="L686" t="s">
        <v>20</v>
      </c>
      <c r="M686" t="s">
        <v>21</v>
      </c>
      <c r="N686" t="s">
        <v>22</v>
      </c>
      <c r="O686">
        <v>10</v>
      </c>
      <c r="P686" t="s">
        <v>38</v>
      </c>
      <c r="Q686">
        <v>24.1</v>
      </c>
      <c r="R686" t="str" cm="1">
        <f t="array" ref="R6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86" t="e">
        <f>IF(Table13[[#This Row],[Category All]]="Category 1", "Yes",NA())</f>
        <v>#N/A</v>
      </c>
      <c r="T686" t="str">
        <f>IF(Table13[[#This Row],[Category All]]="Category 2", "Yes",NA())</f>
        <v>Yes</v>
      </c>
      <c r="U686" t="e">
        <f>IF(Table13[[#This Row],[Category All]]="Category 3", "Yes",NA())</f>
        <v>#N/A</v>
      </c>
      <c r="V686">
        <f>SUM(1,(1/3)*(Table13[[#This Row],[Length]]-0.5),(1/3)*(Table13[[#This Row],[Diameter]]-0.4),(1/3)*(Table13[[#This Row],[Height]]-0.4)*Table13[[#This Row],[Whole_weight]]*0.5)</f>
        <v>0.97861666666666658</v>
      </c>
      <c r="W686" cm="1">
        <f t="array" ref="W6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0.78289333333333333</v>
      </c>
      <c r="X686" t="e">
        <f>IF(Table13[[#This Row],[Category All]]="Category 1",Table13[[#This Row],[Base Abalone Value]]*1.5,NA())</f>
        <v>#N/A</v>
      </c>
      <c r="Y686">
        <f>IF(Table13[[#This Row],[Category All]]="Category 2",Table13[[#This Row],[Base Abalone Value]]*0.8,NA())</f>
        <v>0.78289333333333333</v>
      </c>
      <c r="Z686" t="e">
        <f>IF(Table13[[#This Row],[Category All]]="Category 3",Table13[[#This Row],[Base Abalone Value]],NA())</f>
        <v>#N/A</v>
      </c>
      <c r="AA686" s="2" t="e">
        <f>IF(Table13[[#This Row],[Gender]]="M",Table13[[#This Row],[Whole_weight]],NA())</f>
        <v>#N/A</v>
      </c>
      <c r="AB686" s="2" t="e">
        <f>IF(Table13[[#This Row],[Gender]]="F",Table13[[#This Row],[Whole_weight]],NA())</f>
        <v>#N/A</v>
      </c>
      <c r="AC686" s="2">
        <f>IF(Table13[[#This Row],[Gender]]="I",Table13[[#This Row],[Whole_weight]],NA())</f>
        <v>0.66</v>
      </c>
      <c r="AD686" s="2" t="e">
        <f>IF(Table13[[#This Row],[Gender]]="M",Table13[[#This Row],[Diameter]],NA())</f>
        <v>#N/A</v>
      </c>
      <c r="AE686" s="2" t="e">
        <f>IF(Table13[[#This Row],[Gender]]="F",Table13[[#This Row],[Diameter]],NA())</f>
        <v>#N/A</v>
      </c>
      <c r="AF686" s="2">
        <f>IF(Table13[[#This Row],[Gender]]="I",Table13[[#This Row],[Diameter]],NA())</f>
        <v>0.4</v>
      </c>
    </row>
    <row r="687" spans="1:32" x14ac:dyDescent="0.2">
      <c r="A687">
        <v>4176</v>
      </c>
      <c r="B687" t="s">
        <v>0</v>
      </c>
      <c r="C687">
        <v>0.625</v>
      </c>
      <c r="D687">
        <v>0.48499999999999999</v>
      </c>
      <c r="E687">
        <v>0.15</v>
      </c>
      <c r="F687">
        <v>1.0945</v>
      </c>
      <c r="G687">
        <v>0.53100000000000003</v>
      </c>
      <c r="H687">
        <v>0.26100000000000001</v>
      </c>
      <c r="I687">
        <v>0.29599999999999999</v>
      </c>
      <c r="J687">
        <v>10</v>
      </c>
      <c r="K687">
        <v>9</v>
      </c>
      <c r="L687" t="s">
        <v>20</v>
      </c>
      <c r="M687" t="s">
        <v>21</v>
      </c>
      <c r="N687" t="s">
        <v>22</v>
      </c>
      <c r="O687">
        <v>9</v>
      </c>
      <c r="P687" t="s">
        <v>46</v>
      </c>
      <c r="Q687">
        <v>1.9</v>
      </c>
      <c r="R687" t="str" cm="1">
        <f t="array" ref="R6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87" t="e">
        <f>IF(Table13[[#This Row],[Category All]]="Category 1", "Yes",NA())</f>
        <v>#N/A</v>
      </c>
      <c r="T687" t="e">
        <f>IF(Table13[[#This Row],[Category All]]="Category 2", "Yes",NA())</f>
        <v>#N/A</v>
      </c>
      <c r="U687" t="str">
        <f>IF(Table13[[#This Row],[Category All]]="Category 3", "Yes",NA())</f>
        <v>Yes</v>
      </c>
      <c r="V687">
        <f>SUM(1,(1/3)*(Table13[[#This Row],[Length]]-0.5),(1/3)*(Table13[[#This Row],[Diameter]]-0.4),(1/3)*(Table13[[#This Row],[Height]]-0.4)*Table13[[#This Row],[Whole_weight]]*0.5)</f>
        <v>1.0243958333333334</v>
      </c>
      <c r="W687" cm="1">
        <f t="array" ref="W6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1.0243958333333334</v>
      </c>
      <c r="X687" t="e">
        <f>IF(Table13[[#This Row],[Category All]]="Category 1",Table13[[#This Row],[Base Abalone Value]]*1.5,NA())</f>
        <v>#N/A</v>
      </c>
      <c r="Y687" t="e">
        <f>IF(Table13[[#This Row],[Category All]]="Category 2",Table13[[#This Row],[Base Abalone Value]]*0.8,NA())</f>
        <v>#N/A</v>
      </c>
      <c r="Z687">
        <f>IF(Table13[[#This Row],[Category All]]="Category 3",Table13[[#This Row],[Base Abalone Value]],NA())</f>
        <v>1.0243958333333334</v>
      </c>
      <c r="AA687" s="2" t="e">
        <f>IF(Table13[[#This Row],[Gender]]="M",Table13[[#This Row],[Whole_weight]],NA())</f>
        <v>#N/A</v>
      </c>
      <c r="AB687" s="2">
        <f>IF(Table13[[#This Row],[Gender]]="F",Table13[[#This Row],[Whole_weight]],NA())</f>
        <v>1.0945</v>
      </c>
      <c r="AC687" s="2" t="e">
        <f>IF(Table13[[#This Row],[Gender]]="I",Table13[[#This Row],[Whole_weight]],NA())</f>
        <v>#N/A</v>
      </c>
      <c r="AD687" s="2" t="e">
        <f>IF(Table13[[#This Row],[Gender]]="M",Table13[[#This Row],[Diameter]],NA())</f>
        <v>#N/A</v>
      </c>
      <c r="AE687" s="2">
        <f>IF(Table13[[#This Row],[Gender]]="F",Table13[[#This Row],[Diameter]],NA())</f>
        <v>0.48499999999999999</v>
      </c>
      <c r="AF687" s="2" t="e">
        <f>IF(Table13[[#This Row],[Gender]]="I",Table13[[#This Row],[Diameter]],NA())</f>
        <v>#N/A</v>
      </c>
    </row>
    <row r="688" spans="1:32" x14ac:dyDescent="0.2">
      <c r="A688">
        <v>4171</v>
      </c>
      <c r="B688" t="s">
        <v>15</v>
      </c>
      <c r="C688">
        <v>0.55000000000000004</v>
      </c>
      <c r="D688">
        <v>0.43</v>
      </c>
      <c r="E688">
        <v>0.13</v>
      </c>
      <c r="F688">
        <v>0.83950000000000002</v>
      </c>
      <c r="G688">
        <v>0.3155</v>
      </c>
      <c r="H688">
        <v>0.19550000000000001</v>
      </c>
      <c r="I688">
        <v>0.24049999999999999</v>
      </c>
      <c r="J688">
        <v>10</v>
      </c>
      <c r="K688">
        <v>12</v>
      </c>
      <c r="L688" t="s">
        <v>1</v>
      </c>
      <c r="M688" t="s">
        <v>2</v>
      </c>
      <c r="N688" t="s">
        <v>3</v>
      </c>
      <c r="O688">
        <v>4</v>
      </c>
      <c r="P688" t="s">
        <v>10</v>
      </c>
      <c r="Q688">
        <v>6.1</v>
      </c>
      <c r="R688" t="str" cm="1">
        <f t="array" ref="R6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88" t="e">
        <f>IF(Table13[[#This Row],[Category All]]="Category 1", "Yes",NA())</f>
        <v>#N/A</v>
      </c>
      <c r="T688" t="str">
        <f>IF(Table13[[#This Row],[Category All]]="Category 2", "Yes",NA())</f>
        <v>Yes</v>
      </c>
      <c r="U688" t="e">
        <f>IF(Table13[[#This Row],[Category All]]="Category 3", "Yes",NA())</f>
        <v>#N/A</v>
      </c>
      <c r="V688">
        <f>SUM(1,(1/3)*(Table13[[#This Row],[Length]]-0.5),(1/3)*(Table13[[#This Row],[Diameter]]-0.4),(1/3)*(Table13[[#This Row],[Height]]-0.4)*Table13[[#This Row],[Whole_weight]]*0.5)</f>
        <v>0.9888891666666666</v>
      </c>
      <c r="W688" cm="1">
        <f t="array" ref="W6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0.79111133333333328</v>
      </c>
      <c r="X688" t="e">
        <f>IF(Table13[[#This Row],[Category All]]="Category 1",Table13[[#This Row],[Base Abalone Value]]*1.5,NA())</f>
        <v>#N/A</v>
      </c>
      <c r="Y688">
        <f>IF(Table13[[#This Row],[Category All]]="Category 2",Table13[[#This Row],[Base Abalone Value]]*0.8,NA())</f>
        <v>0.79111133333333328</v>
      </c>
      <c r="Z688" t="e">
        <f>IF(Table13[[#This Row],[Category All]]="Category 3",Table13[[#This Row],[Base Abalone Value]],NA())</f>
        <v>#N/A</v>
      </c>
      <c r="AA688" s="2">
        <f>IF(Table13[[#This Row],[Gender]]="M",Table13[[#This Row],[Whole_weight]],NA())</f>
        <v>0.83950000000000002</v>
      </c>
      <c r="AB688" s="2" t="e">
        <f>IF(Table13[[#This Row],[Gender]]="F",Table13[[#This Row],[Whole_weight]],NA())</f>
        <v>#N/A</v>
      </c>
      <c r="AC688" s="2" t="e">
        <f>IF(Table13[[#This Row],[Gender]]="I",Table13[[#This Row],[Whole_weight]],NA())</f>
        <v>#N/A</v>
      </c>
      <c r="AD688" s="2">
        <f>IF(Table13[[#This Row],[Gender]]="M",Table13[[#This Row],[Diameter]],NA())</f>
        <v>0.43</v>
      </c>
      <c r="AE688" s="2" t="e">
        <f>IF(Table13[[#This Row],[Gender]]="F",Table13[[#This Row],[Diameter]],NA())</f>
        <v>#N/A</v>
      </c>
      <c r="AF688" s="2" t="e">
        <f>IF(Table13[[#This Row],[Gender]]="I",Table13[[#This Row],[Diameter]],NA())</f>
        <v>#N/A</v>
      </c>
    </row>
    <row r="689" spans="1:32" x14ac:dyDescent="0.2">
      <c r="A689">
        <v>1525</v>
      </c>
      <c r="B689" t="s">
        <v>0</v>
      </c>
      <c r="C689">
        <v>0.7</v>
      </c>
      <c r="D689">
        <v>0.55000000000000004</v>
      </c>
      <c r="E689">
        <v>0.17</v>
      </c>
      <c r="F689">
        <v>1.6839999999999999</v>
      </c>
      <c r="G689">
        <v>0.75349999999999995</v>
      </c>
      <c r="H689">
        <v>0.32650000000000001</v>
      </c>
      <c r="I689">
        <v>0.32</v>
      </c>
      <c r="J689">
        <v>11</v>
      </c>
      <c r="K689">
        <v>12</v>
      </c>
      <c r="L689" t="s">
        <v>1</v>
      </c>
      <c r="M689" t="s">
        <v>2</v>
      </c>
      <c r="N689" t="s">
        <v>3</v>
      </c>
      <c r="O689">
        <v>5</v>
      </c>
      <c r="P689" t="s">
        <v>14</v>
      </c>
      <c r="Q689">
        <v>12.8</v>
      </c>
      <c r="R689" t="str" cm="1">
        <f t="array" ref="R6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89" t="e">
        <f>IF(Table13[[#This Row],[Category All]]="Category 1", "Yes",NA())</f>
        <v>#N/A</v>
      </c>
      <c r="T689" t="e">
        <f>IF(Table13[[#This Row],[Category All]]="Category 2", "Yes",NA())</f>
        <v>#N/A</v>
      </c>
      <c r="U689" t="str">
        <f>IF(Table13[[#This Row],[Category All]]="Category 3", "Yes",NA())</f>
        <v>Yes</v>
      </c>
      <c r="V689">
        <f>SUM(1,(1/3)*(Table13[[#This Row],[Length]]-0.5),(1/3)*(Table13[[#This Row],[Diameter]]-0.4),(1/3)*(Table13[[#This Row],[Height]]-0.4)*Table13[[#This Row],[Whole_weight]]*0.5)</f>
        <v>1.0521133333333335</v>
      </c>
      <c r="W689" cm="1">
        <f t="array" ref="W6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1.0521133333333335</v>
      </c>
      <c r="X689" t="e">
        <f>IF(Table13[[#This Row],[Category All]]="Category 1",Table13[[#This Row],[Base Abalone Value]]*1.5,NA())</f>
        <v>#N/A</v>
      </c>
      <c r="Y689" t="e">
        <f>IF(Table13[[#This Row],[Category All]]="Category 2",Table13[[#This Row],[Base Abalone Value]]*0.8,NA())</f>
        <v>#N/A</v>
      </c>
      <c r="Z689">
        <f>IF(Table13[[#This Row],[Category All]]="Category 3",Table13[[#This Row],[Base Abalone Value]],NA())</f>
        <v>1.0521133333333335</v>
      </c>
      <c r="AA689" s="2" t="e">
        <f>IF(Table13[[#This Row],[Gender]]="M",Table13[[#This Row],[Whole_weight]],NA())</f>
        <v>#N/A</v>
      </c>
      <c r="AB689" s="2">
        <f>IF(Table13[[#This Row],[Gender]]="F",Table13[[#This Row],[Whole_weight]],NA())</f>
        <v>1.6839999999999999</v>
      </c>
      <c r="AC689" s="2" t="e">
        <f>IF(Table13[[#This Row],[Gender]]="I",Table13[[#This Row],[Whole_weight]],NA())</f>
        <v>#N/A</v>
      </c>
      <c r="AD689" s="2" t="e">
        <f>IF(Table13[[#This Row],[Gender]]="M",Table13[[#This Row],[Diameter]],NA())</f>
        <v>#N/A</v>
      </c>
      <c r="AE689" s="2">
        <f>IF(Table13[[#This Row],[Gender]]="F",Table13[[#This Row],[Diameter]],NA())</f>
        <v>0.55000000000000004</v>
      </c>
      <c r="AF689" s="2" t="e">
        <f>IF(Table13[[#This Row],[Gender]]="I",Table13[[#This Row],[Diameter]],NA())</f>
        <v>#N/A</v>
      </c>
    </row>
    <row r="690" spans="1:32" x14ac:dyDescent="0.2">
      <c r="A690">
        <v>271</v>
      </c>
      <c r="B690" t="s">
        <v>0</v>
      </c>
      <c r="C690">
        <v>0.64</v>
      </c>
      <c r="D690">
        <v>0.52500000000000002</v>
      </c>
      <c r="E690">
        <v>0.215</v>
      </c>
      <c r="F690">
        <v>1.7789999999999999</v>
      </c>
      <c r="G690">
        <v>0.45350000000000001</v>
      </c>
      <c r="H690">
        <v>0.28549999999999998</v>
      </c>
      <c r="I690">
        <v>0.55000000000000004</v>
      </c>
      <c r="J690">
        <v>22</v>
      </c>
      <c r="K690">
        <v>4</v>
      </c>
      <c r="L690" t="s">
        <v>52</v>
      </c>
      <c r="M690" t="s">
        <v>53</v>
      </c>
      <c r="N690" t="s">
        <v>54</v>
      </c>
      <c r="O690">
        <v>4</v>
      </c>
      <c r="P690" t="s">
        <v>10</v>
      </c>
      <c r="Q690">
        <v>6.1</v>
      </c>
      <c r="R690" t="str" cm="1">
        <f t="array" ref="R6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90" t="e">
        <f>IF(Table13[[#This Row],[Category All]]="Category 1", "Yes",NA())</f>
        <v>#N/A</v>
      </c>
      <c r="T690" t="str">
        <f>IF(Table13[[#This Row],[Category All]]="Category 2", "Yes",NA())</f>
        <v>Yes</v>
      </c>
      <c r="U690" t="e">
        <f>IF(Table13[[#This Row],[Category All]]="Category 3", "Yes",NA())</f>
        <v>#N/A</v>
      </c>
      <c r="V690">
        <f>SUM(1,(1/3)*(Table13[[#This Row],[Length]]-0.5),(1/3)*(Table13[[#This Row],[Diameter]]-0.4),(1/3)*(Table13[[#This Row],[Height]]-0.4)*Table13[[#This Row],[Whole_weight]]*0.5)</f>
        <v>1.0334808333333334</v>
      </c>
      <c r="W690" cm="1">
        <f t="array" ref="W6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0.82678466666666672</v>
      </c>
      <c r="X690" t="e">
        <f>IF(Table13[[#This Row],[Category All]]="Category 1",Table13[[#This Row],[Base Abalone Value]]*1.5,NA())</f>
        <v>#N/A</v>
      </c>
      <c r="Y690">
        <f>IF(Table13[[#This Row],[Category All]]="Category 2",Table13[[#This Row],[Base Abalone Value]]*0.8,NA())</f>
        <v>0.82678466666666672</v>
      </c>
      <c r="Z690" t="e">
        <f>IF(Table13[[#This Row],[Category All]]="Category 3",Table13[[#This Row],[Base Abalone Value]],NA())</f>
        <v>#N/A</v>
      </c>
      <c r="AA690" s="2" t="e">
        <f>IF(Table13[[#This Row],[Gender]]="M",Table13[[#This Row],[Whole_weight]],NA())</f>
        <v>#N/A</v>
      </c>
      <c r="AB690" s="2">
        <f>IF(Table13[[#This Row],[Gender]]="F",Table13[[#This Row],[Whole_weight]],NA())</f>
        <v>1.7789999999999999</v>
      </c>
      <c r="AC690" s="2" t="e">
        <f>IF(Table13[[#This Row],[Gender]]="I",Table13[[#This Row],[Whole_weight]],NA())</f>
        <v>#N/A</v>
      </c>
      <c r="AD690" s="2" t="e">
        <f>IF(Table13[[#This Row],[Gender]]="M",Table13[[#This Row],[Diameter]],NA())</f>
        <v>#N/A</v>
      </c>
      <c r="AE690" s="2">
        <f>IF(Table13[[#This Row],[Gender]]="F",Table13[[#This Row],[Diameter]],NA())</f>
        <v>0.52500000000000002</v>
      </c>
      <c r="AF690" s="2" t="e">
        <f>IF(Table13[[#This Row],[Gender]]="I",Table13[[#This Row],[Diameter]],NA())</f>
        <v>#N/A</v>
      </c>
    </row>
    <row r="691" spans="1:32" x14ac:dyDescent="0.2">
      <c r="A691">
        <v>1925</v>
      </c>
      <c r="B691" t="s">
        <v>0</v>
      </c>
      <c r="C691">
        <v>0.61</v>
      </c>
      <c r="D691">
        <v>0.46</v>
      </c>
      <c r="E691">
        <v>0.155</v>
      </c>
      <c r="F691">
        <v>0.95699999999999996</v>
      </c>
      <c r="G691">
        <v>0.42549999999999999</v>
      </c>
      <c r="H691">
        <v>0.19750000000000001</v>
      </c>
      <c r="I691">
        <v>0.26500000000000001</v>
      </c>
      <c r="J691">
        <v>8</v>
      </c>
      <c r="K691">
        <v>2</v>
      </c>
      <c r="L691" t="s">
        <v>32</v>
      </c>
      <c r="M691" t="s">
        <v>33</v>
      </c>
      <c r="N691" t="s">
        <v>34</v>
      </c>
      <c r="O691">
        <v>1</v>
      </c>
      <c r="P691" t="s">
        <v>4</v>
      </c>
      <c r="Q691">
        <v>22.1</v>
      </c>
      <c r="R691" t="str" cm="1">
        <f t="array" ref="R6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91" t="e">
        <f>IF(Table13[[#This Row],[Category All]]="Category 1", "Yes",NA())</f>
        <v>#N/A</v>
      </c>
      <c r="T691" t="e">
        <f>IF(Table13[[#This Row],[Category All]]="Category 2", "Yes",NA())</f>
        <v>#N/A</v>
      </c>
      <c r="U691" t="str">
        <f>IF(Table13[[#This Row],[Category All]]="Category 3", "Yes",NA())</f>
        <v>Yes</v>
      </c>
      <c r="V691">
        <f>SUM(1,(1/3)*(Table13[[#This Row],[Length]]-0.5),(1/3)*(Table13[[#This Row],[Diameter]]-0.4),(1/3)*(Table13[[#This Row],[Height]]-0.4)*Table13[[#This Row],[Whole_weight]]*0.5)</f>
        <v>1.0175891666666665</v>
      </c>
      <c r="W691" cm="1">
        <f t="array" ref="W6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1.0175891666666665</v>
      </c>
      <c r="X691" t="e">
        <f>IF(Table13[[#This Row],[Category All]]="Category 1",Table13[[#This Row],[Base Abalone Value]]*1.5,NA())</f>
        <v>#N/A</v>
      </c>
      <c r="Y691" t="e">
        <f>IF(Table13[[#This Row],[Category All]]="Category 2",Table13[[#This Row],[Base Abalone Value]]*0.8,NA())</f>
        <v>#N/A</v>
      </c>
      <c r="Z691">
        <f>IF(Table13[[#This Row],[Category All]]="Category 3",Table13[[#This Row],[Base Abalone Value]],NA())</f>
        <v>1.0175891666666665</v>
      </c>
      <c r="AA691" s="2" t="e">
        <f>IF(Table13[[#This Row],[Gender]]="M",Table13[[#This Row],[Whole_weight]],NA())</f>
        <v>#N/A</v>
      </c>
      <c r="AB691" s="2">
        <f>IF(Table13[[#This Row],[Gender]]="F",Table13[[#This Row],[Whole_weight]],NA())</f>
        <v>0.95699999999999996</v>
      </c>
      <c r="AC691" s="2" t="e">
        <f>IF(Table13[[#This Row],[Gender]]="I",Table13[[#This Row],[Whole_weight]],NA())</f>
        <v>#N/A</v>
      </c>
      <c r="AD691" s="2" t="e">
        <f>IF(Table13[[#This Row],[Gender]]="M",Table13[[#This Row],[Diameter]],NA())</f>
        <v>#N/A</v>
      </c>
      <c r="AE691" s="2">
        <f>IF(Table13[[#This Row],[Gender]]="F",Table13[[#This Row],[Diameter]],NA())</f>
        <v>0.46</v>
      </c>
      <c r="AF691" s="2" t="e">
        <f>IF(Table13[[#This Row],[Gender]]="I",Table13[[#This Row],[Diameter]],NA())</f>
        <v>#N/A</v>
      </c>
    </row>
    <row r="692" spans="1:32" x14ac:dyDescent="0.2">
      <c r="A692">
        <v>3071</v>
      </c>
      <c r="B692" t="s">
        <v>0</v>
      </c>
      <c r="C692">
        <v>0.65500000000000003</v>
      </c>
      <c r="D692">
        <v>0.49</v>
      </c>
      <c r="E692">
        <v>0.16</v>
      </c>
      <c r="F692">
        <v>1.204</v>
      </c>
      <c r="G692">
        <v>0.54549999999999998</v>
      </c>
      <c r="H692">
        <v>0.26150000000000001</v>
      </c>
      <c r="I692">
        <v>0.32250000000000001</v>
      </c>
      <c r="J692">
        <v>9</v>
      </c>
      <c r="K692">
        <v>14</v>
      </c>
      <c r="L692" t="s">
        <v>23</v>
      </c>
      <c r="M692" t="s">
        <v>24</v>
      </c>
      <c r="N692" t="s">
        <v>25</v>
      </c>
      <c r="O692">
        <v>6</v>
      </c>
      <c r="P692" t="s">
        <v>47</v>
      </c>
      <c r="Q692">
        <v>14.1</v>
      </c>
      <c r="R692" t="str" cm="1">
        <f t="array" ref="R6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92" t="e">
        <f>IF(Table13[[#This Row],[Category All]]="Category 1", "Yes",NA())</f>
        <v>#N/A</v>
      </c>
      <c r="T692" t="e">
        <f>IF(Table13[[#This Row],[Category All]]="Category 2", "Yes",NA())</f>
        <v>#N/A</v>
      </c>
      <c r="U692" t="str">
        <f>IF(Table13[[#This Row],[Category All]]="Category 3", "Yes",NA())</f>
        <v>Yes</v>
      </c>
      <c r="V692">
        <f>SUM(1,(1/3)*(Table13[[#This Row],[Length]]-0.5),(1/3)*(Table13[[#This Row],[Diameter]]-0.4),(1/3)*(Table13[[#This Row],[Height]]-0.4)*Table13[[#This Row],[Whole_weight]]*0.5)</f>
        <v>1.0335066666666668</v>
      </c>
      <c r="W692" cm="1">
        <f t="array" ref="W6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1.0335066666666668</v>
      </c>
      <c r="X692" t="e">
        <f>IF(Table13[[#This Row],[Category All]]="Category 1",Table13[[#This Row],[Base Abalone Value]]*1.5,NA())</f>
        <v>#N/A</v>
      </c>
      <c r="Y692" t="e">
        <f>IF(Table13[[#This Row],[Category All]]="Category 2",Table13[[#This Row],[Base Abalone Value]]*0.8,NA())</f>
        <v>#N/A</v>
      </c>
      <c r="Z692">
        <f>IF(Table13[[#This Row],[Category All]]="Category 3",Table13[[#This Row],[Base Abalone Value]],NA())</f>
        <v>1.0335066666666668</v>
      </c>
      <c r="AA692" s="2" t="e">
        <f>IF(Table13[[#This Row],[Gender]]="M",Table13[[#This Row],[Whole_weight]],NA())</f>
        <v>#N/A</v>
      </c>
      <c r="AB692" s="2">
        <f>IF(Table13[[#This Row],[Gender]]="F",Table13[[#This Row],[Whole_weight]],NA())</f>
        <v>1.204</v>
      </c>
      <c r="AC692" s="2" t="e">
        <f>IF(Table13[[#This Row],[Gender]]="I",Table13[[#This Row],[Whole_weight]],NA())</f>
        <v>#N/A</v>
      </c>
      <c r="AD692" s="2" t="e">
        <f>IF(Table13[[#This Row],[Gender]]="M",Table13[[#This Row],[Diameter]],NA())</f>
        <v>#N/A</v>
      </c>
      <c r="AE692" s="2">
        <f>IF(Table13[[#This Row],[Gender]]="F",Table13[[#This Row],[Diameter]],NA())</f>
        <v>0.49</v>
      </c>
      <c r="AF692" s="2" t="e">
        <f>IF(Table13[[#This Row],[Gender]]="I",Table13[[#This Row],[Diameter]],NA())</f>
        <v>#N/A</v>
      </c>
    </row>
    <row r="693" spans="1:32" x14ac:dyDescent="0.2">
      <c r="A693">
        <v>296</v>
      </c>
      <c r="B693" t="s">
        <v>11</v>
      </c>
      <c r="C693">
        <v>0.29499999999999998</v>
      </c>
      <c r="D693">
        <v>0.215</v>
      </c>
      <c r="E693">
        <v>8.5000000000000006E-2</v>
      </c>
      <c r="F693">
        <v>0.128</v>
      </c>
      <c r="G693">
        <v>4.9000000000000002E-2</v>
      </c>
      <c r="H693">
        <v>3.4000000000000002E-2</v>
      </c>
      <c r="I693">
        <v>0.04</v>
      </c>
      <c r="J693">
        <v>6</v>
      </c>
      <c r="K693">
        <v>13</v>
      </c>
      <c r="L693" t="s">
        <v>12</v>
      </c>
      <c r="M693" t="s">
        <v>13</v>
      </c>
      <c r="N693" t="s">
        <v>3</v>
      </c>
      <c r="O693">
        <v>9</v>
      </c>
      <c r="P693" t="s">
        <v>46</v>
      </c>
      <c r="Q693">
        <v>1.9</v>
      </c>
      <c r="R693" t="str" cm="1">
        <f t="array" ref="R6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93" t="e">
        <f>IF(Table13[[#This Row],[Category All]]="Category 1", "Yes",NA())</f>
        <v>#N/A</v>
      </c>
      <c r="T693" t="str">
        <f>IF(Table13[[#This Row],[Category All]]="Category 2", "Yes",NA())</f>
        <v>Yes</v>
      </c>
      <c r="U693" t="e">
        <f>IF(Table13[[#This Row],[Category All]]="Category 3", "Yes",NA())</f>
        <v>#N/A</v>
      </c>
      <c r="V693">
        <f>SUM(1,(1/3)*(Table13[[#This Row],[Length]]-0.5),(1/3)*(Table13[[#This Row],[Diameter]]-0.4),(1/3)*(Table13[[#This Row],[Height]]-0.4)*Table13[[#This Row],[Whole_weight]]*0.5)</f>
        <v>0.86328000000000005</v>
      </c>
      <c r="W693" cm="1">
        <f t="array" ref="W6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0.69062400000000013</v>
      </c>
      <c r="X693" t="e">
        <f>IF(Table13[[#This Row],[Category All]]="Category 1",Table13[[#This Row],[Base Abalone Value]]*1.5,NA())</f>
        <v>#N/A</v>
      </c>
      <c r="Y693">
        <f>IF(Table13[[#This Row],[Category All]]="Category 2",Table13[[#This Row],[Base Abalone Value]]*0.8,NA())</f>
        <v>0.69062400000000013</v>
      </c>
      <c r="Z693" t="e">
        <f>IF(Table13[[#This Row],[Category All]]="Category 3",Table13[[#This Row],[Base Abalone Value]],NA())</f>
        <v>#N/A</v>
      </c>
      <c r="AA693" s="2" t="e">
        <f>IF(Table13[[#This Row],[Gender]]="M",Table13[[#This Row],[Whole_weight]],NA())</f>
        <v>#N/A</v>
      </c>
      <c r="AB693" s="2" t="e">
        <f>IF(Table13[[#This Row],[Gender]]="F",Table13[[#This Row],[Whole_weight]],NA())</f>
        <v>#N/A</v>
      </c>
      <c r="AC693" s="2">
        <f>IF(Table13[[#This Row],[Gender]]="I",Table13[[#This Row],[Whole_weight]],NA())</f>
        <v>0.128</v>
      </c>
      <c r="AD693" s="2" t="e">
        <f>IF(Table13[[#This Row],[Gender]]="M",Table13[[#This Row],[Diameter]],NA())</f>
        <v>#N/A</v>
      </c>
      <c r="AE693" s="2" t="e">
        <f>IF(Table13[[#This Row],[Gender]]="F",Table13[[#This Row],[Diameter]],NA())</f>
        <v>#N/A</v>
      </c>
      <c r="AF693" s="2">
        <f>IF(Table13[[#This Row],[Gender]]="I",Table13[[#This Row],[Diameter]],NA())</f>
        <v>0.215</v>
      </c>
    </row>
    <row r="694" spans="1:32" x14ac:dyDescent="0.2">
      <c r="A694">
        <v>2091</v>
      </c>
      <c r="B694" t="s">
        <v>15</v>
      </c>
      <c r="C694">
        <v>0.77500000000000002</v>
      </c>
      <c r="D694">
        <v>0.56999999999999995</v>
      </c>
      <c r="E694">
        <v>0.22</v>
      </c>
      <c r="F694">
        <v>2.032</v>
      </c>
      <c r="G694">
        <v>0.73499999999999999</v>
      </c>
      <c r="H694">
        <v>0.47549999999999998</v>
      </c>
      <c r="I694">
        <v>0.65849999999999997</v>
      </c>
      <c r="J694">
        <v>17</v>
      </c>
      <c r="K694">
        <v>15</v>
      </c>
      <c r="L694" t="s">
        <v>49</v>
      </c>
      <c r="M694" t="s">
        <v>50</v>
      </c>
      <c r="N694" t="s">
        <v>3</v>
      </c>
      <c r="O694">
        <v>3</v>
      </c>
      <c r="P694" t="s">
        <v>48</v>
      </c>
      <c r="Q694">
        <v>3.6</v>
      </c>
      <c r="R694" t="str" cm="1">
        <f t="array" ref="R6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694" t="str">
        <f>IF(Table13[[#This Row],[Category All]]="Category 1", "Yes",NA())</f>
        <v>Yes</v>
      </c>
      <c r="T694" t="e">
        <f>IF(Table13[[#This Row],[Category All]]="Category 2", "Yes",NA())</f>
        <v>#N/A</v>
      </c>
      <c r="U694" t="e">
        <f>IF(Table13[[#This Row],[Category All]]="Category 3", "Yes",NA())</f>
        <v>#N/A</v>
      </c>
      <c r="V694">
        <f>SUM(1,(1/3)*(Table13[[#This Row],[Length]]-0.5),(1/3)*(Table13[[#This Row],[Diameter]]-0.4),(1/3)*(Table13[[#This Row],[Height]]-0.4)*Table13[[#This Row],[Whole_weight]]*0.5)</f>
        <v>1.0873733333333335</v>
      </c>
      <c r="W694" cm="1">
        <f t="array" ref="W6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1.6310600000000002</v>
      </c>
      <c r="X694">
        <f>IF(Table13[[#This Row],[Category All]]="Category 1",Table13[[#This Row],[Base Abalone Value]]*1.5,NA())</f>
        <v>1.6310600000000002</v>
      </c>
      <c r="Y694" t="e">
        <f>IF(Table13[[#This Row],[Category All]]="Category 2",Table13[[#This Row],[Base Abalone Value]]*0.8,NA())</f>
        <v>#N/A</v>
      </c>
      <c r="Z694" t="e">
        <f>IF(Table13[[#This Row],[Category All]]="Category 3",Table13[[#This Row],[Base Abalone Value]],NA())</f>
        <v>#N/A</v>
      </c>
      <c r="AA694" s="2">
        <f>IF(Table13[[#This Row],[Gender]]="M",Table13[[#This Row],[Whole_weight]],NA())</f>
        <v>2.032</v>
      </c>
      <c r="AB694" s="2" t="e">
        <f>IF(Table13[[#This Row],[Gender]]="F",Table13[[#This Row],[Whole_weight]],NA())</f>
        <v>#N/A</v>
      </c>
      <c r="AC694" s="2" t="e">
        <f>IF(Table13[[#This Row],[Gender]]="I",Table13[[#This Row],[Whole_weight]],NA())</f>
        <v>#N/A</v>
      </c>
      <c r="AD694" s="2">
        <f>IF(Table13[[#This Row],[Gender]]="M",Table13[[#This Row],[Diameter]],NA())</f>
        <v>0.56999999999999995</v>
      </c>
      <c r="AE694" s="2" t="e">
        <f>IF(Table13[[#This Row],[Gender]]="F",Table13[[#This Row],[Diameter]],NA())</f>
        <v>#N/A</v>
      </c>
      <c r="AF694" s="2" t="e">
        <f>IF(Table13[[#This Row],[Gender]]="I",Table13[[#This Row],[Diameter]],NA())</f>
        <v>#N/A</v>
      </c>
    </row>
    <row r="695" spans="1:32" x14ac:dyDescent="0.2">
      <c r="A695">
        <v>4063</v>
      </c>
      <c r="B695" t="s">
        <v>15</v>
      </c>
      <c r="C695">
        <v>0.63</v>
      </c>
      <c r="D695">
        <v>0.49</v>
      </c>
      <c r="E695">
        <v>0.15</v>
      </c>
      <c r="F695">
        <v>1.1955</v>
      </c>
      <c r="G695">
        <v>0.58450000000000002</v>
      </c>
      <c r="H695">
        <v>0.25700000000000001</v>
      </c>
      <c r="I695">
        <v>0.3</v>
      </c>
      <c r="J695">
        <v>9</v>
      </c>
      <c r="K695">
        <v>15</v>
      </c>
      <c r="L695" t="s">
        <v>49</v>
      </c>
      <c r="M695" t="s">
        <v>50</v>
      </c>
      <c r="N695" t="s">
        <v>3</v>
      </c>
      <c r="O695">
        <v>10</v>
      </c>
      <c r="P695" t="s">
        <v>38</v>
      </c>
      <c r="Q695">
        <v>24.1</v>
      </c>
      <c r="R695" t="str" cm="1">
        <f t="array" ref="R6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95" t="e">
        <f>IF(Table13[[#This Row],[Category All]]="Category 1", "Yes",NA())</f>
        <v>#N/A</v>
      </c>
      <c r="T695" t="e">
        <f>IF(Table13[[#This Row],[Category All]]="Category 2", "Yes",NA())</f>
        <v>#N/A</v>
      </c>
      <c r="U695" t="str">
        <f>IF(Table13[[#This Row],[Category All]]="Category 3", "Yes",NA())</f>
        <v>Yes</v>
      </c>
      <c r="V695">
        <f>SUM(1,(1/3)*(Table13[[#This Row],[Length]]-0.5),(1/3)*(Table13[[#This Row],[Diameter]]-0.4),(1/3)*(Table13[[#This Row],[Height]]-0.4)*Table13[[#This Row],[Whole_weight]]*0.5)</f>
        <v>1.0235208333333334</v>
      </c>
      <c r="W695" cm="1">
        <f t="array" ref="W6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1.0235208333333334</v>
      </c>
      <c r="X695" t="e">
        <f>IF(Table13[[#This Row],[Category All]]="Category 1",Table13[[#This Row],[Base Abalone Value]]*1.5,NA())</f>
        <v>#N/A</v>
      </c>
      <c r="Y695" t="e">
        <f>IF(Table13[[#This Row],[Category All]]="Category 2",Table13[[#This Row],[Base Abalone Value]]*0.8,NA())</f>
        <v>#N/A</v>
      </c>
      <c r="Z695">
        <f>IF(Table13[[#This Row],[Category All]]="Category 3",Table13[[#This Row],[Base Abalone Value]],NA())</f>
        <v>1.0235208333333334</v>
      </c>
      <c r="AA695" s="2">
        <f>IF(Table13[[#This Row],[Gender]]="M",Table13[[#This Row],[Whole_weight]],NA())</f>
        <v>1.1955</v>
      </c>
      <c r="AB695" s="2" t="e">
        <f>IF(Table13[[#This Row],[Gender]]="F",Table13[[#This Row],[Whole_weight]],NA())</f>
        <v>#N/A</v>
      </c>
      <c r="AC695" s="2" t="e">
        <f>IF(Table13[[#This Row],[Gender]]="I",Table13[[#This Row],[Whole_weight]],NA())</f>
        <v>#N/A</v>
      </c>
      <c r="AD695" s="2">
        <f>IF(Table13[[#This Row],[Gender]]="M",Table13[[#This Row],[Diameter]],NA())</f>
        <v>0.49</v>
      </c>
      <c r="AE695" s="2" t="e">
        <f>IF(Table13[[#This Row],[Gender]]="F",Table13[[#This Row],[Diameter]],NA())</f>
        <v>#N/A</v>
      </c>
      <c r="AF695" s="2" t="e">
        <f>IF(Table13[[#This Row],[Gender]]="I",Table13[[#This Row],[Diameter]],NA())</f>
        <v>#N/A</v>
      </c>
    </row>
    <row r="696" spans="1:32" x14ac:dyDescent="0.2">
      <c r="A696">
        <v>3895</v>
      </c>
      <c r="B696" t="s">
        <v>15</v>
      </c>
      <c r="C696">
        <v>0.495</v>
      </c>
      <c r="D696">
        <v>0.38</v>
      </c>
      <c r="E696">
        <v>0.13500000000000001</v>
      </c>
      <c r="F696">
        <v>0.62949999999999995</v>
      </c>
      <c r="G696">
        <v>0.26300000000000001</v>
      </c>
      <c r="H696">
        <v>0.14249999999999999</v>
      </c>
      <c r="I696">
        <v>0.215</v>
      </c>
      <c r="J696">
        <v>12</v>
      </c>
      <c r="K696">
        <v>7</v>
      </c>
      <c r="L696" t="s">
        <v>35</v>
      </c>
      <c r="M696" t="s">
        <v>36</v>
      </c>
      <c r="N696" t="s">
        <v>37</v>
      </c>
      <c r="O696">
        <v>8</v>
      </c>
      <c r="P696" t="s">
        <v>19</v>
      </c>
      <c r="Q696">
        <v>12.3</v>
      </c>
      <c r="R696" t="str" cm="1">
        <f t="array" ref="R6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96" t="e">
        <f>IF(Table13[[#This Row],[Category All]]="Category 1", "Yes",NA())</f>
        <v>#N/A</v>
      </c>
      <c r="T696" t="str">
        <f>IF(Table13[[#This Row],[Category All]]="Category 2", "Yes",NA())</f>
        <v>Yes</v>
      </c>
      <c r="U696" t="e">
        <f>IF(Table13[[#This Row],[Category All]]="Category 3", "Yes",NA())</f>
        <v>#N/A</v>
      </c>
      <c r="V696">
        <f>SUM(1,(1/3)*(Table13[[#This Row],[Length]]-0.5),(1/3)*(Table13[[#This Row],[Diameter]]-0.4),(1/3)*(Table13[[#This Row],[Height]]-0.4)*Table13[[#This Row],[Whole_weight]]*0.5)</f>
        <v>0.96386374999999991</v>
      </c>
      <c r="W696" cm="1">
        <f t="array" ref="W6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0.77109099999999997</v>
      </c>
      <c r="X696" t="e">
        <f>IF(Table13[[#This Row],[Category All]]="Category 1",Table13[[#This Row],[Base Abalone Value]]*1.5,NA())</f>
        <v>#N/A</v>
      </c>
      <c r="Y696">
        <f>IF(Table13[[#This Row],[Category All]]="Category 2",Table13[[#This Row],[Base Abalone Value]]*0.8,NA())</f>
        <v>0.77109099999999997</v>
      </c>
      <c r="Z696" t="e">
        <f>IF(Table13[[#This Row],[Category All]]="Category 3",Table13[[#This Row],[Base Abalone Value]],NA())</f>
        <v>#N/A</v>
      </c>
      <c r="AA696" s="2">
        <f>IF(Table13[[#This Row],[Gender]]="M",Table13[[#This Row],[Whole_weight]],NA())</f>
        <v>0.62949999999999995</v>
      </c>
      <c r="AB696" s="2" t="e">
        <f>IF(Table13[[#This Row],[Gender]]="F",Table13[[#This Row],[Whole_weight]],NA())</f>
        <v>#N/A</v>
      </c>
      <c r="AC696" s="2" t="e">
        <f>IF(Table13[[#This Row],[Gender]]="I",Table13[[#This Row],[Whole_weight]],NA())</f>
        <v>#N/A</v>
      </c>
      <c r="AD696" s="2">
        <f>IF(Table13[[#This Row],[Gender]]="M",Table13[[#This Row],[Diameter]],NA())</f>
        <v>0.38</v>
      </c>
      <c r="AE696" s="2" t="e">
        <f>IF(Table13[[#This Row],[Gender]]="F",Table13[[#This Row],[Diameter]],NA())</f>
        <v>#N/A</v>
      </c>
      <c r="AF696" s="2" t="e">
        <f>IF(Table13[[#This Row],[Gender]]="I",Table13[[#This Row],[Diameter]],NA())</f>
        <v>#N/A</v>
      </c>
    </row>
    <row r="697" spans="1:32" x14ac:dyDescent="0.2">
      <c r="A697">
        <v>456</v>
      </c>
      <c r="B697" t="s">
        <v>15</v>
      </c>
      <c r="C697">
        <v>0.57499999999999996</v>
      </c>
      <c r="D697">
        <v>0.47</v>
      </c>
      <c r="E697">
        <v>0.14000000000000001</v>
      </c>
      <c r="F697">
        <v>0.83750000000000002</v>
      </c>
      <c r="G697">
        <v>0.34849999999999998</v>
      </c>
      <c r="H697">
        <v>0.17349999999999999</v>
      </c>
      <c r="I697">
        <v>0.24</v>
      </c>
      <c r="J697">
        <v>11</v>
      </c>
      <c r="K697">
        <v>1</v>
      </c>
      <c r="L697" t="s">
        <v>8</v>
      </c>
      <c r="M697" t="s">
        <v>9</v>
      </c>
      <c r="N697" t="s">
        <v>3</v>
      </c>
      <c r="O697">
        <v>3</v>
      </c>
      <c r="P697" t="s">
        <v>48</v>
      </c>
      <c r="Q697">
        <v>3.6</v>
      </c>
      <c r="R697" t="str" cm="1">
        <f t="array" ref="R6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97" t="e">
        <f>IF(Table13[[#This Row],[Category All]]="Category 1", "Yes",NA())</f>
        <v>#N/A</v>
      </c>
      <c r="T697" t="str">
        <f>IF(Table13[[#This Row],[Category All]]="Category 2", "Yes",NA())</f>
        <v>Yes</v>
      </c>
      <c r="U697" t="e">
        <f>IF(Table13[[#This Row],[Category All]]="Category 3", "Yes",NA())</f>
        <v>#N/A</v>
      </c>
      <c r="V697">
        <f>SUM(1,(1/3)*(Table13[[#This Row],[Length]]-0.5),(1/3)*(Table13[[#This Row],[Diameter]]-0.4),(1/3)*(Table13[[#This Row],[Height]]-0.4)*Table13[[#This Row],[Whole_weight]]*0.5)</f>
        <v>1.0120416666666667</v>
      </c>
      <c r="W697" cm="1">
        <f t="array" ref="W6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0.80963333333333343</v>
      </c>
      <c r="X697" t="e">
        <f>IF(Table13[[#This Row],[Category All]]="Category 1",Table13[[#This Row],[Base Abalone Value]]*1.5,NA())</f>
        <v>#N/A</v>
      </c>
      <c r="Y697">
        <f>IF(Table13[[#This Row],[Category All]]="Category 2",Table13[[#This Row],[Base Abalone Value]]*0.8,NA())</f>
        <v>0.80963333333333343</v>
      </c>
      <c r="Z697" t="e">
        <f>IF(Table13[[#This Row],[Category All]]="Category 3",Table13[[#This Row],[Base Abalone Value]],NA())</f>
        <v>#N/A</v>
      </c>
      <c r="AA697" s="2">
        <f>IF(Table13[[#This Row],[Gender]]="M",Table13[[#This Row],[Whole_weight]],NA())</f>
        <v>0.83750000000000002</v>
      </c>
      <c r="AB697" s="2" t="e">
        <f>IF(Table13[[#This Row],[Gender]]="F",Table13[[#This Row],[Whole_weight]],NA())</f>
        <v>#N/A</v>
      </c>
      <c r="AC697" s="2" t="e">
        <f>IF(Table13[[#This Row],[Gender]]="I",Table13[[#This Row],[Whole_weight]],NA())</f>
        <v>#N/A</v>
      </c>
      <c r="AD697" s="2">
        <f>IF(Table13[[#This Row],[Gender]]="M",Table13[[#This Row],[Diameter]],NA())</f>
        <v>0.47</v>
      </c>
      <c r="AE697" s="2" t="e">
        <f>IF(Table13[[#This Row],[Gender]]="F",Table13[[#This Row],[Diameter]],NA())</f>
        <v>#N/A</v>
      </c>
      <c r="AF697" s="2" t="e">
        <f>IF(Table13[[#This Row],[Gender]]="I",Table13[[#This Row],[Diameter]],NA())</f>
        <v>#N/A</v>
      </c>
    </row>
    <row r="698" spans="1:32" x14ac:dyDescent="0.2">
      <c r="A698">
        <v>1576</v>
      </c>
      <c r="B698" t="s">
        <v>11</v>
      </c>
      <c r="C698">
        <v>0.48499999999999999</v>
      </c>
      <c r="D698">
        <v>0.375</v>
      </c>
      <c r="E698">
        <v>0.13</v>
      </c>
      <c r="F698">
        <v>0.60250000000000004</v>
      </c>
      <c r="G698">
        <v>0.29349999999999998</v>
      </c>
      <c r="H698">
        <v>0.1285</v>
      </c>
      <c r="I698">
        <v>0.16</v>
      </c>
      <c r="J698">
        <v>7</v>
      </c>
      <c r="K698">
        <v>1</v>
      </c>
      <c r="L698" t="s">
        <v>8</v>
      </c>
      <c r="M698" t="s">
        <v>9</v>
      </c>
      <c r="N698" t="s">
        <v>3</v>
      </c>
      <c r="O698">
        <v>2</v>
      </c>
      <c r="P698" t="s">
        <v>7</v>
      </c>
      <c r="Q698">
        <v>18</v>
      </c>
      <c r="R698" t="str" cm="1">
        <f t="array" ref="R6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98" t="e">
        <f>IF(Table13[[#This Row],[Category All]]="Category 1", "Yes",NA())</f>
        <v>#N/A</v>
      </c>
      <c r="T698" t="str">
        <f>IF(Table13[[#This Row],[Category All]]="Category 2", "Yes",NA())</f>
        <v>Yes</v>
      </c>
      <c r="U698" t="e">
        <f>IF(Table13[[#This Row],[Category All]]="Category 3", "Yes",NA())</f>
        <v>#N/A</v>
      </c>
      <c r="V698">
        <f>SUM(1,(1/3)*(Table13[[#This Row],[Length]]-0.5),(1/3)*(Table13[[#This Row],[Diameter]]-0.4),(1/3)*(Table13[[#This Row],[Height]]-0.4)*Table13[[#This Row],[Whole_weight]]*0.5)</f>
        <v>0.95955416666666671</v>
      </c>
      <c r="W698" cm="1">
        <f t="array" ref="W6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0.76764333333333346</v>
      </c>
      <c r="X698" t="e">
        <f>IF(Table13[[#This Row],[Category All]]="Category 1",Table13[[#This Row],[Base Abalone Value]]*1.5,NA())</f>
        <v>#N/A</v>
      </c>
      <c r="Y698">
        <f>IF(Table13[[#This Row],[Category All]]="Category 2",Table13[[#This Row],[Base Abalone Value]]*0.8,NA())</f>
        <v>0.76764333333333346</v>
      </c>
      <c r="Z698" t="e">
        <f>IF(Table13[[#This Row],[Category All]]="Category 3",Table13[[#This Row],[Base Abalone Value]],NA())</f>
        <v>#N/A</v>
      </c>
      <c r="AA698" s="2" t="e">
        <f>IF(Table13[[#This Row],[Gender]]="M",Table13[[#This Row],[Whole_weight]],NA())</f>
        <v>#N/A</v>
      </c>
      <c r="AB698" s="2" t="e">
        <f>IF(Table13[[#This Row],[Gender]]="F",Table13[[#This Row],[Whole_weight]],NA())</f>
        <v>#N/A</v>
      </c>
      <c r="AC698" s="2">
        <f>IF(Table13[[#This Row],[Gender]]="I",Table13[[#This Row],[Whole_weight]],NA())</f>
        <v>0.60250000000000004</v>
      </c>
      <c r="AD698" s="2" t="e">
        <f>IF(Table13[[#This Row],[Gender]]="M",Table13[[#This Row],[Diameter]],NA())</f>
        <v>#N/A</v>
      </c>
      <c r="AE698" s="2" t="e">
        <f>IF(Table13[[#This Row],[Gender]]="F",Table13[[#This Row],[Diameter]],NA())</f>
        <v>#N/A</v>
      </c>
      <c r="AF698" s="2">
        <f>IF(Table13[[#This Row],[Gender]]="I",Table13[[#This Row],[Diameter]],NA())</f>
        <v>0.375</v>
      </c>
    </row>
    <row r="699" spans="1:32" x14ac:dyDescent="0.2">
      <c r="A699">
        <v>3371</v>
      </c>
      <c r="B699" t="s">
        <v>15</v>
      </c>
      <c r="C699">
        <v>0.45500000000000002</v>
      </c>
      <c r="D699">
        <v>0.34499999999999997</v>
      </c>
      <c r="E699">
        <v>0.125</v>
      </c>
      <c r="F699">
        <v>0.44</v>
      </c>
      <c r="G699">
        <v>0.16900000000000001</v>
      </c>
      <c r="H699">
        <v>0.1065</v>
      </c>
      <c r="I699">
        <v>0.13500000000000001</v>
      </c>
      <c r="J699">
        <v>12</v>
      </c>
      <c r="K699">
        <v>4</v>
      </c>
      <c r="L699" t="s">
        <v>52</v>
      </c>
      <c r="M699" t="s">
        <v>53</v>
      </c>
      <c r="N699" t="s">
        <v>54</v>
      </c>
      <c r="O699">
        <v>9</v>
      </c>
      <c r="P699" t="s">
        <v>46</v>
      </c>
      <c r="Q699">
        <v>1.9</v>
      </c>
      <c r="R699" t="str" cm="1">
        <f t="array" ref="R6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99" t="e">
        <f>IF(Table13[[#This Row],[Category All]]="Category 1", "Yes",NA())</f>
        <v>#N/A</v>
      </c>
      <c r="T699" t="str">
        <f>IF(Table13[[#This Row],[Category All]]="Category 2", "Yes",NA())</f>
        <v>Yes</v>
      </c>
      <c r="U699" t="e">
        <f>IF(Table13[[#This Row],[Category All]]="Category 3", "Yes",NA())</f>
        <v>#N/A</v>
      </c>
      <c r="V699">
        <f>SUM(1,(1/3)*(Table13[[#This Row],[Length]]-0.5),(1/3)*(Table13[[#This Row],[Diameter]]-0.4),(1/3)*(Table13[[#This Row],[Height]]-0.4)*Table13[[#This Row],[Whole_weight]]*0.5)</f>
        <v>0.94650000000000001</v>
      </c>
      <c r="W699" cm="1">
        <f t="array" ref="W6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0.7572000000000001</v>
      </c>
      <c r="X699" t="e">
        <f>IF(Table13[[#This Row],[Category All]]="Category 1",Table13[[#This Row],[Base Abalone Value]]*1.5,NA())</f>
        <v>#N/A</v>
      </c>
      <c r="Y699">
        <f>IF(Table13[[#This Row],[Category All]]="Category 2",Table13[[#This Row],[Base Abalone Value]]*0.8,NA())</f>
        <v>0.7572000000000001</v>
      </c>
      <c r="Z699" t="e">
        <f>IF(Table13[[#This Row],[Category All]]="Category 3",Table13[[#This Row],[Base Abalone Value]],NA())</f>
        <v>#N/A</v>
      </c>
      <c r="AA699" s="2">
        <f>IF(Table13[[#This Row],[Gender]]="M",Table13[[#This Row],[Whole_weight]],NA())</f>
        <v>0.44</v>
      </c>
      <c r="AB699" s="2" t="e">
        <f>IF(Table13[[#This Row],[Gender]]="F",Table13[[#This Row],[Whole_weight]],NA())</f>
        <v>#N/A</v>
      </c>
      <c r="AC699" s="2" t="e">
        <f>IF(Table13[[#This Row],[Gender]]="I",Table13[[#This Row],[Whole_weight]],NA())</f>
        <v>#N/A</v>
      </c>
      <c r="AD699" s="2">
        <f>IF(Table13[[#This Row],[Gender]]="M",Table13[[#This Row],[Diameter]],NA())</f>
        <v>0.34499999999999997</v>
      </c>
      <c r="AE699" s="2" t="e">
        <f>IF(Table13[[#This Row],[Gender]]="F",Table13[[#This Row],[Diameter]],NA())</f>
        <v>#N/A</v>
      </c>
      <c r="AF699" s="2" t="e">
        <f>IF(Table13[[#This Row],[Gender]]="I",Table13[[#This Row],[Diameter]],NA())</f>
        <v>#N/A</v>
      </c>
    </row>
    <row r="700" spans="1:32" x14ac:dyDescent="0.2">
      <c r="A700">
        <v>89</v>
      </c>
      <c r="B700" t="s">
        <v>0</v>
      </c>
      <c r="C700">
        <v>0.46</v>
      </c>
      <c r="D700">
        <v>0.35499999999999998</v>
      </c>
      <c r="E700">
        <v>0.13</v>
      </c>
      <c r="F700">
        <v>0.51700000000000002</v>
      </c>
      <c r="G700">
        <v>0.2205</v>
      </c>
      <c r="H700">
        <v>0.114</v>
      </c>
      <c r="I700">
        <v>0.16500000000000001</v>
      </c>
      <c r="J700">
        <v>9</v>
      </c>
      <c r="K700">
        <v>12</v>
      </c>
      <c r="L700" t="s">
        <v>1</v>
      </c>
      <c r="M700" t="s">
        <v>2</v>
      </c>
      <c r="N700" t="s">
        <v>3</v>
      </c>
      <c r="O700">
        <v>5</v>
      </c>
      <c r="P700" t="s">
        <v>14</v>
      </c>
      <c r="Q700">
        <v>12.8</v>
      </c>
      <c r="R700" t="str" cm="1">
        <f t="array" ref="R7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00" t="e">
        <f>IF(Table13[[#This Row],[Category All]]="Category 1", "Yes",NA())</f>
        <v>#N/A</v>
      </c>
      <c r="T700" t="str">
        <f>IF(Table13[[#This Row],[Category All]]="Category 2", "Yes",NA())</f>
        <v>Yes</v>
      </c>
      <c r="U700" t="e">
        <f>IF(Table13[[#This Row],[Category All]]="Category 3", "Yes",NA())</f>
        <v>#N/A</v>
      </c>
      <c r="V700">
        <f>SUM(1,(1/3)*(Table13[[#This Row],[Length]]-0.5),(1/3)*(Table13[[#This Row],[Diameter]]-0.4),(1/3)*(Table13[[#This Row],[Height]]-0.4)*Table13[[#This Row],[Whole_weight]]*0.5)</f>
        <v>0.9484016666666667</v>
      </c>
      <c r="W700" cm="1">
        <f t="array" ref="W7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0.75872133333333336</v>
      </c>
      <c r="X700" t="e">
        <f>IF(Table13[[#This Row],[Category All]]="Category 1",Table13[[#This Row],[Base Abalone Value]]*1.5,NA())</f>
        <v>#N/A</v>
      </c>
      <c r="Y700">
        <f>IF(Table13[[#This Row],[Category All]]="Category 2",Table13[[#This Row],[Base Abalone Value]]*0.8,NA())</f>
        <v>0.75872133333333336</v>
      </c>
      <c r="Z700" t="e">
        <f>IF(Table13[[#This Row],[Category All]]="Category 3",Table13[[#This Row],[Base Abalone Value]],NA())</f>
        <v>#N/A</v>
      </c>
      <c r="AA700" s="2" t="e">
        <f>IF(Table13[[#This Row],[Gender]]="M",Table13[[#This Row],[Whole_weight]],NA())</f>
        <v>#N/A</v>
      </c>
      <c r="AB700" s="2">
        <f>IF(Table13[[#This Row],[Gender]]="F",Table13[[#This Row],[Whole_weight]],NA())</f>
        <v>0.51700000000000002</v>
      </c>
      <c r="AC700" s="2" t="e">
        <f>IF(Table13[[#This Row],[Gender]]="I",Table13[[#This Row],[Whole_weight]],NA())</f>
        <v>#N/A</v>
      </c>
      <c r="AD700" s="2" t="e">
        <f>IF(Table13[[#This Row],[Gender]]="M",Table13[[#This Row],[Diameter]],NA())</f>
        <v>#N/A</v>
      </c>
      <c r="AE700" s="2">
        <f>IF(Table13[[#This Row],[Gender]]="F",Table13[[#This Row],[Diameter]],NA())</f>
        <v>0.35499999999999998</v>
      </c>
      <c r="AF700" s="2" t="e">
        <f>IF(Table13[[#This Row],[Gender]]="I",Table13[[#This Row],[Diameter]],NA())</f>
        <v>#N/A</v>
      </c>
    </row>
    <row r="701" spans="1:32" x14ac:dyDescent="0.2">
      <c r="A701">
        <v>2253</v>
      </c>
      <c r="B701" t="s">
        <v>0</v>
      </c>
      <c r="C701">
        <v>0.56999999999999995</v>
      </c>
      <c r="D701">
        <v>0.46</v>
      </c>
      <c r="E701">
        <v>0.17</v>
      </c>
      <c r="F701">
        <v>1.1000000000000001</v>
      </c>
      <c r="G701">
        <v>0.41249999999999998</v>
      </c>
      <c r="H701">
        <v>0.2205</v>
      </c>
      <c r="I701">
        <v>0.38</v>
      </c>
      <c r="J701">
        <v>14</v>
      </c>
      <c r="K701">
        <v>4</v>
      </c>
      <c r="L701" t="s">
        <v>52</v>
      </c>
      <c r="M701" t="s">
        <v>53</v>
      </c>
      <c r="N701" t="s">
        <v>54</v>
      </c>
      <c r="O701">
        <v>6</v>
      </c>
      <c r="P701" t="s">
        <v>47</v>
      </c>
      <c r="Q701">
        <v>14.1</v>
      </c>
      <c r="R701" t="str" cm="1">
        <f t="array" ref="R7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01" t="e">
        <f>IF(Table13[[#This Row],[Category All]]="Category 1", "Yes",NA())</f>
        <v>#N/A</v>
      </c>
      <c r="T701" t="e">
        <f>IF(Table13[[#This Row],[Category All]]="Category 2", "Yes",NA())</f>
        <v>#N/A</v>
      </c>
      <c r="U701" t="str">
        <f>IF(Table13[[#This Row],[Category All]]="Category 3", "Yes",NA())</f>
        <v>Yes</v>
      </c>
      <c r="V701">
        <f>SUM(1,(1/3)*(Table13[[#This Row],[Length]]-0.5),(1/3)*(Table13[[#This Row],[Diameter]]-0.4),(1/3)*(Table13[[#This Row],[Height]]-0.4)*Table13[[#This Row],[Whole_weight]]*0.5)</f>
        <v>1.0011666666666668</v>
      </c>
      <c r="W701" cm="1">
        <f t="array" ref="W7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1.0011666666666668</v>
      </c>
      <c r="X701" t="e">
        <f>IF(Table13[[#This Row],[Category All]]="Category 1",Table13[[#This Row],[Base Abalone Value]]*1.5,NA())</f>
        <v>#N/A</v>
      </c>
      <c r="Y701" t="e">
        <f>IF(Table13[[#This Row],[Category All]]="Category 2",Table13[[#This Row],[Base Abalone Value]]*0.8,NA())</f>
        <v>#N/A</v>
      </c>
      <c r="Z701">
        <f>IF(Table13[[#This Row],[Category All]]="Category 3",Table13[[#This Row],[Base Abalone Value]],NA())</f>
        <v>1.0011666666666668</v>
      </c>
      <c r="AA701" s="2" t="e">
        <f>IF(Table13[[#This Row],[Gender]]="M",Table13[[#This Row],[Whole_weight]],NA())</f>
        <v>#N/A</v>
      </c>
      <c r="AB701" s="2">
        <f>IF(Table13[[#This Row],[Gender]]="F",Table13[[#This Row],[Whole_weight]],NA())</f>
        <v>1.1000000000000001</v>
      </c>
      <c r="AC701" s="2" t="e">
        <f>IF(Table13[[#This Row],[Gender]]="I",Table13[[#This Row],[Whole_weight]],NA())</f>
        <v>#N/A</v>
      </c>
      <c r="AD701" s="2" t="e">
        <f>IF(Table13[[#This Row],[Gender]]="M",Table13[[#This Row],[Diameter]],NA())</f>
        <v>#N/A</v>
      </c>
      <c r="AE701" s="2">
        <f>IF(Table13[[#This Row],[Gender]]="F",Table13[[#This Row],[Diameter]],NA())</f>
        <v>0.46</v>
      </c>
      <c r="AF701" s="2" t="e">
        <f>IF(Table13[[#This Row],[Gender]]="I",Table13[[#This Row],[Diameter]],NA())</f>
        <v>#N/A</v>
      </c>
    </row>
    <row r="702" spans="1:32" x14ac:dyDescent="0.2">
      <c r="A702">
        <v>1756</v>
      </c>
      <c r="B702" t="s">
        <v>0</v>
      </c>
      <c r="C702">
        <v>0.72</v>
      </c>
      <c r="D702">
        <v>0.52500000000000002</v>
      </c>
      <c r="E702">
        <v>0.18</v>
      </c>
      <c r="F702">
        <v>1.4450000000000001</v>
      </c>
      <c r="G702">
        <v>0.63100000000000001</v>
      </c>
      <c r="H702">
        <v>0.32150000000000001</v>
      </c>
      <c r="I702">
        <v>0.435</v>
      </c>
      <c r="J702">
        <v>7</v>
      </c>
      <c r="K702">
        <v>15</v>
      </c>
      <c r="L702" t="s">
        <v>49</v>
      </c>
      <c r="M702" t="s">
        <v>50</v>
      </c>
      <c r="N702" t="s">
        <v>3</v>
      </c>
      <c r="O702">
        <v>9</v>
      </c>
      <c r="P702" t="s">
        <v>46</v>
      </c>
      <c r="Q702">
        <v>1.9</v>
      </c>
      <c r="R702" t="str" cm="1">
        <f t="array" ref="R7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02" t="e">
        <f>IF(Table13[[#This Row],[Category All]]="Category 1", "Yes",NA())</f>
        <v>#N/A</v>
      </c>
      <c r="T702" t="e">
        <f>IF(Table13[[#This Row],[Category All]]="Category 2", "Yes",NA())</f>
        <v>#N/A</v>
      </c>
      <c r="U702" t="str">
        <f>IF(Table13[[#This Row],[Category All]]="Category 3", "Yes",NA())</f>
        <v>Yes</v>
      </c>
      <c r="V702">
        <f>SUM(1,(1/3)*(Table13[[#This Row],[Length]]-0.5),(1/3)*(Table13[[#This Row],[Diameter]]-0.4),(1/3)*(Table13[[#This Row],[Height]]-0.4)*Table13[[#This Row],[Whole_weight]]*0.5)</f>
        <v>1.0620166666666666</v>
      </c>
      <c r="W702" cm="1">
        <f t="array" ref="W7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1.0620166666666666</v>
      </c>
      <c r="X702" t="e">
        <f>IF(Table13[[#This Row],[Category All]]="Category 1",Table13[[#This Row],[Base Abalone Value]]*1.5,NA())</f>
        <v>#N/A</v>
      </c>
      <c r="Y702" t="e">
        <f>IF(Table13[[#This Row],[Category All]]="Category 2",Table13[[#This Row],[Base Abalone Value]]*0.8,NA())</f>
        <v>#N/A</v>
      </c>
      <c r="Z702">
        <f>IF(Table13[[#This Row],[Category All]]="Category 3",Table13[[#This Row],[Base Abalone Value]],NA())</f>
        <v>1.0620166666666666</v>
      </c>
      <c r="AA702" s="2" t="e">
        <f>IF(Table13[[#This Row],[Gender]]="M",Table13[[#This Row],[Whole_weight]],NA())</f>
        <v>#N/A</v>
      </c>
      <c r="AB702" s="2">
        <f>IF(Table13[[#This Row],[Gender]]="F",Table13[[#This Row],[Whole_weight]],NA())</f>
        <v>1.4450000000000001</v>
      </c>
      <c r="AC702" s="2" t="e">
        <f>IF(Table13[[#This Row],[Gender]]="I",Table13[[#This Row],[Whole_weight]],NA())</f>
        <v>#N/A</v>
      </c>
      <c r="AD702" s="2" t="e">
        <f>IF(Table13[[#This Row],[Gender]]="M",Table13[[#This Row],[Diameter]],NA())</f>
        <v>#N/A</v>
      </c>
      <c r="AE702" s="2">
        <f>IF(Table13[[#This Row],[Gender]]="F",Table13[[#This Row],[Diameter]],NA())</f>
        <v>0.52500000000000002</v>
      </c>
      <c r="AF702" s="2" t="e">
        <f>IF(Table13[[#This Row],[Gender]]="I",Table13[[#This Row],[Diameter]],NA())</f>
        <v>#N/A</v>
      </c>
    </row>
    <row r="703" spans="1:32" x14ac:dyDescent="0.2">
      <c r="A703">
        <v>2974</v>
      </c>
      <c r="B703" t="s">
        <v>15</v>
      </c>
      <c r="C703">
        <v>0.73499999999999999</v>
      </c>
      <c r="D703">
        <v>0.59</v>
      </c>
      <c r="E703">
        <v>0.20499999999999999</v>
      </c>
      <c r="F703">
        <v>2.0870000000000002</v>
      </c>
      <c r="G703">
        <v>0.90900000000000003</v>
      </c>
      <c r="H703">
        <v>0.47399999999999998</v>
      </c>
      <c r="I703">
        <v>0.625</v>
      </c>
      <c r="J703">
        <v>12</v>
      </c>
      <c r="K703">
        <v>9</v>
      </c>
      <c r="L703" t="s">
        <v>20</v>
      </c>
      <c r="M703" t="s">
        <v>21</v>
      </c>
      <c r="N703" t="s">
        <v>22</v>
      </c>
      <c r="O703">
        <v>4</v>
      </c>
      <c r="P703" t="s">
        <v>10</v>
      </c>
      <c r="Q703">
        <v>6.1</v>
      </c>
      <c r="R703" t="str" cm="1">
        <f t="array" ref="R7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03" t="e">
        <f>IF(Table13[[#This Row],[Category All]]="Category 1", "Yes",NA())</f>
        <v>#N/A</v>
      </c>
      <c r="T703" t="e">
        <f>IF(Table13[[#This Row],[Category All]]="Category 2", "Yes",NA())</f>
        <v>#N/A</v>
      </c>
      <c r="U703" t="str">
        <f>IF(Table13[[#This Row],[Category All]]="Category 3", "Yes",NA())</f>
        <v>Yes</v>
      </c>
      <c r="V703">
        <f>SUM(1,(1/3)*(Table13[[#This Row],[Length]]-0.5),(1/3)*(Table13[[#This Row],[Diameter]]-0.4),(1/3)*(Table13[[#This Row],[Height]]-0.4)*Table13[[#This Row],[Whole_weight]]*0.5)</f>
        <v>1.0738391666666667</v>
      </c>
      <c r="W703" cm="1">
        <f t="array" ref="W7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1.0738391666666667</v>
      </c>
      <c r="X703" t="e">
        <f>IF(Table13[[#This Row],[Category All]]="Category 1",Table13[[#This Row],[Base Abalone Value]]*1.5,NA())</f>
        <v>#N/A</v>
      </c>
      <c r="Y703" t="e">
        <f>IF(Table13[[#This Row],[Category All]]="Category 2",Table13[[#This Row],[Base Abalone Value]]*0.8,NA())</f>
        <v>#N/A</v>
      </c>
      <c r="Z703">
        <f>IF(Table13[[#This Row],[Category All]]="Category 3",Table13[[#This Row],[Base Abalone Value]],NA())</f>
        <v>1.0738391666666667</v>
      </c>
      <c r="AA703" s="2">
        <f>IF(Table13[[#This Row],[Gender]]="M",Table13[[#This Row],[Whole_weight]],NA())</f>
        <v>2.0870000000000002</v>
      </c>
      <c r="AB703" s="2" t="e">
        <f>IF(Table13[[#This Row],[Gender]]="F",Table13[[#This Row],[Whole_weight]],NA())</f>
        <v>#N/A</v>
      </c>
      <c r="AC703" s="2" t="e">
        <f>IF(Table13[[#This Row],[Gender]]="I",Table13[[#This Row],[Whole_weight]],NA())</f>
        <v>#N/A</v>
      </c>
      <c r="AD703" s="2">
        <f>IF(Table13[[#This Row],[Gender]]="M",Table13[[#This Row],[Diameter]],NA())</f>
        <v>0.59</v>
      </c>
      <c r="AE703" s="2" t="e">
        <f>IF(Table13[[#This Row],[Gender]]="F",Table13[[#This Row],[Diameter]],NA())</f>
        <v>#N/A</v>
      </c>
      <c r="AF703" s="2" t="e">
        <f>IF(Table13[[#This Row],[Gender]]="I",Table13[[#This Row],[Diameter]],NA())</f>
        <v>#N/A</v>
      </c>
    </row>
    <row r="704" spans="1:32" x14ac:dyDescent="0.2">
      <c r="A704">
        <v>107</v>
      </c>
      <c r="B704" t="s">
        <v>0</v>
      </c>
      <c r="C704">
        <v>0.54500000000000004</v>
      </c>
      <c r="D704">
        <v>0.43</v>
      </c>
      <c r="E704">
        <v>0.16500000000000001</v>
      </c>
      <c r="F704">
        <v>0.80200000000000005</v>
      </c>
      <c r="G704">
        <v>0.29349999999999998</v>
      </c>
      <c r="H704">
        <v>0.183</v>
      </c>
      <c r="I704">
        <v>0.28000000000000003</v>
      </c>
      <c r="J704">
        <v>11</v>
      </c>
      <c r="K704">
        <v>1</v>
      </c>
      <c r="L704" t="s">
        <v>8</v>
      </c>
      <c r="M704" t="s">
        <v>9</v>
      </c>
      <c r="N704" t="s">
        <v>3</v>
      </c>
      <c r="O704">
        <v>7</v>
      </c>
      <c r="P704" t="s">
        <v>42</v>
      </c>
      <c r="Q704">
        <v>2.5</v>
      </c>
      <c r="R704" t="str" cm="1">
        <f t="array" ref="R7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04" t="e">
        <f>IF(Table13[[#This Row],[Category All]]="Category 1", "Yes",NA())</f>
        <v>#N/A</v>
      </c>
      <c r="T704" t="str">
        <f>IF(Table13[[#This Row],[Category All]]="Category 2", "Yes",NA())</f>
        <v>Yes</v>
      </c>
      <c r="U704" t="e">
        <f>IF(Table13[[#This Row],[Category All]]="Category 3", "Yes",NA())</f>
        <v>#N/A</v>
      </c>
      <c r="V704">
        <f>SUM(1,(1/3)*(Table13[[#This Row],[Length]]-0.5),(1/3)*(Table13[[#This Row],[Diameter]]-0.4),(1/3)*(Table13[[#This Row],[Height]]-0.4)*Table13[[#This Row],[Whole_weight]]*0.5)</f>
        <v>0.99358833333333352</v>
      </c>
      <c r="W704" cm="1">
        <f t="array" ref="W7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0.79487066666666684</v>
      </c>
      <c r="X704" t="e">
        <f>IF(Table13[[#This Row],[Category All]]="Category 1",Table13[[#This Row],[Base Abalone Value]]*1.5,NA())</f>
        <v>#N/A</v>
      </c>
      <c r="Y704">
        <f>IF(Table13[[#This Row],[Category All]]="Category 2",Table13[[#This Row],[Base Abalone Value]]*0.8,NA())</f>
        <v>0.79487066666666684</v>
      </c>
      <c r="Z704" t="e">
        <f>IF(Table13[[#This Row],[Category All]]="Category 3",Table13[[#This Row],[Base Abalone Value]],NA())</f>
        <v>#N/A</v>
      </c>
      <c r="AA704" s="2" t="e">
        <f>IF(Table13[[#This Row],[Gender]]="M",Table13[[#This Row],[Whole_weight]],NA())</f>
        <v>#N/A</v>
      </c>
      <c r="AB704" s="2">
        <f>IF(Table13[[#This Row],[Gender]]="F",Table13[[#This Row],[Whole_weight]],NA())</f>
        <v>0.80200000000000005</v>
      </c>
      <c r="AC704" s="2" t="e">
        <f>IF(Table13[[#This Row],[Gender]]="I",Table13[[#This Row],[Whole_weight]],NA())</f>
        <v>#N/A</v>
      </c>
      <c r="AD704" s="2" t="e">
        <f>IF(Table13[[#This Row],[Gender]]="M",Table13[[#This Row],[Diameter]],NA())</f>
        <v>#N/A</v>
      </c>
      <c r="AE704" s="2">
        <f>IF(Table13[[#This Row],[Gender]]="F",Table13[[#This Row],[Diameter]],NA())</f>
        <v>0.43</v>
      </c>
      <c r="AF704" s="2" t="e">
        <f>IF(Table13[[#This Row],[Gender]]="I",Table13[[#This Row],[Diameter]],NA())</f>
        <v>#N/A</v>
      </c>
    </row>
    <row r="705" spans="1:32" x14ac:dyDescent="0.2">
      <c r="A705">
        <v>3517</v>
      </c>
      <c r="B705" t="s">
        <v>0</v>
      </c>
      <c r="C705">
        <v>0.7</v>
      </c>
      <c r="D705">
        <v>0.57499999999999996</v>
      </c>
      <c r="E705">
        <v>0.2</v>
      </c>
      <c r="F705">
        <v>1.7364999999999999</v>
      </c>
      <c r="G705">
        <v>0.77549999999999997</v>
      </c>
      <c r="H705">
        <v>0.39650000000000002</v>
      </c>
      <c r="I705">
        <v>0.46100000000000002</v>
      </c>
      <c r="J705">
        <v>11</v>
      </c>
      <c r="K705">
        <v>4</v>
      </c>
      <c r="L705" t="s">
        <v>52</v>
      </c>
      <c r="M705" t="s">
        <v>53</v>
      </c>
      <c r="N705" t="s">
        <v>54</v>
      </c>
      <c r="O705">
        <v>4</v>
      </c>
      <c r="P705" t="s">
        <v>10</v>
      </c>
      <c r="Q705">
        <v>6.1</v>
      </c>
      <c r="R705" t="str" cm="1">
        <f t="array" ref="R7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05" t="e">
        <f>IF(Table13[[#This Row],[Category All]]="Category 1", "Yes",NA())</f>
        <v>#N/A</v>
      </c>
      <c r="T705" t="e">
        <f>IF(Table13[[#This Row],[Category All]]="Category 2", "Yes",NA())</f>
        <v>#N/A</v>
      </c>
      <c r="U705" t="str">
        <f>IF(Table13[[#This Row],[Category All]]="Category 3", "Yes",NA())</f>
        <v>Yes</v>
      </c>
      <c r="V705">
        <f>SUM(1,(1/3)*(Table13[[#This Row],[Length]]-0.5),(1/3)*(Table13[[#This Row],[Diameter]]-0.4),(1/3)*(Table13[[#This Row],[Height]]-0.4)*Table13[[#This Row],[Whole_weight]]*0.5)</f>
        <v>1.0671166666666667</v>
      </c>
      <c r="W705" cm="1">
        <f t="array" ref="W7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1.0671166666666667</v>
      </c>
      <c r="X705" t="e">
        <f>IF(Table13[[#This Row],[Category All]]="Category 1",Table13[[#This Row],[Base Abalone Value]]*1.5,NA())</f>
        <v>#N/A</v>
      </c>
      <c r="Y705" t="e">
        <f>IF(Table13[[#This Row],[Category All]]="Category 2",Table13[[#This Row],[Base Abalone Value]]*0.8,NA())</f>
        <v>#N/A</v>
      </c>
      <c r="Z705">
        <f>IF(Table13[[#This Row],[Category All]]="Category 3",Table13[[#This Row],[Base Abalone Value]],NA())</f>
        <v>1.0671166666666667</v>
      </c>
      <c r="AA705" s="2" t="e">
        <f>IF(Table13[[#This Row],[Gender]]="M",Table13[[#This Row],[Whole_weight]],NA())</f>
        <v>#N/A</v>
      </c>
      <c r="AB705" s="2">
        <f>IF(Table13[[#This Row],[Gender]]="F",Table13[[#This Row],[Whole_weight]],NA())</f>
        <v>1.7364999999999999</v>
      </c>
      <c r="AC705" s="2" t="e">
        <f>IF(Table13[[#This Row],[Gender]]="I",Table13[[#This Row],[Whole_weight]],NA())</f>
        <v>#N/A</v>
      </c>
      <c r="AD705" s="2" t="e">
        <f>IF(Table13[[#This Row],[Gender]]="M",Table13[[#This Row],[Diameter]],NA())</f>
        <v>#N/A</v>
      </c>
      <c r="AE705" s="2">
        <f>IF(Table13[[#This Row],[Gender]]="F",Table13[[#This Row],[Diameter]],NA())</f>
        <v>0.57499999999999996</v>
      </c>
      <c r="AF705" s="2" t="e">
        <f>IF(Table13[[#This Row],[Gender]]="I",Table13[[#This Row],[Diameter]],NA())</f>
        <v>#N/A</v>
      </c>
    </row>
    <row r="706" spans="1:32" x14ac:dyDescent="0.2">
      <c r="A706">
        <v>453</v>
      </c>
      <c r="B706" t="s">
        <v>0</v>
      </c>
      <c r="C706">
        <v>0.66500000000000004</v>
      </c>
      <c r="D706">
        <v>0.55500000000000005</v>
      </c>
      <c r="E706">
        <v>0.19500000000000001</v>
      </c>
      <c r="F706">
        <v>1.4384999999999999</v>
      </c>
      <c r="G706">
        <v>0.58099999999999996</v>
      </c>
      <c r="H706">
        <v>0.35399999999999998</v>
      </c>
      <c r="I706">
        <v>0.36</v>
      </c>
      <c r="J706">
        <v>17</v>
      </c>
      <c r="K706">
        <v>4</v>
      </c>
      <c r="L706" t="s">
        <v>52</v>
      </c>
      <c r="M706" t="s">
        <v>53</v>
      </c>
      <c r="N706" t="s">
        <v>54</v>
      </c>
      <c r="O706">
        <v>4</v>
      </c>
      <c r="P706" t="s">
        <v>10</v>
      </c>
      <c r="Q706">
        <v>6.1</v>
      </c>
      <c r="R706" t="str" cm="1">
        <f t="array" ref="R7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06" t="e">
        <f>IF(Table13[[#This Row],[Category All]]="Category 1", "Yes",NA())</f>
        <v>#N/A</v>
      </c>
      <c r="T706" t="e">
        <f>IF(Table13[[#This Row],[Category All]]="Category 2", "Yes",NA())</f>
        <v>#N/A</v>
      </c>
      <c r="U706" t="str">
        <f>IF(Table13[[#This Row],[Category All]]="Category 3", "Yes",NA())</f>
        <v>Yes</v>
      </c>
      <c r="V706">
        <f>SUM(1,(1/3)*(Table13[[#This Row],[Length]]-0.5),(1/3)*(Table13[[#This Row],[Diameter]]-0.4),(1/3)*(Table13[[#This Row],[Height]]-0.4)*Table13[[#This Row],[Whole_weight]]*0.5)</f>
        <v>1.0575179166666666</v>
      </c>
      <c r="W706" cm="1">
        <f t="array" ref="W7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1.0575179166666666</v>
      </c>
      <c r="X706" t="e">
        <f>IF(Table13[[#This Row],[Category All]]="Category 1",Table13[[#This Row],[Base Abalone Value]]*1.5,NA())</f>
        <v>#N/A</v>
      </c>
      <c r="Y706" t="e">
        <f>IF(Table13[[#This Row],[Category All]]="Category 2",Table13[[#This Row],[Base Abalone Value]]*0.8,NA())</f>
        <v>#N/A</v>
      </c>
      <c r="Z706">
        <f>IF(Table13[[#This Row],[Category All]]="Category 3",Table13[[#This Row],[Base Abalone Value]],NA())</f>
        <v>1.0575179166666666</v>
      </c>
      <c r="AA706" s="2" t="e">
        <f>IF(Table13[[#This Row],[Gender]]="M",Table13[[#This Row],[Whole_weight]],NA())</f>
        <v>#N/A</v>
      </c>
      <c r="AB706" s="2">
        <f>IF(Table13[[#This Row],[Gender]]="F",Table13[[#This Row],[Whole_weight]],NA())</f>
        <v>1.4384999999999999</v>
      </c>
      <c r="AC706" s="2" t="e">
        <f>IF(Table13[[#This Row],[Gender]]="I",Table13[[#This Row],[Whole_weight]],NA())</f>
        <v>#N/A</v>
      </c>
      <c r="AD706" s="2" t="e">
        <f>IF(Table13[[#This Row],[Gender]]="M",Table13[[#This Row],[Diameter]],NA())</f>
        <v>#N/A</v>
      </c>
      <c r="AE706" s="2">
        <f>IF(Table13[[#This Row],[Gender]]="F",Table13[[#This Row],[Diameter]],NA())</f>
        <v>0.55500000000000005</v>
      </c>
      <c r="AF706" s="2" t="e">
        <f>IF(Table13[[#This Row],[Gender]]="I",Table13[[#This Row],[Diameter]],NA())</f>
        <v>#N/A</v>
      </c>
    </row>
    <row r="707" spans="1:32" x14ac:dyDescent="0.2">
      <c r="A707">
        <v>2420</v>
      </c>
      <c r="B707" t="s">
        <v>0</v>
      </c>
      <c r="C707">
        <v>0.46500000000000002</v>
      </c>
      <c r="D707">
        <v>0.36</v>
      </c>
      <c r="E707">
        <v>0.12</v>
      </c>
      <c r="F707">
        <v>0.47649999999999998</v>
      </c>
      <c r="G707">
        <v>0.192</v>
      </c>
      <c r="H707">
        <v>0.1125</v>
      </c>
      <c r="I707">
        <v>0.16</v>
      </c>
      <c r="J707">
        <v>10</v>
      </c>
      <c r="K707">
        <v>14</v>
      </c>
      <c r="L707" t="s">
        <v>23</v>
      </c>
      <c r="M707" t="s">
        <v>24</v>
      </c>
      <c r="N707" t="s">
        <v>25</v>
      </c>
      <c r="O707">
        <v>5</v>
      </c>
      <c r="P707" t="s">
        <v>14</v>
      </c>
      <c r="Q707">
        <v>12.8</v>
      </c>
      <c r="R707" t="str" cm="1">
        <f t="array" ref="R7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07" t="e">
        <f>IF(Table13[[#This Row],[Category All]]="Category 1", "Yes",NA())</f>
        <v>#N/A</v>
      </c>
      <c r="T707" t="str">
        <f>IF(Table13[[#This Row],[Category All]]="Category 2", "Yes",NA())</f>
        <v>Yes</v>
      </c>
      <c r="U707" t="e">
        <f>IF(Table13[[#This Row],[Category All]]="Category 3", "Yes",NA())</f>
        <v>#N/A</v>
      </c>
      <c r="V707">
        <f>SUM(1,(1/3)*(Table13[[#This Row],[Length]]-0.5),(1/3)*(Table13[[#This Row],[Diameter]]-0.4),(1/3)*(Table13[[#This Row],[Height]]-0.4)*Table13[[#This Row],[Whole_weight]]*0.5)</f>
        <v>0.9527633333333333</v>
      </c>
      <c r="W707" cm="1">
        <f t="array" ref="W7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0.7622106666666667</v>
      </c>
      <c r="X707" t="e">
        <f>IF(Table13[[#This Row],[Category All]]="Category 1",Table13[[#This Row],[Base Abalone Value]]*1.5,NA())</f>
        <v>#N/A</v>
      </c>
      <c r="Y707">
        <f>IF(Table13[[#This Row],[Category All]]="Category 2",Table13[[#This Row],[Base Abalone Value]]*0.8,NA())</f>
        <v>0.7622106666666667</v>
      </c>
      <c r="Z707" t="e">
        <f>IF(Table13[[#This Row],[Category All]]="Category 3",Table13[[#This Row],[Base Abalone Value]],NA())</f>
        <v>#N/A</v>
      </c>
      <c r="AA707" s="2" t="e">
        <f>IF(Table13[[#This Row],[Gender]]="M",Table13[[#This Row],[Whole_weight]],NA())</f>
        <v>#N/A</v>
      </c>
      <c r="AB707" s="2">
        <f>IF(Table13[[#This Row],[Gender]]="F",Table13[[#This Row],[Whole_weight]],NA())</f>
        <v>0.47649999999999998</v>
      </c>
      <c r="AC707" s="2" t="e">
        <f>IF(Table13[[#This Row],[Gender]]="I",Table13[[#This Row],[Whole_weight]],NA())</f>
        <v>#N/A</v>
      </c>
      <c r="AD707" s="2" t="e">
        <f>IF(Table13[[#This Row],[Gender]]="M",Table13[[#This Row],[Diameter]],NA())</f>
        <v>#N/A</v>
      </c>
      <c r="AE707" s="2">
        <f>IF(Table13[[#This Row],[Gender]]="F",Table13[[#This Row],[Diameter]],NA())</f>
        <v>0.36</v>
      </c>
      <c r="AF707" s="2" t="e">
        <f>IF(Table13[[#This Row],[Gender]]="I",Table13[[#This Row],[Diameter]],NA())</f>
        <v>#N/A</v>
      </c>
    </row>
    <row r="708" spans="1:32" x14ac:dyDescent="0.2">
      <c r="A708">
        <v>710</v>
      </c>
      <c r="B708" t="s">
        <v>11</v>
      </c>
      <c r="C708">
        <v>0.29499999999999998</v>
      </c>
      <c r="D708">
        <v>0.22500000000000001</v>
      </c>
      <c r="E708">
        <v>0.09</v>
      </c>
      <c r="F708">
        <v>0.1105</v>
      </c>
      <c r="G708">
        <v>4.0500000000000001E-2</v>
      </c>
      <c r="H708">
        <v>2.4500000000000001E-2</v>
      </c>
      <c r="I708">
        <v>3.2000000000000001E-2</v>
      </c>
      <c r="J708">
        <v>7</v>
      </c>
      <c r="K708">
        <v>13</v>
      </c>
      <c r="L708" t="s">
        <v>12</v>
      </c>
      <c r="M708" t="s">
        <v>13</v>
      </c>
      <c r="N708" t="s">
        <v>3</v>
      </c>
      <c r="O708">
        <v>7</v>
      </c>
      <c r="P708" t="s">
        <v>42</v>
      </c>
      <c r="Q708">
        <v>2.5</v>
      </c>
      <c r="R708" t="str" cm="1">
        <f t="array" ref="R7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08" t="e">
        <f>IF(Table13[[#This Row],[Category All]]="Category 1", "Yes",NA())</f>
        <v>#N/A</v>
      </c>
      <c r="T708" t="str">
        <f>IF(Table13[[#This Row],[Category All]]="Category 2", "Yes",NA())</f>
        <v>Yes</v>
      </c>
      <c r="U708" t="e">
        <f>IF(Table13[[#This Row],[Category All]]="Category 3", "Yes",NA())</f>
        <v>#N/A</v>
      </c>
      <c r="V708">
        <f>SUM(1,(1/3)*(Table13[[#This Row],[Length]]-0.5),(1/3)*(Table13[[#This Row],[Diameter]]-0.4),(1/3)*(Table13[[#This Row],[Height]]-0.4)*Table13[[#This Row],[Whole_weight]]*0.5)</f>
        <v>0.86762416666666664</v>
      </c>
      <c r="W708" cm="1">
        <f t="array" ref="W7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0.6940993333333334</v>
      </c>
      <c r="X708" t="e">
        <f>IF(Table13[[#This Row],[Category All]]="Category 1",Table13[[#This Row],[Base Abalone Value]]*1.5,NA())</f>
        <v>#N/A</v>
      </c>
      <c r="Y708">
        <f>IF(Table13[[#This Row],[Category All]]="Category 2",Table13[[#This Row],[Base Abalone Value]]*0.8,NA())</f>
        <v>0.6940993333333334</v>
      </c>
      <c r="Z708" t="e">
        <f>IF(Table13[[#This Row],[Category All]]="Category 3",Table13[[#This Row],[Base Abalone Value]],NA())</f>
        <v>#N/A</v>
      </c>
      <c r="AA708" s="2" t="e">
        <f>IF(Table13[[#This Row],[Gender]]="M",Table13[[#This Row],[Whole_weight]],NA())</f>
        <v>#N/A</v>
      </c>
      <c r="AB708" s="2" t="e">
        <f>IF(Table13[[#This Row],[Gender]]="F",Table13[[#This Row],[Whole_weight]],NA())</f>
        <v>#N/A</v>
      </c>
      <c r="AC708" s="2">
        <f>IF(Table13[[#This Row],[Gender]]="I",Table13[[#This Row],[Whole_weight]],NA())</f>
        <v>0.1105</v>
      </c>
      <c r="AD708" s="2" t="e">
        <f>IF(Table13[[#This Row],[Gender]]="M",Table13[[#This Row],[Diameter]],NA())</f>
        <v>#N/A</v>
      </c>
      <c r="AE708" s="2" t="e">
        <f>IF(Table13[[#This Row],[Gender]]="F",Table13[[#This Row],[Diameter]],NA())</f>
        <v>#N/A</v>
      </c>
      <c r="AF708" s="2">
        <f>IF(Table13[[#This Row],[Gender]]="I",Table13[[#This Row],[Diameter]],NA())</f>
        <v>0.22500000000000001</v>
      </c>
    </row>
    <row r="709" spans="1:32" x14ac:dyDescent="0.2">
      <c r="A709">
        <v>954</v>
      </c>
      <c r="B709" t="s">
        <v>0</v>
      </c>
      <c r="C709">
        <v>0.48499999999999999</v>
      </c>
      <c r="D709">
        <v>0.37</v>
      </c>
      <c r="E709">
        <v>0.115</v>
      </c>
      <c r="F709">
        <v>0.47849999999999998</v>
      </c>
      <c r="G709">
        <v>0.19950000000000001</v>
      </c>
      <c r="H709">
        <v>9.5500000000000002E-2</v>
      </c>
      <c r="I709">
        <v>0.129</v>
      </c>
      <c r="J709">
        <v>7</v>
      </c>
      <c r="K709">
        <v>9</v>
      </c>
      <c r="L709" t="s">
        <v>20</v>
      </c>
      <c r="M709" t="s">
        <v>21</v>
      </c>
      <c r="N709" t="s">
        <v>22</v>
      </c>
      <c r="O709">
        <v>4</v>
      </c>
      <c r="P709" t="s">
        <v>10</v>
      </c>
      <c r="Q709">
        <v>6.1</v>
      </c>
      <c r="R709" t="str" cm="1">
        <f t="array" ref="R7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09" t="e">
        <f>IF(Table13[[#This Row],[Category All]]="Category 1", "Yes",NA())</f>
        <v>#N/A</v>
      </c>
      <c r="T709" t="str">
        <f>IF(Table13[[#This Row],[Category All]]="Category 2", "Yes",NA())</f>
        <v>Yes</v>
      </c>
      <c r="U709" t="e">
        <f>IF(Table13[[#This Row],[Category All]]="Category 3", "Yes",NA())</f>
        <v>#N/A</v>
      </c>
      <c r="V709">
        <f>SUM(1,(1/3)*(Table13[[#This Row],[Length]]-0.5),(1/3)*(Table13[[#This Row],[Diameter]]-0.4),(1/3)*(Table13[[#This Row],[Height]]-0.4)*Table13[[#This Row],[Whole_weight]]*0.5)</f>
        <v>0.96227125000000002</v>
      </c>
      <c r="W709" cm="1">
        <f t="array" ref="W7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0.76981700000000008</v>
      </c>
      <c r="X709" t="e">
        <f>IF(Table13[[#This Row],[Category All]]="Category 1",Table13[[#This Row],[Base Abalone Value]]*1.5,NA())</f>
        <v>#N/A</v>
      </c>
      <c r="Y709">
        <f>IF(Table13[[#This Row],[Category All]]="Category 2",Table13[[#This Row],[Base Abalone Value]]*0.8,NA())</f>
        <v>0.76981700000000008</v>
      </c>
      <c r="Z709" t="e">
        <f>IF(Table13[[#This Row],[Category All]]="Category 3",Table13[[#This Row],[Base Abalone Value]],NA())</f>
        <v>#N/A</v>
      </c>
      <c r="AA709" s="2" t="e">
        <f>IF(Table13[[#This Row],[Gender]]="M",Table13[[#This Row],[Whole_weight]],NA())</f>
        <v>#N/A</v>
      </c>
      <c r="AB709" s="2">
        <f>IF(Table13[[#This Row],[Gender]]="F",Table13[[#This Row],[Whole_weight]],NA())</f>
        <v>0.47849999999999998</v>
      </c>
      <c r="AC709" s="2" t="e">
        <f>IF(Table13[[#This Row],[Gender]]="I",Table13[[#This Row],[Whole_weight]],NA())</f>
        <v>#N/A</v>
      </c>
      <c r="AD709" s="2" t="e">
        <f>IF(Table13[[#This Row],[Gender]]="M",Table13[[#This Row],[Diameter]],NA())</f>
        <v>#N/A</v>
      </c>
      <c r="AE709" s="2">
        <f>IF(Table13[[#This Row],[Gender]]="F",Table13[[#This Row],[Diameter]],NA())</f>
        <v>0.37</v>
      </c>
      <c r="AF709" s="2" t="e">
        <f>IF(Table13[[#This Row],[Gender]]="I",Table13[[#This Row],[Diameter]],NA())</f>
        <v>#N/A</v>
      </c>
    </row>
    <row r="710" spans="1:32" x14ac:dyDescent="0.2">
      <c r="A710">
        <v>44</v>
      </c>
      <c r="B710" t="s">
        <v>11</v>
      </c>
      <c r="C710">
        <v>0.20499999999999999</v>
      </c>
      <c r="D710">
        <v>0.15</v>
      </c>
      <c r="E710">
        <v>5.5E-2</v>
      </c>
      <c r="F710">
        <v>4.2000000000000003E-2</v>
      </c>
      <c r="G710">
        <v>2.5499999999999998E-2</v>
      </c>
      <c r="H710">
        <v>1.4999999999999999E-2</v>
      </c>
      <c r="I710">
        <v>1.2E-2</v>
      </c>
      <c r="J710">
        <v>5</v>
      </c>
      <c r="K710">
        <v>7</v>
      </c>
      <c r="L710" t="s">
        <v>35</v>
      </c>
      <c r="M710" t="s">
        <v>36</v>
      </c>
      <c r="N710" t="s">
        <v>37</v>
      </c>
      <c r="O710">
        <v>4</v>
      </c>
      <c r="P710" t="s">
        <v>10</v>
      </c>
      <c r="Q710">
        <v>6.1</v>
      </c>
      <c r="R710" t="str" cm="1">
        <f t="array" ref="R7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10" t="e">
        <f>IF(Table13[[#This Row],[Category All]]="Category 1", "Yes",NA())</f>
        <v>#N/A</v>
      </c>
      <c r="T710" t="str">
        <f>IF(Table13[[#This Row],[Category All]]="Category 2", "Yes",NA())</f>
        <v>Yes</v>
      </c>
      <c r="U710" t="e">
        <f>IF(Table13[[#This Row],[Category All]]="Category 3", "Yes",NA())</f>
        <v>#N/A</v>
      </c>
      <c r="V710">
        <f>SUM(1,(1/3)*(Table13[[#This Row],[Length]]-0.5),(1/3)*(Table13[[#This Row],[Diameter]]-0.4),(1/3)*(Table13[[#This Row],[Height]]-0.4)*Table13[[#This Row],[Whole_weight]]*0.5)</f>
        <v>0.8159183333333333</v>
      </c>
      <c r="W710" cm="1">
        <f t="array" ref="W7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0.65273466666666669</v>
      </c>
      <c r="X710" t="e">
        <f>IF(Table13[[#This Row],[Category All]]="Category 1",Table13[[#This Row],[Base Abalone Value]]*1.5,NA())</f>
        <v>#N/A</v>
      </c>
      <c r="Y710">
        <f>IF(Table13[[#This Row],[Category All]]="Category 2",Table13[[#This Row],[Base Abalone Value]]*0.8,NA())</f>
        <v>0.65273466666666669</v>
      </c>
      <c r="Z710" t="e">
        <f>IF(Table13[[#This Row],[Category All]]="Category 3",Table13[[#This Row],[Base Abalone Value]],NA())</f>
        <v>#N/A</v>
      </c>
      <c r="AA710" s="2" t="e">
        <f>IF(Table13[[#This Row],[Gender]]="M",Table13[[#This Row],[Whole_weight]],NA())</f>
        <v>#N/A</v>
      </c>
      <c r="AB710" s="2" t="e">
        <f>IF(Table13[[#This Row],[Gender]]="F",Table13[[#This Row],[Whole_weight]],NA())</f>
        <v>#N/A</v>
      </c>
      <c r="AC710" s="2">
        <f>IF(Table13[[#This Row],[Gender]]="I",Table13[[#This Row],[Whole_weight]],NA())</f>
        <v>4.2000000000000003E-2</v>
      </c>
      <c r="AD710" s="2" t="e">
        <f>IF(Table13[[#This Row],[Gender]]="M",Table13[[#This Row],[Diameter]],NA())</f>
        <v>#N/A</v>
      </c>
      <c r="AE710" s="2" t="e">
        <f>IF(Table13[[#This Row],[Gender]]="F",Table13[[#This Row],[Diameter]],NA())</f>
        <v>#N/A</v>
      </c>
      <c r="AF710" s="2">
        <f>IF(Table13[[#This Row],[Gender]]="I",Table13[[#This Row],[Diameter]],NA())</f>
        <v>0.15</v>
      </c>
    </row>
    <row r="711" spans="1:32" x14ac:dyDescent="0.2">
      <c r="A711">
        <v>3568</v>
      </c>
      <c r="B711" t="s">
        <v>11</v>
      </c>
      <c r="C711">
        <v>0.57999999999999996</v>
      </c>
      <c r="D711">
        <v>0.46</v>
      </c>
      <c r="E711">
        <v>0.14000000000000001</v>
      </c>
      <c r="F711">
        <v>0.92649999999999999</v>
      </c>
      <c r="G711">
        <v>0.41349999999999998</v>
      </c>
      <c r="H711">
        <v>0.1845</v>
      </c>
      <c r="I711">
        <v>0.27</v>
      </c>
      <c r="J711">
        <v>10</v>
      </c>
      <c r="K711">
        <v>13</v>
      </c>
      <c r="L711" t="s">
        <v>12</v>
      </c>
      <c r="M711" t="s">
        <v>13</v>
      </c>
      <c r="N711" t="s">
        <v>3</v>
      </c>
      <c r="O711">
        <v>4</v>
      </c>
      <c r="P711" t="s">
        <v>10</v>
      </c>
      <c r="Q711">
        <v>6.1</v>
      </c>
      <c r="R711" t="str" cm="1">
        <f t="array" ref="R7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11" t="e">
        <f>IF(Table13[[#This Row],[Category All]]="Category 1", "Yes",NA())</f>
        <v>#N/A</v>
      </c>
      <c r="T711" t="e">
        <f>IF(Table13[[#This Row],[Category All]]="Category 2", "Yes",NA())</f>
        <v>#N/A</v>
      </c>
      <c r="U711" t="str">
        <f>IF(Table13[[#This Row],[Category All]]="Category 3", "Yes",NA())</f>
        <v>Yes</v>
      </c>
      <c r="V711">
        <f>SUM(1,(1/3)*(Table13[[#This Row],[Length]]-0.5),(1/3)*(Table13[[#This Row],[Diameter]]-0.4),(1/3)*(Table13[[#This Row],[Height]]-0.4)*Table13[[#This Row],[Whole_weight]]*0.5)</f>
        <v>1.0065183333333334</v>
      </c>
      <c r="W711" cm="1">
        <f t="array" ref="W7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1.0065183333333334</v>
      </c>
      <c r="X711" t="e">
        <f>IF(Table13[[#This Row],[Category All]]="Category 1",Table13[[#This Row],[Base Abalone Value]]*1.5,NA())</f>
        <v>#N/A</v>
      </c>
      <c r="Y711" t="e">
        <f>IF(Table13[[#This Row],[Category All]]="Category 2",Table13[[#This Row],[Base Abalone Value]]*0.8,NA())</f>
        <v>#N/A</v>
      </c>
      <c r="Z711">
        <f>IF(Table13[[#This Row],[Category All]]="Category 3",Table13[[#This Row],[Base Abalone Value]],NA())</f>
        <v>1.0065183333333334</v>
      </c>
      <c r="AA711" s="2" t="e">
        <f>IF(Table13[[#This Row],[Gender]]="M",Table13[[#This Row],[Whole_weight]],NA())</f>
        <v>#N/A</v>
      </c>
      <c r="AB711" s="2" t="e">
        <f>IF(Table13[[#This Row],[Gender]]="F",Table13[[#This Row],[Whole_weight]],NA())</f>
        <v>#N/A</v>
      </c>
      <c r="AC711" s="2">
        <f>IF(Table13[[#This Row],[Gender]]="I",Table13[[#This Row],[Whole_weight]],NA())</f>
        <v>0.92649999999999999</v>
      </c>
      <c r="AD711" s="2" t="e">
        <f>IF(Table13[[#This Row],[Gender]]="M",Table13[[#This Row],[Diameter]],NA())</f>
        <v>#N/A</v>
      </c>
      <c r="AE711" s="2" t="e">
        <f>IF(Table13[[#This Row],[Gender]]="F",Table13[[#This Row],[Diameter]],NA())</f>
        <v>#N/A</v>
      </c>
      <c r="AF711" s="2">
        <f>IF(Table13[[#This Row],[Gender]]="I",Table13[[#This Row],[Diameter]],NA())</f>
        <v>0.46</v>
      </c>
    </row>
    <row r="712" spans="1:32" x14ac:dyDescent="0.2">
      <c r="A712">
        <v>3813</v>
      </c>
      <c r="B712" t="s">
        <v>0</v>
      </c>
      <c r="C712">
        <v>0.61</v>
      </c>
      <c r="D712">
        <v>0.49</v>
      </c>
      <c r="E712">
        <v>0.17</v>
      </c>
      <c r="F712">
        <v>1.137</v>
      </c>
      <c r="G712">
        <v>0.46050000000000002</v>
      </c>
      <c r="H712">
        <v>0.28249999999999997</v>
      </c>
      <c r="I712">
        <v>0.34399999999999997</v>
      </c>
      <c r="J712">
        <v>12</v>
      </c>
      <c r="K712">
        <v>7</v>
      </c>
      <c r="L712" t="s">
        <v>35</v>
      </c>
      <c r="M712" t="s">
        <v>36</v>
      </c>
      <c r="N712" t="s">
        <v>37</v>
      </c>
      <c r="O712">
        <v>8</v>
      </c>
      <c r="P712" t="s">
        <v>19</v>
      </c>
      <c r="Q712">
        <v>12.3</v>
      </c>
      <c r="R712" t="str" cm="1">
        <f t="array" ref="R7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12" t="e">
        <f>IF(Table13[[#This Row],[Category All]]="Category 1", "Yes",NA())</f>
        <v>#N/A</v>
      </c>
      <c r="T712" t="e">
        <f>IF(Table13[[#This Row],[Category All]]="Category 2", "Yes",NA())</f>
        <v>#N/A</v>
      </c>
      <c r="U712" t="str">
        <f>IF(Table13[[#This Row],[Category All]]="Category 3", "Yes",NA())</f>
        <v>Yes</v>
      </c>
      <c r="V712">
        <f>SUM(1,(1/3)*(Table13[[#This Row],[Length]]-0.5),(1/3)*(Table13[[#This Row],[Diameter]]-0.4),(1/3)*(Table13[[#This Row],[Height]]-0.4)*Table13[[#This Row],[Whole_weight]]*0.5)</f>
        <v>1.0230816666666667</v>
      </c>
      <c r="W712" cm="1">
        <f t="array" ref="W7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1.0230816666666667</v>
      </c>
      <c r="X712" t="e">
        <f>IF(Table13[[#This Row],[Category All]]="Category 1",Table13[[#This Row],[Base Abalone Value]]*1.5,NA())</f>
        <v>#N/A</v>
      </c>
      <c r="Y712" t="e">
        <f>IF(Table13[[#This Row],[Category All]]="Category 2",Table13[[#This Row],[Base Abalone Value]]*0.8,NA())</f>
        <v>#N/A</v>
      </c>
      <c r="Z712">
        <f>IF(Table13[[#This Row],[Category All]]="Category 3",Table13[[#This Row],[Base Abalone Value]],NA())</f>
        <v>1.0230816666666667</v>
      </c>
      <c r="AA712" s="2" t="e">
        <f>IF(Table13[[#This Row],[Gender]]="M",Table13[[#This Row],[Whole_weight]],NA())</f>
        <v>#N/A</v>
      </c>
      <c r="AB712" s="2">
        <f>IF(Table13[[#This Row],[Gender]]="F",Table13[[#This Row],[Whole_weight]],NA())</f>
        <v>1.137</v>
      </c>
      <c r="AC712" s="2" t="e">
        <f>IF(Table13[[#This Row],[Gender]]="I",Table13[[#This Row],[Whole_weight]],NA())</f>
        <v>#N/A</v>
      </c>
      <c r="AD712" s="2" t="e">
        <f>IF(Table13[[#This Row],[Gender]]="M",Table13[[#This Row],[Diameter]],NA())</f>
        <v>#N/A</v>
      </c>
      <c r="AE712" s="2">
        <f>IF(Table13[[#This Row],[Gender]]="F",Table13[[#This Row],[Diameter]],NA())</f>
        <v>0.49</v>
      </c>
      <c r="AF712" s="2" t="e">
        <f>IF(Table13[[#This Row],[Gender]]="I",Table13[[#This Row],[Diameter]],NA())</f>
        <v>#N/A</v>
      </c>
    </row>
    <row r="713" spans="1:32" x14ac:dyDescent="0.2">
      <c r="A713">
        <v>914</v>
      </c>
      <c r="B713" t="s">
        <v>11</v>
      </c>
      <c r="C713">
        <v>0.37</v>
      </c>
      <c r="D713">
        <v>0.28999999999999998</v>
      </c>
      <c r="E713">
        <v>9.5000000000000001E-2</v>
      </c>
      <c r="F713">
        <v>0.249</v>
      </c>
      <c r="G713">
        <v>0.1045</v>
      </c>
      <c r="H713">
        <v>5.8000000000000003E-2</v>
      </c>
      <c r="I713">
        <v>6.7000000000000004E-2</v>
      </c>
      <c r="J713">
        <v>6</v>
      </c>
      <c r="K713">
        <v>1</v>
      </c>
      <c r="L713" t="s">
        <v>8</v>
      </c>
      <c r="M713" t="s">
        <v>9</v>
      </c>
      <c r="N713" t="s">
        <v>3</v>
      </c>
      <c r="O713">
        <v>2</v>
      </c>
      <c r="P713" t="s">
        <v>7</v>
      </c>
      <c r="Q713">
        <v>18</v>
      </c>
      <c r="R713" t="str" cm="1">
        <f t="array" ref="R7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13" t="e">
        <f>IF(Table13[[#This Row],[Category All]]="Category 1", "Yes",NA())</f>
        <v>#N/A</v>
      </c>
      <c r="T713" t="str">
        <f>IF(Table13[[#This Row],[Category All]]="Category 2", "Yes",NA())</f>
        <v>Yes</v>
      </c>
      <c r="U713" t="e">
        <f>IF(Table13[[#This Row],[Category All]]="Category 3", "Yes",NA())</f>
        <v>#N/A</v>
      </c>
      <c r="V713">
        <f>SUM(1,(1/3)*(Table13[[#This Row],[Length]]-0.5),(1/3)*(Table13[[#This Row],[Diameter]]-0.4),(1/3)*(Table13[[#This Row],[Height]]-0.4)*Table13[[#This Row],[Whole_weight]]*0.5)</f>
        <v>0.90734249999999994</v>
      </c>
      <c r="W713" cm="1">
        <f t="array" ref="W7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0.72587400000000002</v>
      </c>
      <c r="X713" t="e">
        <f>IF(Table13[[#This Row],[Category All]]="Category 1",Table13[[#This Row],[Base Abalone Value]]*1.5,NA())</f>
        <v>#N/A</v>
      </c>
      <c r="Y713">
        <f>IF(Table13[[#This Row],[Category All]]="Category 2",Table13[[#This Row],[Base Abalone Value]]*0.8,NA())</f>
        <v>0.72587400000000002</v>
      </c>
      <c r="Z713" t="e">
        <f>IF(Table13[[#This Row],[Category All]]="Category 3",Table13[[#This Row],[Base Abalone Value]],NA())</f>
        <v>#N/A</v>
      </c>
      <c r="AA713" s="2" t="e">
        <f>IF(Table13[[#This Row],[Gender]]="M",Table13[[#This Row],[Whole_weight]],NA())</f>
        <v>#N/A</v>
      </c>
      <c r="AB713" s="2" t="e">
        <f>IF(Table13[[#This Row],[Gender]]="F",Table13[[#This Row],[Whole_weight]],NA())</f>
        <v>#N/A</v>
      </c>
      <c r="AC713" s="2">
        <f>IF(Table13[[#This Row],[Gender]]="I",Table13[[#This Row],[Whole_weight]],NA())</f>
        <v>0.249</v>
      </c>
      <c r="AD713" s="2" t="e">
        <f>IF(Table13[[#This Row],[Gender]]="M",Table13[[#This Row],[Diameter]],NA())</f>
        <v>#N/A</v>
      </c>
      <c r="AE713" s="2" t="e">
        <f>IF(Table13[[#This Row],[Gender]]="F",Table13[[#This Row],[Diameter]],NA())</f>
        <v>#N/A</v>
      </c>
      <c r="AF713" s="2">
        <f>IF(Table13[[#This Row],[Gender]]="I",Table13[[#This Row],[Diameter]],NA())</f>
        <v>0.28999999999999998</v>
      </c>
    </row>
    <row r="714" spans="1:32" x14ac:dyDescent="0.2">
      <c r="A714">
        <v>2175</v>
      </c>
      <c r="B714" t="s">
        <v>0</v>
      </c>
      <c r="C714">
        <v>0.64500000000000002</v>
      </c>
      <c r="D714">
        <v>0.5</v>
      </c>
      <c r="E714">
        <v>0.17</v>
      </c>
      <c r="F714">
        <v>1.1845000000000001</v>
      </c>
      <c r="G714">
        <v>0.48049999999999998</v>
      </c>
      <c r="H714">
        <v>0.27400000000000002</v>
      </c>
      <c r="I714">
        <v>0.35499999999999998</v>
      </c>
      <c r="J714">
        <v>13</v>
      </c>
      <c r="K714">
        <v>3</v>
      </c>
      <c r="L714" t="s">
        <v>43</v>
      </c>
      <c r="M714" t="s">
        <v>44</v>
      </c>
      <c r="N714" t="s">
        <v>45</v>
      </c>
      <c r="O714">
        <v>9</v>
      </c>
      <c r="P714" t="s">
        <v>46</v>
      </c>
      <c r="Q714">
        <v>1.9</v>
      </c>
      <c r="R714" t="str" cm="1">
        <f t="array" ref="R7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14" t="e">
        <f>IF(Table13[[#This Row],[Category All]]="Category 1", "Yes",NA())</f>
        <v>#N/A</v>
      </c>
      <c r="T714" t="e">
        <f>IF(Table13[[#This Row],[Category All]]="Category 2", "Yes",NA())</f>
        <v>#N/A</v>
      </c>
      <c r="U714" t="str">
        <f>IF(Table13[[#This Row],[Category All]]="Category 3", "Yes",NA())</f>
        <v>Yes</v>
      </c>
      <c r="V714">
        <f>SUM(1,(1/3)*(Table13[[#This Row],[Length]]-0.5),(1/3)*(Table13[[#This Row],[Diameter]]-0.4),(1/3)*(Table13[[#This Row],[Height]]-0.4)*Table13[[#This Row],[Whole_weight]]*0.5)</f>
        <v>1.0362608333333332</v>
      </c>
      <c r="W714" cm="1">
        <f t="array" ref="W7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1.0362608333333332</v>
      </c>
      <c r="X714" t="e">
        <f>IF(Table13[[#This Row],[Category All]]="Category 1",Table13[[#This Row],[Base Abalone Value]]*1.5,NA())</f>
        <v>#N/A</v>
      </c>
      <c r="Y714" t="e">
        <f>IF(Table13[[#This Row],[Category All]]="Category 2",Table13[[#This Row],[Base Abalone Value]]*0.8,NA())</f>
        <v>#N/A</v>
      </c>
      <c r="Z714">
        <f>IF(Table13[[#This Row],[Category All]]="Category 3",Table13[[#This Row],[Base Abalone Value]],NA())</f>
        <v>1.0362608333333332</v>
      </c>
      <c r="AA714" s="2" t="e">
        <f>IF(Table13[[#This Row],[Gender]]="M",Table13[[#This Row],[Whole_weight]],NA())</f>
        <v>#N/A</v>
      </c>
      <c r="AB714" s="2">
        <f>IF(Table13[[#This Row],[Gender]]="F",Table13[[#This Row],[Whole_weight]],NA())</f>
        <v>1.1845000000000001</v>
      </c>
      <c r="AC714" s="2" t="e">
        <f>IF(Table13[[#This Row],[Gender]]="I",Table13[[#This Row],[Whole_weight]],NA())</f>
        <v>#N/A</v>
      </c>
      <c r="AD714" s="2" t="e">
        <f>IF(Table13[[#This Row],[Gender]]="M",Table13[[#This Row],[Diameter]],NA())</f>
        <v>#N/A</v>
      </c>
      <c r="AE714" s="2">
        <f>IF(Table13[[#This Row],[Gender]]="F",Table13[[#This Row],[Diameter]],NA())</f>
        <v>0.5</v>
      </c>
      <c r="AF714" s="2" t="e">
        <f>IF(Table13[[#This Row],[Gender]]="I",Table13[[#This Row],[Diameter]],NA())</f>
        <v>#N/A</v>
      </c>
    </row>
    <row r="715" spans="1:32" x14ac:dyDescent="0.2">
      <c r="A715">
        <v>136</v>
      </c>
      <c r="B715" t="s">
        <v>0</v>
      </c>
      <c r="C715">
        <v>0.42499999999999999</v>
      </c>
      <c r="D715">
        <v>0.33</v>
      </c>
      <c r="E715">
        <v>0.115</v>
      </c>
      <c r="F715">
        <v>0.40600000000000003</v>
      </c>
      <c r="G715">
        <v>0.16350000000000001</v>
      </c>
      <c r="H715">
        <v>8.1000000000000003E-2</v>
      </c>
      <c r="I715">
        <v>0.13550000000000001</v>
      </c>
      <c r="J715">
        <v>8</v>
      </c>
      <c r="K715">
        <v>11</v>
      </c>
      <c r="L715" t="s">
        <v>5</v>
      </c>
      <c r="M715" t="s">
        <v>6</v>
      </c>
      <c r="N715" t="s">
        <v>3</v>
      </c>
      <c r="O715">
        <v>5</v>
      </c>
      <c r="P715" t="s">
        <v>14</v>
      </c>
      <c r="Q715">
        <v>12.8</v>
      </c>
      <c r="R715" t="str" cm="1">
        <f t="array" ref="R7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15" t="e">
        <f>IF(Table13[[#This Row],[Category All]]="Category 1", "Yes",NA())</f>
        <v>#N/A</v>
      </c>
      <c r="T715" t="str">
        <f>IF(Table13[[#This Row],[Category All]]="Category 2", "Yes",NA())</f>
        <v>Yes</v>
      </c>
      <c r="U715" t="e">
        <f>IF(Table13[[#This Row],[Category All]]="Category 3", "Yes",NA())</f>
        <v>#N/A</v>
      </c>
      <c r="V715">
        <f>SUM(1,(1/3)*(Table13[[#This Row],[Length]]-0.5),(1/3)*(Table13[[#This Row],[Diameter]]-0.4),(1/3)*(Table13[[#This Row],[Height]]-0.4)*Table13[[#This Row],[Whole_weight]]*0.5)</f>
        <v>0.93238166666666666</v>
      </c>
      <c r="W715" cm="1">
        <f t="array" ref="W7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0.74590533333333342</v>
      </c>
      <c r="X715" t="e">
        <f>IF(Table13[[#This Row],[Category All]]="Category 1",Table13[[#This Row],[Base Abalone Value]]*1.5,NA())</f>
        <v>#N/A</v>
      </c>
      <c r="Y715">
        <f>IF(Table13[[#This Row],[Category All]]="Category 2",Table13[[#This Row],[Base Abalone Value]]*0.8,NA())</f>
        <v>0.74590533333333342</v>
      </c>
      <c r="Z715" t="e">
        <f>IF(Table13[[#This Row],[Category All]]="Category 3",Table13[[#This Row],[Base Abalone Value]],NA())</f>
        <v>#N/A</v>
      </c>
      <c r="AA715" s="2" t="e">
        <f>IF(Table13[[#This Row],[Gender]]="M",Table13[[#This Row],[Whole_weight]],NA())</f>
        <v>#N/A</v>
      </c>
      <c r="AB715" s="2">
        <f>IF(Table13[[#This Row],[Gender]]="F",Table13[[#This Row],[Whole_weight]],NA())</f>
        <v>0.40600000000000003</v>
      </c>
      <c r="AC715" s="2" t="e">
        <f>IF(Table13[[#This Row],[Gender]]="I",Table13[[#This Row],[Whole_weight]],NA())</f>
        <v>#N/A</v>
      </c>
      <c r="AD715" s="2" t="e">
        <f>IF(Table13[[#This Row],[Gender]]="M",Table13[[#This Row],[Diameter]],NA())</f>
        <v>#N/A</v>
      </c>
      <c r="AE715" s="2">
        <f>IF(Table13[[#This Row],[Gender]]="F",Table13[[#This Row],[Diameter]],NA())</f>
        <v>0.33</v>
      </c>
      <c r="AF715" s="2" t="e">
        <f>IF(Table13[[#This Row],[Gender]]="I",Table13[[#This Row],[Diameter]],NA())</f>
        <v>#N/A</v>
      </c>
    </row>
    <row r="716" spans="1:32" x14ac:dyDescent="0.2">
      <c r="A716">
        <v>1893</v>
      </c>
      <c r="B716" t="s">
        <v>15</v>
      </c>
      <c r="C716">
        <v>0.56499999999999995</v>
      </c>
      <c r="D716">
        <v>0.45</v>
      </c>
      <c r="E716">
        <v>0.16</v>
      </c>
      <c r="F716">
        <v>0.89500000000000002</v>
      </c>
      <c r="G716">
        <v>0.41499999999999998</v>
      </c>
      <c r="H716">
        <v>0.19500000000000001</v>
      </c>
      <c r="I716">
        <v>0.246</v>
      </c>
      <c r="J716">
        <v>9</v>
      </c>
      <c r="K716">
        <v>10</v>
      </c>
      <c r="L716" t="s">
        <v>16</v>
      </c>
      <c r="M716" t="s">
        <v>17</v>
      </c>
      <c r="N716" t="s">
        <v>18</v>
      </c>
      <c r="O716">
        <v>5</v>
      </c>
      <c r="P716" t="s">
        <v>14</v>
      </c>
      <c r="Q716">
        <v>12.8</v>
      </c>
      <c r="R716" t="str" cm="1">
        <f t="array" ref="R7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16" t="e">
        <f>IF(Table13[[#This Row],[Category All]]="Category 1", "Yes",NA())</f>
        <v>#N/A</v>
      </c>
      <c r="T716" t="e">
        <f>IF(Table13[[#This Row],[Category All]]="Category 2", "Yes",NA())</f>
        <v>#N/A</v>
      </c>
      <c r="U716" t="str">
        <f>IF(Table13[[#This Row],[Category All]]="Category 3", "Yes",NA())</f>
        <v>Yes</v>
      </c>
      <c r="V716">
        <f>SUM(1,(1/3)*(Table13[[#This Row],[Length]]-0.5),(1/3)*(Table13[[#This Row],[Diameter]]-0.4),(1/3)*(Table13[[#This Row],[Height]]-0.4)*Table13[[#This Row],[Whole_weight]]*0.5)</f>
        <v>1.0025333333333333</v>
      </c>
      <c r="W716" cm="1">
        <f t="array" ref="W7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1.0025333333333333</v>
      </c>
      <c r="X716" t="e">
        <f>IF(Table13[[#This Row],[Category All]]="Category 1",Table13[[#This Row],[Base Abalone Value]]*1.5,NA())</f>
        <v>#N/A</v>
      </c>
      <c r="Y716" t="e">
        <f>IF(Table13[[#This Row],[Category All]]="Category 2",Table13[[#This Row],[Base Abalone Value]]*0.8,NA())</f>
        <v>#N/A</v>
      </c>
      <c r="Z716">
        <f>IF(Table13[[#This Row],[Category All]]="Category 3",Table13[[#This Row],[Base Abalone Value]],NA())</f>
        <v>1.0025333333333333</v>
      </c>
      <c r="AA716" s="2">
        <f>IF(Table13[[#This Row],[Gender]]="M",Table13[[#This Row],[Whole_weight]],NA())</f>
        <v>0.89500000000000002</v>
      </c>
      <c r="AB716" s="2" t="e">
        <f>IF(Table13[[#This Row],[Gender]]="F",Table13[[#This Row],[Whole_weight]],NA())</f>
        <v>#N/A</v>
      </c>
      <c r="AC716" s="2" t="e">
        <f>IF(Table13[[#This Row],[Gender]]="I",Table13[[#This Row],[Whole_weight]],NA())</f>
        <v>#N/A</v>
      </c>
      <c r="AD716" s="2">
        <f>IF(Table13[[#This Row],[Gender]]="M",Table13[[#This Row],[Diameter]],NA())</f>
        <v>0.45</v>
      </c>
      <c r="AE716" s="2" t="e">
        <f>IF(Table13[[#This Row],[Gender]]="F",Table13[[#This Row],[Diameter]],NA())</f>
        <v>#N/A</v>
      </c>
      <c r="AF716" s="2" t="e">
        <f>IF(Table13[[#This Row],[Gender]]="I",Table13[[#This Row],[Diameter]],NA())</f>
        <v>#N/A</v>
      </c>
    </row>
    <row r="717" spans="1:32" x14ac:dyDescent="0.2">
      <c r="A717">
        <v>1558</v>
      </c>
      <c r="B717" t="s">
        <v>11</v>
      </c>
      <c r="C717">
        <v>0.42499999999999999</v>
      </c>
      <c r="D717">
        <v>0.32500000000000001</v>
      </c>
      <c r="E717">
        <v>0.11</v>
      </c>
      <c r="F717">
        <v>0.317</v>
      </c>
      <c r="G717">
        <v>0.13500000000000001</v>
      </c>
      <c r="H717">
        <v>4.8000000000000001E-2</v>
      </c>
      <c r="I717">
        <v>0.09</v>
      </c>
      <c r="J717">
        <v>8</v>
      </c>
      <c r="K717">
        <v>14</v>
      </c>
      <c r="L717" t="s">
        <v>23</v>
      </c>
      <c r="M717" t="s">
        <v>24</v>
      </c>
      <c r="N717" t="s">
        <v>25</v>
      </c>
      <c r="O717">
        <v>1</v>
      </c>
      <c r="P717" t="s">
        <v>4</v>
      </c>
      <c r="Q717">
        <v>22.1</v>
      </c>
      <c r="R717" t="str" cm="1">
        <f t="array" ref="R7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17" t="e">
        <f>IF(Table13[[#This Row],[Category All]]="Category 1", "Yes",NA())</f>
        <v>#N/A</v>
      </c>
      <c r="T717" t="str">
        <f>IF(Table13[[#This Row],[Category All]]="Category 2", "Yes",NA())</f>
        <v>Yes</v>
      </c>
      <c r="U717" t="e">
        <f>IF(Table13[[#This Row],[Category All]]="Category 3", "Yes",NA())</f>
        <v>#N/A</v>
      </c>
      <c r="V717">
        <f>SUM(1,(1/3)*(Table13[[#This Row],[Length]]-0.5),(1/3)*(Table13[[#This Row],[Diameter]]-0.4),(1/3)*(Table13[[#This Row],[Height]]-0.4)*Table13[[#This Row],[Whole_weight]]*0.5)</f>
        <v>0.93467833333333328</v>
      </c>
      <c r="W717" cm="1">
        <f t="array" ref="W7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0.74774266666666667</v>
      </c>
      <c r="X717" t="e">
        <f>IF(Table13[[#This Row],[Category All]]="Category 1",Table13[[#This Row],[Base Abalone Value]]*1.5,NA())</f>
        <v>#N/A</v>
      </c>
      <c r="Y717">
        <f>IF(Table13[[#This Row],[Category All]]="Category 2",Table13[[#This Row],[Base Abalone Value]]*0.8,NA())</f>
        <v>0.74774266666666667</v>
      </c>
      <c r="Z717" t="e">
        <f>IF(Table13[[#This Row],[Category All]]="Category 3",Table13[[#This Row],[Base Abalone Value]],NA())</f>
        <v>#N/A</v>
      </c>
      <c r="AA717" s="2" t="e">
        <f>IF(Table13[[#This Row],[Gender]]="M",Table13[[#This Row],[Whole_weight]],NA())</f>
        <v>#N/A</v>
      </c>
      <c r="AB717" s="2" t="e">
        <f>IF(Table13[[#This Row],[Gender]]="F",Table13[[#This Row],[Whole_weight]],NA())</f>
        <v>#N/A</v>
      </c>
      <c r="AC717" s="2">
        <f>IF(Table13[[#This Row],[Gender]]="I",Table13[[#This Row],[Whole_weight]],NA())</f>
        <v>0.317</v>
      </c>
      <c r="AD717" s="2" t="e">
        <f>IF(Table13[[#This Row],[Gender]]="M",Table13[[#This Row],[Diameter]],NA())</f>
        <v>#N/A</v>
      </c>
      <c r="AE717" s="2" t="e">
        <f>IF(Table13[[#This Row],[Gender]]="F",Table13[[#This Row],[Diameter]],NA())</f>
        <v>#N/A</v>
      </c>
      <c r="AF717" s="2">
        <f>IF(Table13[[#This Row],[Gender]]="I",Table13[[#This Row],[Diameter]],NA())</f>
        <v>0.32500000000000001</v>
      </c>
    </row>
    <row r="718" spans="1:32" x14ac:dyDescent="0.2">
      <c r="A718">
        <v>1135</v>
      </c>
      <c r="B718" t="s">
        <v>0</v>
      </c>
      <c r="C718">
        <v>0.56999999999999995</v>
      </c>
      <c r="D718">
        <v>0.44500000000000001</v>
      </c>
      <c r="E718">
        <v>0.14499999999999999</v>
      </c>
      <c r="F718">
        <v>0.87749999999999995</v>
      </c>
      <c r="G718">
        <v>0.41199999999999998</v>
      </c>
      <c r="H718">
        <v>0.217</v>
      </c>
      <c r="I718">
        <v>0.22</v>
      </c>
      <c r="J718">
        <v>8</v>
      </c>
      <c r="K718">
        <v>5</v>
      </c>
      <c r="L718" t="s">
        <v>26</v>
      </c>
      <c r="M718" t="s">
        <v>27</v>
      </c>
      <c r="N718" t="s">
        <v>28</v>
      </c>
      <c r="O718">
        <v>8</v>
      </c>
      <c r="P718" t="s">
        <v>19</v>
      </c>
      <c r="Q718">
        <v>12.3</v>
      </c>
      <c r="R718" t="str" cm="1">
        <f t="array" ref="R7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18" t="e">
        <f>IF(Table13[[#This Row],[Category All]]="Category 1", "Yes",NA())</f>
        <v>#N/A</v>
      </c>
      <c r="T718" t="e">
        <f>IF(Table13[[#This Row],[Category All]]="Category 2", "Yes",NA())</f>
        <v>#N/A</v>
      </c>
      <c r="U718" t="str">
        <f>IF(Table13[[#This Row],[Category All]]="Category 3", "Yes",NA())</f>
        <v>Yes</v>
      </c>
      <c r="V718">
        <f>SUM(1,(1/3)*(Table13[[#This Row],[Length]]-0.5),(1/3)*(Table13[[#This Row],[Diameter]]-0.4),(1/3)*(Table13[[#This Row],[Height]]-0.4)*Table13[[#This Row],[Whole_weight]]*0.5)</f>
        <v>1.0010395833333334</v>
      </c>
      <c r="W718" cm="1">
        <f t="array" ref="W7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1.0010395833333334</v>
      </c>
      <c r="X718" t="e">
        <f>IF(Table13[[#This Row],[Category All]]="Category 1",Table13[[#This Row],[Base Abalone Value]]*1.5,NA())</f>
        <v>#N/A</v>
      </c>
      <c r="Y718" t="e">
        <f>IF(Table13[[#This Row],[Category All]]="Category 2",Table13[[#This Row],[Base Abalone Value]]*0.8,NA())</f>
        <v>#N/A</v>
      </c>
      <c r="Z718">
        <f>IF(Table13[[#This Row],[Category All]]="Category 3",Table13[[#This Row],[Base Abalone Value]],NA())</f>
        <v>1.0010395833333334</v>
      </c>
      <c r="AA718" s="2" t="e">
        <f>IF(Table13[[#This Row],[Gender]]="M",Table13[[#This Row],[Whole_weight]],NA())</f>
        <v>#N/A</v>
      </c>
      <c r="AB718" s="2">
        <f>IF(Table13[[#This Row],[Gender]]="F",Table13[[#This Row],[Whole_weight]],NA())</f>
        <v>0.87749999999999995</v>
      </c>
      <c r="AC718" s="2" t="e">
        <f>IF(Table13[[#This Row],[Gender]]="I",Table13[[#This Row],[Whole_weight]],NA())</f>
        <v>#N/A</v>
      </c>
      <c r="AD718" s="2" t="e">
        <f>IF(Table13[[#This Row],[Gender]]="M",Table13[[#This Row],[Diameter]],NA())</f>
        <v>#N/A</v>
      </c>
      <c r="AE718" s="2">
        <f>IF(Table13[[#This Row],[Gender]]="F",Table13[[#This Row],[Diameter]],NA())</f>
        <v>0.44500000000000001</v>
      </c>
      <c r="AF718" s="2" t="e">
        <f>IF(Table13[[#This Row],[Gender]]="I",Table13[[#This Row],[Diameter]],NA())</f>
        <v>#N/A</v>
      </c>
    </row>
    <row r="719" spans="1:32" x14ac:dyDescent="0.2">
      <c r="A719">
        <v>1974</v>
      </c>
      <c r="B719" t="s">
        <v>15</v>
      </c>
      <c r="C719">
        <v>0.68</v>
      </c>
      <c r="D719">
        <v>0.54</v>
      </c>
      <c r="E719">
        <v>0.155</v>
      </c>
      <c r="F719">
        <v>1.534</v>
      </c>
      <c r="G719">
        <v>0.67100000000000004</v>
      </c>
      <c r="H719">
        <v>0.379</v>
      </c>
      <c r="I719">
        <v>0.38400000000000001</v>
      </c>
      <c r="J719">
        <v>10</v>
      </c>
      <c r="K719">
        <v>5</v>
      </c>
      <c r="L719" t="s">
        <v>26</v>
      </c>
      <c r="M719" t="s">
        <v>27</v>
      </c>
      <c r="N719" t="s">
        <v>28</v>
      </c>
      <c r="O719">
        <v>10</v>
      </c>
      <c r="P719" t="s">
        <v>38</v>
      </c>
      <c r="Q719">
        <v>24.1</v>
      </c>
      <c r="R719" t="str" cm="1">
        <f t="array" ref="R7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19" t="e">
        <f>IF(Table13[[#This Row],[Category All]]="Category 1", "Yes",NA())</f>
        <v>#N/A</v>
      </c>
      <c r="T719" t="e">
        <f>IF(Table13[[#This Row],[Category All]]="Category 2", "Yes",NA())</f>
        <v>#N/A</v>
      </c>
      <c r="U719" t="str">
        <f>IF(Table13[[#This Row],[Category All]]="Category 3", "Yes",NA())</f>
        <v>Yes</v>
      </c>
      <c r="V719">
        <f>SUM(1,(1/3)*(Table13[[#This Row],[Length]]-0.5),(1/3)*(Table13[[#This Row],[Diameter]]-0.4),(1/3)*(Table13[[#This Row],[Height]]-0.4)*Table13[[#This Row],[Whole_weight]]*0.5)</f>
        <v>1.0440283333333333</v>
      </c>
      <c r="W719" cm="1">
        <f t="array" ref="W7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1.0440283333333333</v>
      </c>
      <c r="X719" t="e">
        <f>IF(Table13[[#This Row],[Category All]]="Category 1",Table13[[#This Row],[Base Abalone Value]]*1.5,NA())</f>
        <v>#N/A</v>
      </c>
      <c r="Y719" t="e">
        <f>IF(Table13[[#This Row],[Category All]]="Category 2",Table13[[#This Row],[Base Abalone Value]]*0.8,NA())</f>
        <v>#N/A</v>
      </c>
      <c r="Z719">
        <f>IF(Table13[[#This Row],[Category All]]="Category 3",Table13[[#This Row],[Base Abalone Value]],NA())</f>
        <v>1.0440283333333333</v>
      </c>
      <c r="AA719" s="2">
        <f>IF(Table13[[#This Row],[Gender]]="M",Table13[[#This Row],[Whole_weight]],NA())</f>
        <v>1.534</v>
      </c>
      <c r="AB719" s="2" t="e">
        <f>IF(Table13[[#This Row],[Gender]]="F",Table13[[#This Row],[Whole_weight]],NA())</f>
        <v>#N/A</v>
      </c>
      <c r="AC719" s="2" t="e">
        <f>IF(Table13[[#This Row],[Gender]]="I",Table13[[#This Row],[Whole_weight]],NA())</f>
        <v>#N/A</v>
      </c>
      <c r="AD719" s="2">
        <f>IF(Table13[[#This Row],[Gender]]="M",Table13[[#This Row],[Diameter]],NA())</f>
        <v>0.54</v>
      </c>
      <c r="AE719" s="2" t="e">
        <f>IF(Table13[[#This Row],[Gender]]="F",Table13[[#This Row],[Diameter]],NA())</f>
        <v>#N/A</v>
      </c>
      <c r="AF719" s="2" t="e">
        <f>IF(Table13[[#This Row],[Gender]]="I",Table13[[#This Row],[Diameter]],NA())</f>
        <v>#N/A</v>
      </c>
    </row>
    <row r="720" spans="1:32" x14ac:dyDescent="0.2">
      <c r="A720">
        <v>2453</v>
      </c>
      <c r="B720" t="s">
        <v>15</v>
      </c>
      <c r="C720">
        <v>0.39500000000000002</v>
      </c>
      <c r="D720">
        <v>0.30499999999999999</v>
      </c>
      <c r="E720">
        <v>0.105</v>
      </c>
      <c r="F720">
        <v>0.28199999999999997</v>
      </c>
      <c r="G720">
        <v>9.7500000000000003E-2</v>
      </c>
      <c r="H720">
        <v>6.5000000000000002E-2</v>
      </c>
      <c r="I720">
        <v>9.6000000000000002E-2</v>
      </c>
      <c r="J720">
        <v>9</v>
      </c>
      <c r="K720">
        <v>2</v>
      </c>
      <c r="L720" t="s">
        <v>32</v>
      </c>
      <c r="M720" t="s">
        <v>33</v>
      </c>
      <c r="N720" t="s">
        <v>34</v>
      </c>
      <c r="O720">
        <v>1</v>
      </c>
      <c r="P720" t="s">
        <v>4</v>
      </c>
      <c r="Q720">
        <v>22.1</v>
      </c>
      <c r="R720" t="str" cm="1">
        <f t="array" ref="R7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20" t="e">
        <f>IF(Table13[[#This Row],[Category All]]="Category 1", "Yes",NA())</f>
        <v>#N/A</v>
      </c>
      <c r="T720" t="str">
        <f>IF(Table13[[#This Row],[Category All]]="Category 2", "Yes",NA())</f>
        <v>Yes</v>
      </c>
      <c r="U720" t="e">
        <f>IF(Table13[[#This Row],[Category All]]="Category 3", "Yes",NA())</f>
        <v>#N/A</v>
      </c>
      <c r="V720">
        <f>SUM(1,(1/3)*(Table13[[#This Row],[Length]]-0.5),(1/3)*(Table13[[#This Row],[Diameter]]-0.4),(1/3)*(Table13[[#This Row],[Height]]-0.4)*Table13[[#This Row],[Whole_weight]]*0.5)</f>
        <v>0.91946833333333333</v>
      </c>
      <c r="W720" cm="1">
        <f t="array" ref="W7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0.73557466666666671</v>
      </c>
      <c r="X720" t="e">
        <f>IF(Table13[[#This Row],[Category All]]="Category 1",Table13[[#This Row],[Base Abalone Value]]*1.5,NA())</f>
        <v>#N/A</v>
      </c>
      <c r="Y720">
        <f>IF(Table13[[#This Row],[Category All]]="Category 2",Table13[[#This Row],[Base Abalone Value]]*0.8,NA())</f>
        <v>0.73557466666666671</v>
      </c>
      <c r="Z720" t="e">
        <f>IF(Table13[[#This Row],[Category All]]="Category 3",Table13[[#This Row],[Base Abalone Value]],NA())</f>
        <v>#N/A</v>
      </c>
      <c r="AA720" s="2">
        <f>IF(Table13[[#This Row],[Gender]]="M",Table13[[#This Row],[Whole_weight]],NA())</f>
        <v>0.28199999999999997</v>
      </c>
      <c r="AB720" s="2" t="e">
        <f>IF(Table13[[#This Row],[Gender]]="F",Table13[[#This Row],[Whole_weight]],NA())</f>
        <v>#N/A</v>
      </c>
      <c r="AC720" s="2" t="e">
        <f>IF(Table13[[#This Row],[Gender]]="I",Table13[[#This Row],[Whole_weight]],NA())</f>
        <v>#N/A</v>
      </c>
      <c r="AD720" s="2">
        <f>IF(Table13[[#This Row],[Gender]]="M",Table13[[#This Row],[Diameter]],NA())</f>
        <v>0.30499999999999999</v>
      </c>
      <c r="AE720" s="2" t="e">
        <f>IF(Table13[[#This Row],[Gender]]="F",Table13[[#This Row],[Diameter]],NA())</f>
        <v>#N/A</v>
      </c>
      <c r="AF720" s="2" t="e">
        <f>IF(Table13[[#This Row],[Gender]]="I",Table13[[#This Row],[Diameter]],NA())</f>
        <v>#N/A</v>
      </c>
    </row>
    <row r="721" spans="1:32" x14ac:dyDescent="0.2">
      <c r="A721">
        <v>3461</v>
      </c>
      <c r="B721" t="s">
        <v>15</v>
      </c>
      <c r="C721">
        <v>0.62</v>
      </c>
      <c r="D721">
        <v>0.48499999999999999</v>
      </c>
      <c r="E721">
        <v>0.16500000000000001</v>
      </c>
      <c r="F721">
        <v>1.1325000000000001</v>
      </c>
      <c r="G721">
        <v>0.52349999999999997</v>
      </c>
      <c r="H721">
        <v>0.2505</v>
      </c>
      <c r="I721">
        <v>0.28249999999999997</v>
      </c>
      <c r="J721">
        <v>9</v>
      </c>
      <c r="K721">
        <v>14</v>
      </c>
      <c r="L721" t="s">
        <v>23</v>
      </c>
      <c r="M721" t="s">
        <v>24</v>
      </c>
      <c r="N721" t="s">
        <v>25</v>
      </c>
      <c r="O721">
        <v>3</v>
      </c>
      <c r="P721" t="s">
        <v>48</v>
      </c>
      <c r="Q721">
        <v>3.6</v>
      </c>
      <c r="R721" t="str" cm="1">
        <f t="array" ref="R7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21" t="e">
        <f>IF(Table13[[#This Row],[Category All]]="Category 1", "Yes",NA())</f>
        <v>#N/A</v>
      </c>
      <c r="T721" t="e">
        <f>IF(Table13[[#This Row],[Category All]]="Category 2", "Yes",NA())</f>
        <v>#N/A</v>
      </c>
      <c r="U721" t="str">
        <f>IF(Table13[[#This Row],[Category All]]="Category 3", "Yes",NA())</f>
        <v>Yes</v>
      </c>
      <c r="V721">
        <f>SUM(1,(1/3)*(Table13[[#This Row],[Length]]-0.5),(1/3)*(Table13[[#This Row],[Diameter]]-0.4),(1/3)*(Table13[[#This Row],[Height]]-0.4)*Table13[[#This Row],[Whole_weight]]*0.5)</f>
        <v>1.0239770833333333</v>
      </c>
      <c r="W721" cm="1">
        <f t="array" ref="W7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1.0239770833333333</v>
      </c>
      <c r="X721" t="e">
        <f>IF(Table13[[#This Row],[Category All]]="Category 1",Table13[[#This Row],[Base Abalone Value]]*1.5,NA())</f>
        <v>#N/A</v>
      </c>
      <c r="Y721" t="e">
        <f>IF(Table13[[#This Row],[Category All]]="Category 2",Table13[[#This Row],[Base Abalone Value]]*0.8,NA())</f>
        <v>#N/A</v>
      </c>
      <c r="Z721">
        <f>IF(Table13[[#This Row],[Category All]]="Category 3",Table13[[#This Row],[Base Abalone Value]],NA())</f>
        <v>1.0239770833333333</v>
      </c>
      <c r="AA721" s="2">
        <f>IF(Table13[[#This Row],[Gender]]="M",Table13[[#This Row],[Whole_weight]],NA())</f>
        <v>1.1325000000000001</v>
      </c>
      <c r="AB721" s="2" t="e">
        <f>IF(Table13[[#This Row],[Gender]]="F",Table13[[#This Row],[Whole_weight]],NA())</f>
        <v>#N/A</v>
      </c>
      <c r="AC721" s="2" t="e">
        <f>IF(Table13[[#This Row],[Gender]]="I",Table13[[#This Row],[Whole_weight]],NA())</f>
        <v>#N/A</v>
      </c>
      <c r="AD721" s="2">
        <f>IF(Table13[[#This Row],[Gender]]="M",Table13[[#This Row],[Diameter]],NA())</f>
        <v>0.48499999999999999</v>
      </c>
      <c r="AE721" s="2" t="e">
        <f>IF(Table13[[#This Row],[Gender]]="F",Table13[[#This Row],[Diameter]],NA())</f>
        <v>#N/A</v>
      </c>
      <c r="AF721" s="2" t="e">
        <f>IF(Table13[[#This Row],[Gender]]="I",Table13[[#This Row],[Diameter]],NA())</f>
        <v>#N/A</v>
      </c>
    </row>
    <row r="722" spans="1:32" x14ac:dyDescent="0.2">
      <c r="A722">
        <v>1965</v>
      </c>
      <c r="B722" t="s">
        <v>0</v>
      </c>
      <c r="C722">
        <v>0.66</v>
      </c>
      <c r="D722">
        <v>0.53500000000000003</v>
      </c>
      <c r="E722">
        <v>0.20499999999999999</v>
      </c>
      <c r="F722">
        <v>1.4415</v>
      </c>
      <c r="G722">
        <v>0.59250000000000003</v>
      </c>
      <c r="H722">
        <v>0.27750000000000002</v>
      </c>
      <c r="I722">
        <v>0.49</v>
      </c>
      <c r="J722">
        <v>10</v>
      </c>
      <c r="K722">
        <v>5</v>
      </c>
      <c r="L722" t="s">
        <v>26</v>
      </c>
      <c r="M722" t="s">
        <v>27</v>
      </c>
      <c r="N722" t="s">
        <v>28</v>
      </c>
      <c r="O722">
        <v>10</v>
      </c>
      <c r="P722" t="s">
        <v>38</v>
      </c>
      <c r="Q722">
        <v>24.1</v>
      </c>
      <c r="R722" t="str" cm="1">
        <f t="array" ref="R7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22" t="e">
        <f>IF(Table13[[#This Row],[Category All]]="Category 1", "Yes",NA())</f>
        <v>#N/A</v>
      </c>
      <c r="T722" t="e">
        <f>IF(Table13[[#This Row],[Category All]]="Category 2", "Yes",NA())</f>
        <v>#N/A</v>
      </c>
      <c r="U722" t="str">
        <f>IF(Table13[[#This Row],[Category All]]="Category 3", "Yes",NA())</f>
        <v>Yes</v>
      </c>
      <c r="V722">
        <f>SUM(1,(1/3)*(Table13[[#This Row],[Length]]-0.5),(1/3)*(Table13[[#This Row],[Diameter]]-0.4),(1/3)*(Table13[[#This Row],[Height]]-0.4)*Table13[[#This Row],[Whole_weight]]*0.5)</f>
        <v>1.0514845833333331</v>
      </c>
      <c r="W722" cm="1">
        <f t="array" ref="W7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1.0514845833333331</v>
      </c>
      <c r="X722" t="e">
        <f>IF(Table13[[#This Row],[Category All]]="Category 1",Table13[[#This Row],[Base Abalone Value]]*1.5,NA())</f>
        <v>#N/A</v>
      </c>
      <c r="Y722" t="e">
        <f>IF(Table13[[#This Row],[Category All]]="Category 2",Table13[[#This Row],[Base Abalone Value]]*0.8,NA())</f>
        <v>#N/A</v>
      </c>
      <c r="Z722">
        <f>IF(Table13[[#This Row],[Category All]]="Category 3",Table13[[#This Row],[Base Abalone Value]],NA())</f>
        <v>1.0514845833333331</v>
      </c>
      <c r="AA722" s="2" t="e">
        <f>IF(Table13[[#This Row],[Gender]]="M",Table13[[#This Row],[Whole_weight]],NA())</f>
        <v>#N/A</v>
      </c>
      <c r="AB722" s="2">
        <f>IF(Table13[[#This Row],[Gender]]="F",Table13[[#This Row],[Whole_weight]],NA())</f>
        <v>1.4415</v>
      </c>
      <c r="AC722" s="2" t="e">
        <f>IF(Table13[[#This Row],[Gender]]="I",Table13[[#This Row],[Whole_weight]],NA())</f>
        <v>#N/A</v>
      </c>
      <c r="AD722" s="2" t="e">
        <f>IF(Table13[[#This Row],[Gender]]="M",Table13[[#This Row],[Diameter]],NA())</f>
        <v>#N/A</v>
      </c>
      <c r="AE722" s="2">
        <f>IF(Table13[[#This Row],[Gender]]="F",Table13[[#This Row],[Diameter]],NA())</f>
        <v>0.53500000000000003</v>
      </c>
      <c r="AF722" s="2" t="e">
        <f>IF(Table13[[#This Row],[Gender]]="I",Table13[[#This Row],[Diameter]],NA())</f>
        <v>#N/A</v>
      </c>
    </row>
    <row r="723" spans="1:32" x14ac:dyDescent="0.2">
      <c r="A723">
        <v>3717</v>
      </c>
      <c r="B723" t="s">
        <v>11</v>
      </c>
      <c r="C723">
        <v>0.23499999999999999</v>
      </c>
      <c r="D723">
        <v>0.13</v>
      </c>
      <c r="E723">
        <v>7.4999999999999997E-2</v>
      </c>
      <c r="F723">
        <v>0.1585</v>
      </c>
      <c r="G723">
        <v>6.8500000000000005E-2</v>
      </c>
      <c r="H723">
        <v>3.6999999999999998E-2</v>
      </c>
      <c r="I723">
        <v>4.65E-2</v>
      </c>
      <c r="J723">
        <v>5</v>
      </c>
      <c r="K723">
        <v>10</v>
      </c>
      <c r="L723" t="s">
        <v>16</v>
      </c>
      <c r="M723" t="s">
        <v>17</v>
      </c>
      <c r="N723" t="s">
        <v>18</v>
      </c>
      <c r="O723">
        <v>5</v>
      </c>
      <c r="P723" t="s">
        <v>14</v>
      </c>
      <c r="Q723">
        <v>12.8</v>
      </c>
      <c r="R723" t="str" cm="1">
        <f t="array" ref="R7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23" t="e">
        <f>IF(Table13[[#This Row],[Category All]]="Category 1", "Yes",NA())</f>
        <v>#N/A</v>
      </c>
      <c r="T723" t="str">
        <f>IF(Table13[[#This Row],[Category All]]="Category 2", "Yes",NA())</f>
        <v>Yes</v>
      </c>
      <c r="U723" t="e">
        <f>IF(Table13[[#This Row],[Category All]]="Category 3", "Yes",NA())</f>
        <v>#N/A</v>
      </c>
      <c r="V723">
        <f>SUM(1,(1/3)*(Table13[[#This Row],[Length]]-0.5),(1/3)*(Table13[[#This Row],[Diameter]]-0.4),(1/3)*(Table13[[#This Row],[Height]]-0.4)*Table13[[#This Row],[Whole_weight]]*0.5)</f>
        <v>0.81308124999999998</v>
      </c>
      <c r="W723" cm="1">
        <f t="array" ref="W7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0.65046500000000007</v>
      </c>
      <c r="X723" t="e">
        <f>IF(Table13[[#This Row],[Category All]]="Category 1",Table13[[#This Row],[Base Abalone Value]]*1.5,NA())</f>
        <v>#N/A</v>
      </c>
      <c r="Y723">
        <f>IF(Table13[[#This Row],[Category All]]="Category 2",Table13[[#This Row],[Base Abalone Value]]*0.8,NA())</f>
        <v>0.65046500000000007</v>
      </c>
      <c r="Z723" t="e">
        <f>IF(Table13[[#This Row],[Category All]]="Category 3",Table13[[#This Row],[Base Abalone Value]],NA())</f>
        <v>#N/A</v>
      </c>
      <c r="AA723" s="2" t="e">
        <f>IF(Table13[[#This Row],[Gender]]="M",Table13[[#This Row],[Whole_weight]],NA())</f>
        <v>#N/A</v>
      </c>
      <c r="AB723" s="2" t="e">
        <f>IF(Table13[[#This Row],[Gender]]="F",Table13[[#This Row],[Whole_weight]],NA())</f>
        <v>#N/A</v>
      </c>
      <c r="AC723" s="2">
        <f>IF(Table13[[#This Row],[Gender]]="I",Table13[[#This Row],[Whole_weight]],NA())</f>
        <v>0.1585</v>
      </c>
      <c r="AD723" s="2" t="e">
        <f>IF(Table13[[#This Row],[Gender]]="M",Table13[[#This Row],[Diameter]],NA())</f>
        <v>#N/A</v>
      </c>
      <c r="AE723" s="2" t="e">
        <f>IF(Table13[[#This Row],[Gender]]="F",Table13[[#This Row],[Diameter]],NA())</f>
        <v>#N/A</v>
      </c>
      <c r="AF723" s="2">
        <f>IF(Table13[[#This Row],[Gender]]="I",Table13[[#This Row],[Diameter]],NA())</f>
        <v>0.13</v>
      </c>
    </row>
    <row r="724" spans="1:32" x14ac:dyDescent="0.2">
      <c r="A724">
        <v>153</v>
      </c>
      <c r="B724" t="s">
        <v>0</v>
      </c>
      <c r="C724">
        <v>0.63500000000000001</v>
      </c>
      <c r="D724">
        <v>0.51500000000000001</v>
      </c>
      <c r="E724">
        <v>0.19</v>
      </c>
      <c r="F724">
        <v>1.3714999999999999</v>
      </c>
      <c r="G724">
        <v>0.50649999999999995</v>
      </c>
      <c r="H724">
        <v>0.30499999999999999</v>
      </c>
      <c r="I724">
        <v>0.45</v>
      </c>
      <c r="J724">
        <v>10</v>
      </c>
      <c r="K724">
        <v>11</v>
      </c>
      <c r="L724" t="s">
        <v>5</v>
      </c>
      <c r="M724" t="s">
        <v>6</v>
      </c>
      <c r="N724" t="s">
        <v>3</v>
      </c>
      <c r="O724">
        <v>1</v>
      </c>
      <c r="P724" t="s">
        <v>4</v>
      </c>
      <c r="Q724">
        <v>22.1</v>
      </c>
      <c r="R724" t="str" cm="1">
        <f t="array" ref="R7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24" t="e">
        <f>IF(Table13[[#This Row],[Category All]]="Category 1", "Yes",NA())</f>
        <v>#N/A</v>
      </c>
      <c r="T724" t="e">
        <f>IF(Table13[[#This Row],[Category All]]="Category 2", "Yes",NA())</f>
        <v>#N/A</v>
      </c>
      <c r="U724" t="str">
        <f>IF(Table13[[#This Row],[Category All]]="Category 3", "Yes",NA())</f>
        <v>Yes</v>
      </c>
      <c r="V724">
        <f>SUM(1,(1/3)*(Table13[[#This Row],[Length]]-0.5),(1/3)*(Table13[[#This Row],[Diameter]]-0.4),(1/3)*(Table13[[#This Row],[Height]]-0.4)*Table13[[#This Row],[Whole_weight]]*0.5)</f>
        <v>1.0353308333333333</v>
      </c>
      <c r="W724" cm="1">
        <f t="array" ref="W7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1.0353308333333333</v>
      </c>
      <c r="X724" t="e">
        <f>IF(Table13[[#This Row],[Category All]]="Category 1",Table13[[#This Row],[Base Abalone Value]]*1.5,NA())</f>
        <v>#N/A</v>
      </c>
      <c r="Y724" t="e">
        <f>IF(Table13[[#This Row],[Category All]]="Category 2",Table13[[#This Row],[Base Abalone Value]]*0.8,NA())</f>
        <v>#N/A</v>
      </c>
      <c r="Z724">
        <f>IF(Table13[[#This Row],[Category All]]="Category 3",Table13[[#This Row],[Base Abalone Value]],NA())</f>
        <v>1.0353308333333333</v>
      </c>
      <c r="AA724" s="2" t="e">
        <f>IF(Table13[[#This Row],[Gender]]="M",Table13[[#This Row],[Whole_weight]],NA())</f>
        <v>#N/A</v>
      </c>
      <c r="AB724" s="2">
        <f>IF(Table13[[#This Row],[Gender]]="F",Table13[[#This Row],[Whole_weight]],NA())</f>
        <v>1.3714999999999999</v>
      </c>
      <c r="AC724" s="2" t="e">
        <f>IF(Table13[[#This Row],[Gender]]="I",Table13[[#This Row],[Whole_weight]],NA())</f>
        <v>#N/A</v>
      </c>
      <c r="AD724" s="2" t="e">
        <f>IF(Table13[[#This Row],[Gender]]="M",Table13[[#This Row],[Diameter]],NA())</f>
        <v>#N/A</v>
      </c>
      <c r="AE724" s="2">
        <f>IF(Table13[[#This Row],[Gender]]="F",Table13[[#This Row],[Diameter]],NA())</f>
        <v>0.51500000000000001</v>
      </c>
      <c r="AF724" s="2" t="e">
        <f>IF(Table13[[#This Row],[Gender]]="I",Table13[[#This Row],[Diameter]],NA())</f>
        <v>#N/A</v>
      </c>
    </row>
    <row r="725" spans="1:32" x14ac:dyDescent="0.2">
      <c r="A725">
        <v>4001</v>
      </c>
      <c r="B725" t="s">
        <v>11</v>
      </c>
      <c r="C725">
        <v>0.45500000000000002</v>
      </c>
      <c r="D725">
        <v>0.35</v>
      </c>
      <c r="E725">
        <v>0.13500000000000001</v>
      </c>
      <c r="F725">
        <v>0.53649999999999998</v>
      </c>
      <c r="G725">
        <v>0.28549999999999998</v>
      </c>
      <c r="H725">
        <v>8.5500000000000007E-2</v>
      </c>
      <c r="I725">
        <v>0.13250000000000001</v>
      </c>
      <c r="J725">
        <v>7</v>
      </c>
      <c r="K725">
        <v>13</v>
      </c>
      <c r="L725" t="s">
        <v>12</v>
      </c>
      <c r="M725" t="s">
        <v>13</v>
      </c>
      <c r="N725" t="s">
        <v>3</v>
      </c>
      <c r="O725">
        <v>6</v>
      </c>
      <c r="P725" t="s">
        <v>47</v>
      </c>
      <c r="Q725">
        <v>14.1</v>
      </c>
      <c r="R725" t="str" cm="1">
        <f t="array" ref="R7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25" t="e">
        <f>IF(Table13[[#This Row],[Category All]]="Category 1", "Yes",NA())</f>
        <v>#N/A</v>
      </c>
      <c r="T725" t="str">
        <f>IF(Table13[[#This Row],[Category All]]="Category 2", "Yes",NA())</f>
        <v>Yes</v>
      </c>
      <c r="U725" t="e">
        <f>IF(Table13[[#This Row],[Category All]]="Category 3", "Yes",NA())</f>
        <v>#N/A</v>
      </c>
      <c r="V725">
        <f>SUM(1,(1/3)*(Table13[[#This Row],[Length]]-0.5),(1/3)*(Table13[[#This Row],[Diameter]]-0.4),(1/3)*(Table13[[#This Row],[Height]]-0.4)*Table13[[#This Row],[Whole_weight]]*0.5)</f>
        <v>0.94463791666666663</v>
      </c>
      <c r="W725" cm="1">
        <f t="array" ref="W7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0.75571033333333337</v>
      </c>
      <c r="X725" t="e">
        <f>IF(Table13[[#This Row],[Category All]]="Category 1",Table13[[#This Row],[Base Abalone Value]]*1.5,NA())</f>
        <v>#N/A</v>
      </c>
      <c r="Y725">
        <f>IF(Table13[[#This Row],[Category All]]="Category 2",Table13[[#This Row],[Base Abalone Value]]*0.8,NA())</f>
        <v>0.75571033333333337</v>
      </c>
      <c r="Z725" t="e">
        <f>IF(Table13[[#This Row],[Category All]]="Category 3",Table13[[#This Row],[Base Abalone Value]],NA())</f>
        <v>#N/A</v>
      </c>
      <c r="AA725" s="2" t="e">
        <f>IF(Table13[[#This Row],[Gender]]="M",Table13[[#This Row],[Whole_weight]],NA())</f>
        <v>#N/A</v>
      </c>
      <c r="AB725" s="2" t="e">
        <f>IF(Table13[[#This Row],[Gender]]="F",Table13[[#This Row],[Whole_weight]],NA())</f>
        <v>#N/A</v>
      </c>
      <c r="AC725" s="2">
        <f>IF(Table13[[#This Row],[Gender]]="I",Table13[[#This Row],[Whole_weight]],NA())</f>
        <v>0.53649999999999998</v>
      </c>
      <c r="AD725" s="2" t="e">
        <f>IF(Table13[[#This Row],[Gender]]="M",Table13[[#This Row],[Diameter]],NA())</f>
        <v>#N/A</v>
      </c>
      <c r="AE725" s="2" t="e">
        <f>IF(Table13[[#This Row],[Gender]]="F",Table13[[#This Row],[Diameter]],NA())</f>
        <v>#N/A</v>
      </c>
      <c r="AF725" s="2">
        <f>IF(Table13[[#This Row],[Gender]]="I",Table13[[#This Row],[Diameter]],NA())</f>
        <v>0.35</v>
      </c>
    </row>
    <row r="726" spans="1:32" x14ac:dyDescent="0.2">
      <c r="A726">
        <v>3870</v>
      </c>
      <c r="B726" t="s">
        <v>0</v>
      </c>
      <c r="C726">
        <v>0.49</v>
      </c>
      <c r="D726">
        <v>0.38500000000000001</v>
      </c>
      <c r="E726">
        <v>0.16</v>
      </c>
      <c r="F726">
        <v>0.65600000000000003</v>
      </c>
      <c r="G726">
        <v>0.2455</v>
      </c>
      <c r="H726">
        <v>0.17100000000000001</v>
      </c>
      <c r="I726">
        <v>0.20499999999999999</v>
      </c>
      <c r="J726">
        <v>9</v>
      </c>
      <c r="K726">
        <v>6</v>
      </c>
      <c r="L726" t="s">
        <v>39</v>
      </c>
      <c r="M726" t="s">
        <v>40</v>
      </c>
      <c r="N726" t="s">
        <v>41</v>
      </c>
      <c r="O726">
        <v>1</v>
      </c>
      <c r="P726" t="s">
        <v>4</v>
      </c>
      <c r="Q726">
        <v>22.1</v>
      </c>
      <c r="R726" t="str" cm="1">
        <f t="array" ref="R7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26" t="e">
        <f>IF(Table13[[#This Row],[Category All]]="Category 1", "Yes",NA())</f>
        <v>#N/A</v>
      </c>
      <c r="T726" t="str">
        <f>IF(Table13[[#This Row],[Category All]]="Category 2", "Yes",NA())</f>
        <v>Yes</v>
      </c>
      <c r="U726" t="e">
        <f>IF(Table13[[#This Row],[Category All]]="Category 3", "Yes",NA())</f>
        <v>#N/A</v>
      </c>
      <c r="V726">
        <f>SUM(1,(1/3)*(Table13[[#This Row],[Length]]-0.5),(1/3)*(Table13[[#This Row],[Diameter]]-0.4),(1/3)*(Table13[[#This Row],[Height]]-0.4)*Table13[[#This Row],[Whole_weight]]*0.5)</f>
        <v>0.96542666666666666</v>
      </c>
      <c r="W726" cm="1">
        <f t="array" ref="W7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0.77234133333333332</v>
      </c>
      <c r="X726" t="e">
        <f>IF(Table13[[#This Row],[Category All]]="Category 1",Table13[[#This Row],[Base Abalone Value]]*1.5,NA())</f>
        <v>#N/A</v>
      </c>
      <c r="Y726">
        <f>IF(Table13[[#This Row],[Category All]]="Category 2",Table13[[#This Row],[Base Abalone Value]]*0.8,NA())</f>
        <v>0.77234133333333332</v>
      </c>
      <c r="Z726" t="e">
        <f>IF(Table13[[#This Row],[Category All]]="Category 3",Table13[[#This Row],[Base Abalone Value]],NA())</f>
        <v>#N/A</v>
      </c>
      <c r="AA726" s="2" t="e">
        <f>IF(Table13[[#This Row],[Gender]]="M",Table13[[#This Row],[Whole_weight]],NA())</f>
        <v>#N/A</v>
      </c>
      <c r="AB726" s="2">
        <f>IF(Table13[[#This Row],[Gender]]="F",Table13[[#This Row],[Whole_weight]],NA())</f>
        <v>0.65600000000000003</v>
      </c>
      <c r="AC726" s="2" t="e">
        <f>IF(Table13[[#This Row],[Gender]]="I",Table13[[#This Row],[Whole_weight]],NA())</f>
        <v>#N/A</v>
      </c>
      <c r="AD726" s="2" t="e">
        <f>IF(Table13[[#This Row],[Gender]]="M",Table13[[#This Row],[Diameter]],NA())</f>
        <v>#N/A</v>
      </c>
      <c r="AE726" s="2">
        <f>IF(Table13[[#This Row],[Gender]]="F",Table13[[#This Row],[Diameter]],NA())</f>
        <v>0.38500000000000001</v>
      </c>
      <c r="AF726" s="2" t="e">
        <f>IF(Table13[[#This Row],[Gender]]="I",Table13[[#This Row],[Diameter]],NA())</f>
        <v>#N/A</v>
      </c>
    </row>
    <row r="727" spans="1:32" x14ac:dyDescent="0.2">
      <c r="A727">
        <v>1759</v>
      </c>
      <c r="B727" t="s">
        <v>15</v>
      </c>
      <c r="C727">
        <v>0.73499999999999999</v>
      </c>
      <c r="D727">
        <v>0.59</v>
      </c>
      <c r="E727">
        <v>0.215</v>
      </c>
      <c r="F727">
        <v>1.7470000000000001</v>
      </c>
      <c r="G727">
        <v>0.72750000000000004</v>
      </c>
      <c r="H727">
        <v>0.40300000000000002</v>
      </c>
      <c r="I727">
        <v>0.55700000000000005</v>
      </c>
      <c r="J727">
        <v>11</v>
      </c>
      <c r="K727">
        <v>3</v>
      </c>
      <c r="L727" t="s">
        <v>43</v>
      </c>
      <c r="M727" t="s">
        <v>44</v>
      </c>
      <c r="N727" t="s">
        <v>45</v>
      </c>
      <c r="O727">
        <v>6</v>
      </c>
      <c r="P727" t="s">
        <v>47</v>
      </c>
      <c r="Q727">
        <v>14.1</v>
      </c>
      <c r="R727" t="str" cm="1">
        <f t="array" ref="R7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27" t="e">
        <f>IF(Table13[[#This Row],[Category All]]="Category 1", "Yes",NA())</f>
        <v>#N/A</v>
      </c>
      <c r="T727" t="e">
        <f>IF(Table13[[#This Row],[Category All]]="Category 2", "Yes",NA())</f>
        <v>#N/A</v>
      </c>
      <c r="U727" t="str">
        <f>IF(Table13[[#This Row],[Category All]]="Category 3", "Yes",NA())</f>
        <v>Yes</v>
      </c>
      <c r="V727">
        <f>SUM(1,(1/3)*(Table13[[#This Row],[Length]]-0.5),(1/3)*(Table13[[#This Row],[Diameter]]-0.4),(1/3)*(Table13[[#This Row],[Height]]-0.4)*Table13[[#This Row],[Whole_weight]]*0.5)</f>
        <v>1.0878008333333333</v>
      </c>
      <c r="W727" cm="1">
        <f t="array" ref="W7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1.0878008333333333</v>
      </c>
      <c r="X727" t="e">
        <f>IF(Table13[[#This Row],[Category All]]="Category 1",Table13[[#This Row],[Base Abalone Value]]*1.5,NA())</f>
        <v>#N/A</v>
      </c>
      <c r="Y727" t="e">
        <f>IF(Table13[[#This Row],[Category All]]="Category 2",Table13[[#This Row],[Base Abalone Value]]*0.8,NA())</f>
        <v>#N/A</v>
      </c>
      <c r="Z727">
        <f>IF(Table13[[#This Row],[Category All]]="Category 3",Table13[[#This Row],[Base Abalone Value]],NA())</f>
        <v>1.0878008333333333</v>
      </c>
      <c r="AA727" s="2">
        <f>IF(Table13[[#This Row],[Gender]]="M",Table13[[#This Row],[Whole_weight]],NA())</f>
        <v>1.7470000000000001</v>
      </c>
      <c r="AB727" s="2" t="e">
        <f>IF(Table13[[#This Row],[Gender]]="F",Table13[[#This Row],[Whole_weight]],NA())</f>
        <v>#N/A</v>
      </c>
      <c r="AC727" s="2" t="e">
        <f>IF(Table13[[#This Row],[Gender]]="I",Table13[[#This Row],[Whole_weight]],NA())</f>
        <v>#N/A</v>
      </c>
      <c r="AD727" s="2">
        <f>IF(Table13[[#This Row],[Gender]]="M",Table13[[#This Row],[Diameter]],NA())</f>
        <v>0.59</v>
      </c>
      <c r="AE727" s="2" t="e">
        <f>IF(Table13[[#This Row],[Gender]]="F",Table13[[#This Row],[Diameter]],NA())</f>
        <v>#N/A</v>
      </c>
      <c r="AF727" s="2" t="e">
        <f>IF(Table13[[#This Row],[Gender]]="I",Table13[[#This Row],[Diameter]],NA())</f>
        <v>#N/A</v>
      </c>
    </row>
    <row r="728" spans="1:32" x14ac:dyDescent="0.2">
      <c r="A728">
        <v>2868</v>
      </c>
      <c r="B728" t="s">
        <v>11</v>
      </c>
      <c r="C728">
        <v>0.32500000000000001</v>
      </c>
      <c r="D728">
        <v>0.25</v>
      </c>
      <c r="E728">
        <v>7.4999999999999997E-2</v>
      </c>
      <c r="F728">
        <v>0.1585</v>
      </c>
      <c r="G728">
        <v>7.4999999999999997E-2</v>
      </c>
      <c r="H728">
        <v>3.0499999999999999E-2</v>
      </c>
      <c r="I728">
        <v>4.5499999999999999E-2</v>
      </c>
      <c r="J728">
        <v>6</v>
      </c>
      <c r="K728">
        <v>2</v>
      </c>
      <c r="L728" t="s">
        <v>32</v>
      </c>
      <c r="M728" t="s">
        <v>33</v>
      </c>
      <c r="N728" t="s">
        <v>34</v>
      </c>
      <c r="O728">
        <v>3</v>
      </c>
      <c r="P728" t="s">
        <v>48</v>
      </c>
      <c r="Q728">
        <v>3.6</v>
      </c>
      <c r="R728" t="str" cm="1">
        <f t="array" ref="R7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28" t="e">
        <f>IF(Table13[[#This Row],[Category All]]="Category 1", "Yes",NA())</f>
        <v>#N/A</v>
      </c>
      <c r="T728" t="str">
        <f>IF(Table13[[#This Row],[Category All]]="Category 2", "Yes",NA())</f>
        <v>Yes</v>
      </c>
      <c r="U728" t="e">
        <f>IF(Table13[[#This Row],[Category All]]="Category 3", "Yes",NA())</f>
        <v>#N/A</v>
      </c>
      <c r="V728">
        <f>SUM(1,(1/3)*(Table13[[#This Row],[Length]]-0.5),(1/3)*(Table13[[#This Row],[Diameter]]-0.4),(1/3)*(Table13[[#This Row],[Height]]-0.4)*Table13[[#This Row],[Whole_weight]]*0.5)</f>
        <v>0.88308124999999993</v>
      </c>
      <c r="W728" cm="1">
        <f t="array" ref="W7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0.70646500000000001</v>
      </c>
      <c r="X728" t="e">
        <f>IF(Table13[[#This Row],[Category All]]="Category 1",Table13[[#This Row],[Base Abalone Value]]*1.5,NA())</f>
        <v>#N/A</v>
      </c>
      <c r="Y728">
        <f>IF(Table13[[#This Row],[Category All]]="Category 2",Table13[[#This Row],[Base Abalone Value]]*0.8,NA())</f>
        <v>0.70646500000000001</v>
      </c>
      <c r="Z728" t="e">
        <f>IF(Table13[[#This Row],[Category All]]="Category 3",Table13[[#This Row],[Base Abalone Value]],NA())</f>
        <v>#N/A</v>
      </c>
      <c r="AA728" s="2" t="e">
        <f>IF(Table13[[#This Row],[Gender]]="M",Table13[[#This Row],[Whole_weight]],NA())</f>
        <v>#N/A</v>
      </c>
      <c r="AB728" s="2" t="e">
        <f>IF(Table13[[#This Row],[Gender]]="F",Table13[[#This Row],[Whole_weight]],NA())</f>
        <v>#N/A</v>
      </c>
      <c r="AC728" s="2">
        <f>IF(Table13[[#This Row],[Gender]]="I",Table13[[#This Row],[Whole_weight]],NA())</f>
        <v>0.1585</v>
      </c>
      <c r="AD728" s="2" t="e">
        <f>IF(Table13[[#This Row],[Gender]]="M",Table13[[#This Row],[Diameter]],NA())</f>
        <v>#N/A</v>
      </c>
      <c r="AE728" s="2" t="e">
        <f>IF(Table13[[#This Row],[Gender]]="F",Table13[[#This Row],[Diameter]],NA())</f>
        <v>#N/A</v>
      </c>
      <c r="AF728" s="2">
        <f>IF(Table13[[#This Row],[Gender]]="I",Table13[[#This Row],[Diameter]],NA())</f>
        <v>0.25</v>
      </c>
    </row>
    <row r="729" spans="1:32" x14ac:dyDescent="0.2">
      <c r="A729">
        <v>2880</v>
      </c>
      <c r="B729" t="s">
        <v>11</v>
      </c>
      <c r="C729">
        <v>0.47</v>
      </c>
      <c r="D729">
        <v>0.38500000000000001</v>
      </c>
      <c r="E729">
        <v>0.13</v>
      </c>
      <c r="F729">
        <v>0.58699999999999997</v>
      </c>
      <c r="G729">
        <v>0.26400000000000001</v>
      </c>
      <c r="H729">
        <v>0.11700000000000001</v>
      </c>
      <c r="I729">
        <v>0.17399999999999999</v>
      </c>
      <c r="J729">
        <v>8</v>
      </c>
      <c r="K729">
        <v>2</v>
      </c>
      <c r="L729" t="s">
        <v>32</v>
      </c>
      <c r="M729" t="s">
        <v>33</v>
      </c>
      <c r="N729" t="s">
        <v>34</v>
      </c>
      <c r="O729">
        <v>10</v>
      </c>
      <c r="P729" t="s">
        <v>38</v>
      </c>
      <c r="Q729">
        <v>24.1</v>
      </c>
      <c r="R729" t="str" cm="1">
        <f t="array" ref="R7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29" t="e">
        <f>IF(Table13[[#This Row],[Category All]]="Category 1", "Yes",NA())</f>
        <v>#N/A</v>
      </c>
      <c r="T729" t="str">
        <f>IF(Table13[[#This Row],[Category All]]="Category 2", "Yes",NA())</f>
        <v>Yes</v>
      </c>
      <c r="U729" t="e">
        <f>IF(Table13[[#This Row],[Category All]]="Category 3", "Yes",NA())</f>
        <v>#N/A</v>
      </c>
      <c r="V729">
        <f>SUM(1,(1/3)*(Table13[[#This Row],[Length]]-0.5),(1/3)*(Table13[[#This Row],[Diameter]]-0.4),(1/3)*(Table13[[#This Row],[Height]]-0.4)*Table13[[#This Row],[Whole_weight]]*0.5)</f>
        <v>0.95858500000000002</v>
      </c>
      <c r="W729" cm="1">
        <f t="array" ref="W7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0.76686800000000011</v>
      </c>
      <c r="X729" t="e">
        <f>IF(Table13[[#This Row],[Category All]]="Category 1",Table13[[#This Row],[Base Abalone Value]]*1.5,NA())</f>
        <v>#N/A</v>
      </c>
      <c r="Y729">
        <f>IF(Table13[[#This Row],[Category All]]="Category 2",Table13[[#This Row],[Base Abalone Value]]*0.8,NA())</f>
        <v>0.76686800000000011</v>
      </c>
      <c r="Z729" t="e">
        <f>IF(Table13[[#This Row],[Category All]]="Category 3",Table13[[#This Row],[Base Abalone Value]],NA())</f>
        <v>#N/A</v>
      </c>
      <c r="AA729" s="2" t="e">
        <f>IF(Table13[[#This Row],[Gender]]="M",Table13[[#This Row],[Whole_weight]],NA())</f>
        <v>#N/A</v>
      </c>
      <c r="AB729" s="2" t="e">
        <f>IF(Table13[[#This Row],[Gender]]="F",Table13[[#This Row],[Whole_weight]],NA())</f>
        <v>#N/A</v>
      </c>
      <c r="AC729" s="2">
        <f>IF(Table13[[#This Row],[Gender]]="I",Table13[[#This Row],[Whole_weight]],NA())</f>
        <v>0.58699999999999997</v>
      </c>
      <c r="AD729" s="2" t="e">
        <f>IF(Table13[[#This Row],[Gender]]="M",Table13[[#This Row],[Diameter]],NA())</f>
        <v>#N/A</v>
      </c>
      <c r="AE729" s="2" t="e">
        <f>IF(Table13[[#This Row],[Gender]]="F",Table13[[#This Row],[Diameter]],NA())</f>
        <v>#N/A</v>
      </c>
      <c r="AF729" s="2">
        <f>IF(Table13[[#This Row],[Gender]]="I",Table13[[#This Row],[Diameter]],NA())</f>
        <v>0.38500000000000001</v>
      </c>
    </row>
    <row r="730" spans="1:32" x14ac:dyDescent="0.2">
      <c r="A730">
        <v>2157</v>
      </c>
      <c r="B730" t="s">
        <v>15</v>
      </c>
      <c r="C730">
        <v>0.61</v>
      </c>
      <c r="D730">
        <v>0.5</v>
      </c>
      <c r="E730">
        <v>0.16500000000000001</v>
      </c>
      <c r="F730">
        <v>1.2715000000000001</v>
      </c>
      <c r="G730">
        <v>0.49149999999999999</v>
      </c>
      <c r="H730">
        <v>0.185</v>
      </c>
      <c r="I730">
        <v>0.49</v>
      </c>
      <c r="J730">
        <v>12</v>
      </c>
      <c r="K730">
        <v>13</v>
      </c>
      <c r="L730" t="s">
        <v>12</v>
      </c>
      <c r="M730" t="s">
        <v>13</v>
      </c>
      <c r="N730" t="s">
        <v>3</v>
      </c>
      <c r="O730">
        <v>3</v>
      </c>
      <c r="P730" t="s">
        <v>48</v>
      </c>
      <c r="Q730">
        <v>3.6</v>
      </c>
      <c r="R730" t="str" cm="1">
        <f t="array" ref="R7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30" t="e">
        <f>IF(Table13[[#This Row],[Category All]]="Category 1", "Yes",NA())</f>
        <v>#N/A</v>
      </c>
      <c r="T730" t="e">
        <f>IF(Table13[[#This Row],[Category All]]="Category 2", "Yes",NA())</f>
        <v>#N/A</v>
      </c>
      <c r="U730" t="str">
        <f>IF(Table13[[#This Row],[Category All]]="Category 3", "Yes",NA())</f>
        <v>Yes</v>
      </c>
      <c r="V730">
        <f>SUM(1,(1/3)*(Table13[[#This Row],[Length]]-0.5),(1/3)*(Table13[[#This Row],[Diameter]]-0.4),(1/3)*(Table13[[#This Row],[Height]]-0.4)*Table13[[#This Row],[Whole_weight]]*0.5)</f>
        <v>1.0201995833333333</v>
      </c>
      <c r="W730" cm="1">
        <f t="array" ref="W7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1.0201995833333333</v>
      </c>
      <c r="X730" t="e">
        <f>IF(Table13[[#This Row],[Category All]]="Category 1",Table13[[#This Row],[Base Abalone Value]]*1.5,NA())</f>
        <v>#N/A</v>
      </c>
      <c r="Y730" t="e">
        <f>IF(Table13[[#This Row],[Category All]]="Category 2",Table13[[#This Row],[Base Abalone Value]]*0.8,NA())</f>
        <v>#N/A</v>
      </c>
      <c r="Z730">
        <f>IF(Table13[[#This Row],[Category All]]="Category 3",Table13[[#This Row],[Base Abalone Value]],NA())</f>
        <v>1.0201995833333333</v>
      </c>
      <c r="AA730" s="2">
        <f>IF(Table13[[#This Row],[Gender]]="M",Table13[[#This Row],[Whole_weight]],NA())</f>
        <v>1.2715000000000001</v>
      </c>
      <c r="AB730" s="2" t="e">
        <f>IF(Table13[[#This Row],[Gender]]="F",Table13[[#This Row],[Whole_weight]],NA())</f>
        <v>#N/A</v>
      </c>
      <c r="AC730" s="2" t="e">
        <f>IF(Table13[[#This Row],[Gender]]="I",Table13[[#This Row],[Whole_weight]],NA())</f>
        <v>#N/A</v>
      </c>
      <c r="AD730" s="2">
        <f>IF(Table13[[#This Row],[Gender]]="M",Table13[[#This Row],[Diameter]],NA())</f>
        <v>0.5</v>
      </c>
      <c r="AE730" s="2" t="e">
        <f>IF(Table13[[#This Row],[Gender]]="F",Table13[[#This Row],[Diameter]],NA())</f>
        <v>#N/A</v>
      </c>
      <c r="AF730" s="2" t="e">
        <f>IF(Table13[[#This Row],[Gender]]="I",Table13[[#This Row],[Diameter]],NA())</f>
        <v>#N/A</v>
      </c>
    </row>
    <row r="731" spans="1:32" x14ac:dyDescent="0.2">
      <c r="A731">
        <v>4056</v>
      </c>
      <c r="B731" t="s">
        <v>0</v>
      </c>
      <c r="C731">
        <v>0.64500000000000002</v>
      </c>
      <c r="D731">
        <v>0.5</v>
      </c>
      <c r="E731">
        <v>0.15</v>
      </c>
      <c r="F731">
        <v>1.159</v>
      </c>
      <c r="G731">
        <v>0.46750000000000003</v>
      </c>
      <c r="H731">
        <v>0.33550000000000002</v>
      </c>
      <c r="I731">
        <v>0.31</v>
      </c>
      <c r="J731">
        <v>9</v>
      </c>
      <c r="K731">
        <v>15</v>
      </c>
      <c r="L731" t="s">
        <v>49</v>
      </c>
      <c r="M731" t="s">
        <v>50</v>
      </c>
      <c r="N731" t="s">
        <v>3</v>
      </c>
      <c r="O731">
        <v>9</v>
      </c>
      <c r="P731" t="s">
        <v>46</v>
      </c>
      <c r="Q731">
        <v>1.9</v>
      </c>
      <c r="R731" t="str" cm="1">
        <f t="array" ref="R7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31" t="e">
        <f>IF(Table13[[#This Row],[Category All]]="Category 1", "Yes",NA())</f>
        <v>#N/A</v>
      </c>
      <c r="T731" t="e">
        <f>IF(Table13[[#This Row],[Category All]]="Category 2", "Yes",NA())</f>
        <v>#N/A</v>
      </c>
      <c r="U731" t="str">
        <f>IF(Table13[[#This Row],[Category All]]="Category 3", "Yes",NA())</f>
        <v>Yes</v>
      </c>
      <c r="V731">
        <f>SUM(1,(1/3)*(Table13[[#This Row],[Length]]-0.5),(1/3)*(Table13[[#This Row],[Diameter]]-0.4),(1/3)*(Table13[[#This Row],[Height]]-0.4)*Table13[[#This Row],[Whole_weight]]*0.5)</f>
        <v>1.0333749999999999</v>
      </c>
      <c r="W731" cm="1">
        <f t="array" ref="W7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1.0333749999999999</v>
      </c>
      <c r="X731" t="e">
        <f>IF(Table13[[#This Row],[Category All]]="Category 1",Table13[[#This Row],[Base Abalone Value]]*1.5,NA())</f>
        <v>#N/A</v>
      </c>
      <c r="Y731" t="e">
        <f>IF(Table13[[#This Row],[Category All]]="Category 2",Table13[[#This Row],[Base Abalone Value]]*0.8,NA())</f>
        <v>#N/A</v>
      </c>
      <c r="Z731">
        <f>IF(Table13[[#This Row],[Category All]]="Category 3",Table13[[#This Row],[Base Abalone Value]],NA())</f>
        <v>1.0333749999999999</v>
      </c>
      <c r="AA731" s="2" t="e">
        <f>IF(Table13[[#This Row],[Gender]]="M",Table13[[#This Row],[Whole_weight]],NA())</f>
        <v>#N/A</v>
      </c>
      <c r="AB731" s="2">
        <f>IF(Table13[[#This Row],[Gender]]="F",Table13[[#This Row],[Whole_weight]],NA())</f>
        <v>1.159</v>
      </c>
      <c r="AC731" s="2" t="e">
        <f>IF(Table13[[#This Row],[Gender]]="I",Table13[[#This Row],[Whole_weight]],NA())</f>
        <v>#N/A</v>
      </c>
      <c r="AD731" s="2" t="e">
        <f>IF(Table13[[#This Row],[Gender]]="M",Table13[[#This Row],[Diameter]],NA())</f>
        <v>#N/A</v>
      </c>
      <c r="AE731" s="2">
        <f>IF(Table13[[#This Row],[Gender]]="F",Table13[[#This Row],[Diameter]],NA())</f>
        <v>0.5</v>
      </c>
      <c r="AF731" s="2" t="e">
        <f>IF(Table13[[#This Row],[Gender]]="I",Table13[[#This Row],[Diameter]],NA())</f>
        <v>#N/A</v>
      </c>
    </row>
    <row r="732" spans="1:32" x14ac:dyDescent="0.2">
      <c r="A732">
        <v>287</v>
      </c>
      <c r="B732" t="s">
        <v>15</v>
      </c>
      <c r="C732">
        <v>0.53</v>
      </c>
      <c r="D732">
        <v>0.435</v>
      </c>
      <c r="E732">
        <v>0.155</v>
      </c>
      <c r="F732">
        <v>0.69899999999999995</v>
      </c>
      <c r="G732">
        <v>0.28799999999999998</v>
      </c>
      <c r="H732">
        <v>0.1595</v>
      </c>
      <c r="I732">
        <v>0.20499999999999999</v>
      </c>
      <c r="J732">
        <v>10</v>
      </c>
      <c r="K732">
        <v>12</v>
      </c>
      <c r="L732" t="s">
        <v>1</v>
      </c>
      <c r="M732" t="s">
        <v>2</v>
      </c>
      <c r="N732" t="s">
        <v>3</v>
      </c>
      <c r="O732">
        <v>9</v>
      </c>
      <c r="P732" t="s">
        <v>46</v>
      </c>
      <c r="Q732">
        <v>1.9</v>
      </c>
      <c r="R732" t="str" cm="1">
        <f t="array" ref="R7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32" t="e">
        <f>IF(Table13[[#This Row],[Category All]]="Category 1", "Yes",NA())</f>
        <v>#N/A</v>
      </c>
      <c r="T732" t="str">
        <f>IF(Table13[[#This Row],[Category All]]="Category 2", "Yes",NA())</f>
        <v>Yes</v>
      </c>
      <c r="U732" t="e">
        <f>IF(Table13[[#This Row],[Category All]]="Category 3", "Yes",NA())</f>
        <v>#N/A</v>
      </c>
      <c r="V732">
        <f>SUM(1,(1/3)*(Table13[[#This Row],[Length]]-0.5),(1/3)*(Table13[[#This Row],[Diameter]]-0.4),(1/3)*(Table13[[#This Row],[Height]]-0.4)*Table13[[#This Row],[Whole_weight]]*0.5)</f>
        <v>0.9931241666666667</v>
      </c>
      <c r="W732" cm="1">
        <f t="array" ref="W7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0.79449933333333345</v>
      </c>
      <c r="X732" t="e">
        <f>IF(Table13[[#This Row],[Category All]]="Category 1",Table13[[#This Row],[Base Abalone Value]]*1.5,NA())</f>
        <v>#N/A</v>
      </c>
      <c r="Y732">
        <f>IF(Table13[[#This Row],[Category All]]="Category 2",Table13[[#This Row],[Base Abalone Value]]*0.8,NA())</f>
        <v>0.79449933333333345</v>
      </c>
      <c r="Z732" t="e">
        <f>IF(Table13[[#This Row],[Category All]]="Category 3",Table13[[#This Row],[Base Abalone Value]],NA())</f>
        <v>#N/A</v>
      </c>
      <c r="AA732" s="2">
        <f>IF(Table13[[#This Row],[Gender]]="M",Table13[[#This Row],[Whole_weight]],NA())</f>
        <v>0.69899999999999995</v>
      </c>
      <c r="AB732" s="2" t="e">
        <f>IF(Table13[[#This Row],[Gender]]="F",Table13[[#This Row],[Whole_weight]],NA())</f>
        <v>#N/A</v>
      </c>
      <c r="AC732" s="2" t="e">
        <f>IF(Table13[[#This Row],[Gender]]="I",Table13[[#This Row],[Whole_weight]],NA())</f>
        <v>#N/A</v>
      </c>
      <c r="AD732" s="2">
        <f>IF(Table13[[#This Row],[Gender]]="M",Table13[[#This Row],[Diameter]],NA())</f>
        <v>0.435</v>
      </c>
      <c r="AE732" s="2" t="e">
        <f>IF(Table13[[#This Row],[Gender]]="F",Table13[[#This Row],[Diameter]],NA())</f>
        <v>#N/A</v>
      </c>
      <c r="AF732" s="2" t="e">
        <f>IF(Table13[[#This Row],[Gender]]="I",Table13[[#This Row],[Diameter]],NA())</f>
        <v>#N/A</v>
      </c>
    </row>
    <row r="733" spans="1:32" x14ac:dyDescent="0.2">
      <c r="A733">
        <v>1751</v>
      </c>
      <c r="B733" t="s">
        <v>0</v>
      </c>
      <c r="C733">
        <v>0.71</v>
      </c>
      <c r="D733">
        <v>0.56999999999999995</v>
      </c>
      <c r="E733">
        <v>0.19500000000000001</v>
      </c>
      <c r="F733">
        <v>1.9804999999999999</v>
      </c>
      <c r="G733">
        <v>0.99250000000000005</v>
      </c>
      <c r="H733">
        <v>0.49249999999999999</v>
      </c>
      <c r="I733">
        <v>0.48</v>
      </c>
      <c r="J733">
        <v>12</v>
      </c>
      <c r="K733">
        <v>5</v>
      </c>
      <c r="L733" t="s">
        <v>26</v>
      </c>
      <c r="M733" t="s">
        <v>27</v>
      </c>
      <c r="N733" t="s">
        <v>28</v>
      </c>
      <c r="O733">
        <v>9</v>
      </c>
      <c r="P733" t="s">
        <v>46</v>
      </c>
      <c r="Q733">
        <v>1.9</v>
      </c>
      <c r="R733" t="str" cm="1">
        <f t="array" ref="R7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33" t="e">
        <f>IF(Table13[[#This Row],[Category All]]="Category 1", "Yes",NA())</f>
        <v>#N/A</v>
      </c>
      <c r="T733" t="e">
        <f>IF(Table13[[#This Row],[Category All]]="Category 2", "Yes",NA())</f>
        <v>#N/A</v>
      </c>
      <c r="U733" t="str">
        <f>IF(Table13[[#This Row],[Category All]]="Category 3", "Yes",NA())</f>
        <v>Yes</v>
      </c>
      <c r="V733">
        <f>SUM(1,(1/3)*(Table13[[#This Row],[Length]]-0.5),(1/3)*(Table13[[#This Row],[Diameter]]-0.4),(1/3)*(Table13[[#This Row],[Height]]-0.4)*Table13[[#This Row],[Whole_weight]]*0.5)</f>
        <v>1.0589995833333334</v>
      </c>
      <c r="W733" cm="1">
        <f t="array" ref="W7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1.0589995833333334</v>
      </c>
      <c r="X733" t="e">
        <f>IF(Table13[[#This Row],[Category All]]="Category 1",Table13[[#This Row],[Base Abalone Value]]*1.5,NA())</f>
        <v>#N/A</v>
      </c>
      <c r="Y733" t="e">
        <f>IF(Table13[[#This Row],[Category All]]="Category 2",Table13[[#This Row],[Base Abalone Value]]*0.8,NA())</f>
        <v>#N/A</v>
      </c>
      <c r="Z733">
        <f>IF(Table13[[#This Row],[Category All]]="Category 3",Table13[[#This Row],[Base Abalone Value]],NA())</f>
        <v>1.0589995833333334</v>
      </c>
      <c r="AA733" s="2" t="e">
        <f>IF(Table13[[#This Row],[Gender]]="M",Table13[[#This Row],[Whole_weight]],NA())</f>
        <v>#N/A</v>
      </c>
      <c r="AB733" s="2">
        <f>IF(Table13[[#This Row],[Gender]]="F",Table13[[#This Row],[Whole_weight]],NA())</f>
        <v>1.9804999999999999</v>
      </c>
      <c r="AC733" s="2" t="e">
        <f>IF(Table13[[#This Row],[Gender]]="I",Table13[[#This Row],[Whole_weight]],NA())</f>
        <v>#N/A</v>
      </c>
      <c r="AD733" s="2" t="e">
        <f>IF(Table13[[#This Row],[Gender]]="M",Table13[[#This Row],[Diameter]],NA())</f>
        <v>#N/A</v>
      </c>
      <c r="AE733" s="2">
        <f>IF(Table13[[#This Row],[Gender]]="F",Table13[[#This Row],[Diameter]],NA())</f>
        <v>0.56999999999999995</v>
      </c>
      <c r="AF733" s="2" t="e">
        <f>IF(Table13[[#This Row],[Gender]]="I",Table13[[#This Row],[Diameter]],NA())</f>
        <v>#N/A</v>
      </c>
    </row>
    <row r="734" spans="1:32" x14ac:dyDescent="0.2">
      <c r="A734">
        <v>674</v>
      </c>
      <c r="B734" t="s">
        <v>15</v>
      </c>
      <c r="C734">
        <v>0.49</v>
      </c>
      <c r="D734">
        <v>0.39</v>
      </c>
      <c r="E734">
        <v>0.15</v>
      </c>
      <c r="F734">
        <v>0.57299999999999995</v>
      </c>
      <c r="G734">
        <v>0.22500000000000001</v>
      </c>
      <c r="H734">
        <v>0.124</v>
      </c>
      <c r="I734">
        <v>0.17</v>
      </c>
      <c r="J734">
        <v>21</v>
      </c>
      <c r="K734">
        <v>10</v>
      </c>
      <c r="L734" t="s">
        <v>16</v>
      </c>
      <c r="M734" t="s">
        <v>17</v>
      </c>
      <c r="N734" t="s">
        <v>18</v>
      </c>
      <c r="O734">
        <v>7</v>
      </c>
      <c r="P734" t="s">
        <v>42</v>
      </c>
      <c r="Q734">
        <v>2.5</v>
      </c>
      <c r="R734" t="str" cm="1">
        <f t="array" ref="R7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34" t="e">
        <f>IF(Table13[[#This Row],[Category All]]="Category 1", "Yes",NA())</f>
        <v>#N/A</v>
      </c>
      <c r="T734" t="str">
        <f>IF(Table13[[#This Row],[Category All]]="Category 2", "Yes",NA())</f>
        <v>Yes</v>
      </c>
      <c r="U734" t="e">
        <f>IF(Table13[[#This Row],[Category All]]="Category 3", "Yes",NA())</f>
        <v>#N/A</v>
      </c>
      <c r="V734">
        <f>SUM(1,(1/3)*(Table13[[#This Row],[Length]]-0.5),(1/3)*(Table13[[#This Row],[Diameter]]-0.4),(1/3)*(Table13[[#This Row],[Height]]-0.4)*Table13[[#This Row],[Whole_weight]]*0.5)</f>
        <v>0.96945833333333342</v>
      </c>
      <c r="W734" cm="1">
        <f t="array" ref="W7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0.77556666666666674</v>
      </c>
      <c r="X734" t="e">
        <f>IF(Table13[[#This Row],[Category All]]="Category 1",Table13[[#This Row],[Base Abalone Value]]*1.5,NA())</f>
        <v>#N/A</v>
      </c>
      <c r="Y734">
        <f>IF(Table13[[#This Row],[Category All]]="Category 2",Table13[[#This Row],[Base Abalone Value]]*0.8,NA())</f>
        <v>0.77556666666666674</v>
      </c>
      <c r="Z734" t="e">
        <f>IF(Table13[[#This Row],[Category All]]="Category 3",Table13[[#This Row],[Base Abalone Value]],NA())</f>
        <v>#N/A</v>
      </c>
      <c r="AA734" s="2">
        <f>IF(Table13[[#This Row],[Gender]]="M",Table13[[#This Row],[Whole_weight]],NA())</f>
        <v>0.57299999999999995</v>
      </c>
      <c r="AB734" s="2" t="e">
        <f>IF(Table13[[#This Row],[Gender]]="F",Table13[[#This Row],[Whole_weight]],NA())</f>
        <v>#N/A</v>
      </c>
      <c r="AC734" s="2" t="e">
        <f>IF(Table13[[#This Row],[Gender]]="I",Table13[[#This Row],[Whole_weight]],NA())</f>
        <v>#N/A</v>
      </c>
      <c r="AD734" s="2">
        <f>IF(Table13[[#This Row],[Gender]]="M",Table13[[#This Row],[Diameter]],NA())</f>
        <v>0.39</v>
      </c>
      <c r="AE734" s="2" t="e">
        <f>IF(Table13[[#This Row],[Gender]]="F",Table13[[#This Row],[Diameter]],NA())</f>
        <v>#N/A</v>
      </c>
      <c r="AF734" s="2" t="e">
        <f>IF(Table13[[#This Row],[Gender]]="I",Table13[[#This Row],[Diameter]],NA())</f>
        <v>#N/A</v>
      </c>
    </row>
    <row r="735" spans="1:32" x14ac:dyDescent="0.2">
      <c r="A735">
        <v>826</v>
      </c>
      <c r="B735" t="s">
        <v>11</v>
      </c>
      <c r="C735">
        <v>0.39500000000000002</v>
      </c>
      <c r="D735">
        <v>0.28999999999999998</v>
      </c>
      <c r="E735">
        <v>9.5000000000000001E-2</v>
      </c>
      <c r="F735">
        <v>0.31900000000000001</v>
      </c>
      <c r="G735">
        <v>0.13800000000000001</v>
      </c>
      <c r="H735">
        <v>0.08</v>
      </c>
      <c r="I735">
        <v>8.2000000000000003E-2</v>
      </c>
      <c r="J735">
        <v>7</v>
      </c>
      <c r="K735">
        <v>13</v>
      </c>
      <c r="L735" t="s">
        <v>12</v>
      </c>
      <c r="M735" t="s">
        <v>13</v>
      </c>
      <c r="N735" t="s">
        <v>3</v>
      </c>
      <c r="O735">
        <v>3</v>
      </c>
      <c r="P735" t="s">
        <v>48</v>
      </c>
      <c r="Q735">
        <v>3.6</v>
      </c>
      <c r="R735" t="str" cm="1">
        <f t="array" ref="R7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35" t="e">
        <f>IF(Table13[[#This Row],[Category All]]="Category 1", "Yes",NA())</f>
        <v>#N/A</v>
      </c>
      <c r="T735" t="str">
        <f>IF(Table13[[#This Row],[Category All]]="Category 2", "Yes",NA())</f>
        <v>Yes</v>
      </c>
      <c r="U735" t="e">
        <f>IF(Table13[[#This Row],[Category All]]="Category 3", "Yes",NA())</f>
        <v>#N/A</v>
      </c>
      <c r="V735">
        <f>SUM(1,(1/3)*(Table13[[#This Row],[Length]]-0.5),(1/3)*(Table13[[#This Row],[Diameter]]-0.4),(1/3)*(Table13[[#This Row],[Height]]-0.4)*Table13[[#This Row],[Whole_weight]]*0.5)</f>
        <v>0.91211749999999991</v>
      </c>
      <c r="W735" cm="1">
        <f t="array" ref="W7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0.72969399999999995</v>
      </c>
      <c r="X735" t="e">
        <f>IF(Table13[[#This Row],[Category All]]="Category 1",Table13[[#This Row],[Base Abalone Value]]*1.5,NA())</f>
        <v>#N/A</v>
      </c>
      <c r="Y735">
        <f>IF(Table13[[#This Row],[Category All]]="Category 2",Table13[[#This Row],[Base Abalone Value]]*0.8,NA())</f>
        <v>0.72969399999999995</v>
      </c>
      <c r="Z735" t="e">
        <f>IF(Table13[[#This Row],[Category All]]="Category 3",Table13[[#This Row],[Base Abalone Value]],NA())</f>
        <v>#N/A</v>
      </c>
      <c r="AA735" s="2" t="e">
        <f>IF(Table13[[#This Row],[Gender]]="M",Table13[[#This Row],[Whole_weight]],NA())</f>
        <v>#N/A</v>
      </c>
      <c r="AB735" s="2" t="e">
        <f>IF(Table13[[#This Row],[Gender]]="F",Table13[[#This Row],[Whole_weight]],NA())</f>
        <v>#N/A</v>
      </c>
      <c r="AC735" s="2">
        <f>IF(Table13[[#This Row],[Gender]]="I",Table13[[#This Row],[Whole_weight]],NA())</f>
        <v>0.31900000000000001</v>
      </c>
      <c r="AD735" s="2" t="e">
        <f>IF(Table13[[#This Row],[Gender]]="M",Table13[[#This Row],[Diameter]],NA())</f>
        <v>#N/A</v>
      </c>
      <c r="AE735" s="2" t="e">
        <f>IF(Table13[[#This Row],[Gender]]="F",Table13[[#This Row],[Diameter]],NA())</f>
        <v>#N/A</v>
      </c>
      <c r="AF735" s="2">
        <f>IF(Table13[[#This Row],[Gender]]="I",Table13[[#This Row],[Diameter]],NA())</f>
        <v>0.28999999999999998</v>
      </c>
    </row>
    <row r="736" spans="1:32" x14ac:dyDescent="0.2">
      <c r="A736">
        <v>228</v>
      </c>
      <c r="B736" t="s">
        <v>11</v>
      </c>
      <c r="C736">
        <v>0.36499999999999999</v>
      </c>
      <c r="D736">
        <v>0.27</v>
      </c>
      <c r="E736">
        <v>8.5000000000000006E-2</v>
      </c>
      <c r="F736">
        <v>0.20499999999999999</v>
      </c>
      <c r="G736">
        <v>7.8E-2</v>
      </c>
      <c r="H736">
        <v>4.8500000000000001E-2</v>
      </c>
      <c r="I736">
        <v>7.0000000000000007E-2</v>
      </c>
      <c r="J736">
        <v>7</v>
      </c>
      <c r="K736">
        <v>2</v>
      </c>
      <c r="L736" t="s">
        <v>32</v>
      </c>
      <c r="M736" t="s">
        <v>33</v>
      </c>
      <c r="N736" t="s">
        <v>34</v>
      </c>
      <c r="O736">
        <v>4</v>
      </c>
      <c r="P736" t="s">
        <v>10</v>
      </c>
      <c r="Q736">
        <v>6.1</v>
      </c>
      <c r="R736" t="str" cm="1">
        <f t="array" ref="R7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36" t="e">
        <f>IF(Table13[[#This Row],[Category All]]="Category 1", "Yes",NA())</f>
        <v>#N/A</v>
      </c>
      <c r="T736" t="str">
        <f>IF(Table13[[#This Row],[Category All]]="Category 2", "Yes",NA())</f>
        <v>Yes</v>
      </c>
      <c r="U736" t="e">
        <f>IF(Table13[[#This Row],[Category All]]="Category 3", "Yes",NA())</f>
        <v>#N/A</v>
      </c>
      <c r="V736">
        <f>SUM(1,(1/3)*(Table13[[#This Row],[Length]]-0.5),(1/3)*(Table13[[#This Row],[Diameter]]-0.4),(1/3)*(Table13[[#This Row],[Height]]-0.4)*Table13[[#This Row],[Whole_weight]]*0.5)</f>
        <v>0.90090416666666662</v>
      </c>
      <c r="W736" cm="1">
        <f t="array" ref="W7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0.72072333333333338</v>
      </c>
      <c r="X736" t="e">
        <f>IF(Table13[[#This Row],[Category All]]="Category 1",Table13[[#This Row],[Base Abalone Value]]*1.5,NA())</f>
        <v>#N/A</v>
      </c>
      <c r="Y736">
        <f>IF(Table13[[#This Row],[Category All]]="Category 2",Table13[[#This Row],[Base Abalone Value]]*0.8,NA())</f>
        <v>0.72072333333333338</v>
      </c>
      <c r="Z736" t="e">
        <f>IF(Table13[[#This Row],[Category All]]="Category 3",Table13[[#This Row],[Base Abalone Value]],NA())</f>
        <v>#N/A</v>
      </c>
      <c r="AA736" s="2" t="e">
        <f>IF(Table13[[#This Row],[Gender]]="M",Table13[[#This Row],[Whole_weight]],NA())</f>
        <v>#N/A</v>
      </c>
      <c r="AB736" s="2" t="e">
        <f>IF(Table13[[#This Row],[Gender]]="F",Table13[[#This Row],[Whole_weight]],NA())</f>
        <v>#N/A</v>
      </c>
      <c r="AC736" s="2">
        <f>IF(Table13[[#This Row],[Gender]]="I",Table13[[#This Row],[Whole_weight]],NA())</f>
        <v>0.20499999999999999</v>
      </c>
      <c r="AD736" s="2" t="e">
        <f>IF(Table13[[#This Row],[Gender]]="M",Table13[[#This Row],[Diameter]],NA())</f>
        <v>#N/A</v>
      </c>
      <c r="AE736" s="2" t="e">
        <f>IF(Table13[[#This Row],[Gender]]="F",Table13[[#This Row],[Diameter]],NA())</f>
        <v>#N/A</v>
      </c>
      <c r="AF736" s="2">
        <f>IF(Table13[[#This Row],[Gender]]="I",Table13[[#This Row],[Diameter]],NA())</f>
        <v>0.27</v>
      </c>
    </row>
    <row r="737" spans="1:32" x14ac:dyDescent="0.2">
      <c r="A737">
        <v>1633</v>
      </c>
      <c r="B737" t="s">
        <v>15</v>
      </c>
      <c r="C737">
        <v>0.57499999999999996</v>
      </c>
      <c r="D737">
        <v>0.45500000000000002</v>
      </c>
      <c r="E737">
        <v>0.16500000000000001</v>
      </c>
      <c r="F737">
        <v>0.86699999999999999</v>
      </c>
      <c r="G737">
        <v>0.3765</v>
      </c>
      <c r="H737">
        <v>0.18049999999999999</v>
      </c>
      <c r="I737">
        <v>0.26800000000000002</v>
      </c>
      <c r="J737">
        <v>8</v>
      </c>
      <c r="K737">
        <v>3</v>
      </c>
      <c r="L737" t="s">
        <v>43</v>
      </c>
      <c r="M737" t="s">
        <v>44</v>
      </c>
      <c r="N737" t="s">
        <v>45</v>
      </c>
      <c r="O737">
        <v>8</v>
      </c>
      <c r="P737" t="s">
        <v>19</v>
      </c>
      <c r="Q737">
        <v>12.3</v>
      </c>
      <c r="R737" t="str" cm="1">
        <f t="array" ref="R7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37" t="e">
        <f>IF(Table13[[#This Row],[Category All]]="Category 1", "Yes",NA())</f>
        <v>#N/A</v>
      </c>
      <c r="T737" t="str">
        <f>IF(Table13[[#This Row],[Category All]]="Category 2", "Yes",NA())</f>
        <v>Yes</v>
      </c>
      <c r="U737" t="e">
        <f>IF(Table13[[#This Row],[Category All]]="Category 3", "Yes",NA())</f>
        <v>#N/A</v>
      </c>
      <c r="V737">
        <f>SUM(1,(1/3)*(Table13[[#This Row],[Length]]-0.5),(1/3)*(Table13[[#This Row],[Diameter]]-0.4),(1/3)*(Table13[[#This Row],[Height]]-0.4)*Table13[[#This Row],[Whole_weight]]*0.5)</f>
        <v>1.0093758333333331</v>
      </c>
      <c r="W737" cm="1">
        <f t="array" ref="W7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0.80750066666666653</v>
      </c>
      <c r="X737" t="e">
        <f>IF(Table13[[#This Row],[Category All]]="Category 1",Table13[[#This Row],[Base Abalone Value]]*1.5,NA())</f>
        <v>#N/A</v>
      </c>
      <c r="Y737">
        <f>IF(Table13[[#This Row],[Category All]]="Category 2",Table13[[#This Row],[Base Abalone Value]]*0.8,NA())</f>
        <v>0.80750066666666653</v>
      </c>
      <c r="Z737" t="e">
        <f>IF(Table13[[#This Row],[Category All]]="Category 3",Table13[[#This Row],[Base Abalone Value]],NA())</f>
        <v>#N/A</v>
      </c>
      <c r="AA737" s="2">
        <f>IF(Table13[[#This Row],[Gender]]="M",Table13[[#This Row],[Whole_weight]],NA())</f>
        <v>0.86699999999999999</v>
      </c>
      <c r="AB737" s="2" t="e">
        <f>IF(Table13[[#This Row],[Gender]]="F",Table13[[#This Row],[Whole_weight]],NA())</f>
        <v>#N/A</v>
      </c>
      <c r="AC737" s="2" t="e">
        <f>IF(Table13[[#This Row],[Gender]]="I",Table13[[#This Row],[Whole_weight]],NA())</f>
        <v>#N/A</v>
      </c>
      <c r="AD737" s="2">
        <f>IF(Table13[[#This Row],[Gender]]="M",Table13[[#This Row],[Diameter]],NA())</f>
        <v>0.45500000000000002</v>
      </c>
      <c r="AE737" s="2" t="e">
        <f>IF(Table13[[#This Row],[Gender]]="F",Table13[[#This Row],[Diameter]],NA())</f>
        <v>#N/A</v>
      </c>
      <c r="AF737" s="2" t="e">
        <f>IF(Table13[[#This Row],[Gender]]="I",Table13[[#This Row],[Diameter]],NA())</f>
        <v>#N/A</v>
      </c>
    </row>
    <row r="738" spans="1:32" x14ac:dyDescent="0.2">
      <c r="A738">
        <v>3767</v>
      </c>
      <c r="B738" t="s">
        <v>0</v>
      </c>
      <c r="C738">
        <v>0.55500000000000005</v>
      </c>
      <c r="D738">
        <v>0.44</v>
      </c>
      <c r="E738">
        <v>0.14000000000000001</v>
      </c>
      <c r="F738">
        <v>0.84599999999999997</v>
      </c>
      <c r="G738">
        <v>0.34599999999999997</v>
      </c>
      <c r="H738">
        <v>0.17150000000000001</v>
      </c>
      <c r="I738">
        <v>0.27350000000000002</v>
      </c>
      <c r="J738">
        <v>10</v>
      </c>
      <c r="K738">
        <v>3</v>
      </c>
      <c r="L738" t="s">
        <v>43</v>
      </c>
      <c r="M738" t="s">
        <v>44</v>
      </c>
      <c r="N738" t="s">
        <v>45</v>
      </c>
      <c r="O738">
        <v>2</v>
      </c>
      <c r="P738" t="s">
        <v>7</v>
      </c>
      <c r="Q738">
        <v>18</v>
      </c>
      <c r="R738" t="str" cm="1">
        <f t="array" ref="R7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38" t="e">
        <f>IF(Table13[[#This Row],[Category All]]="Category 1", "Yes",NA())</f>
        <v>#N/A</v>
      </c>
      <c r="T738" t="str">
        <f>IF(Table13[[#This Row],[Category All]]="Category 2", "Yes",NA())</f>
        <v>Yes</v>
      </c>
      <c r="U738" t="e">
        <f>IF(Table13[[#This Row],[Category All]]="Category 3", "Yes",NA())</f>
        <v>#N/A</v>
      </c>
      <c r="V738">
        <f>SUM(1,(1/3)*(Table13[[#This Row],[Length]]-0.5),(1/3)*(Table13[[#This Row],[Diameter]]-0.4),(1/3)*(Table13[[#This Row],[Height]]-0.4)*Table13[[#This Row],[Whole_weight]]*0.5)</f>
        <v>0.99500666666666671</v>
      </c>
      <c r="W738" cm="1">
        <f t="array" ref="W7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0.79600533333333345</v>
      </c>
      <c r="X738" t="e">
        <f>IF(Table13[[#This Row],[Category All]]="Category 1",Table13[[#This Row],[Base Abalone Value]]*1.5,NA())</f>
        <v>#N/A</v>
      </c>
      <c r="Y738">
        <f>IF(Table13[[#This Row],[Category All]]="Category 2",Table13[[#This Row],[Base Abalone Value]]*0.8,NA())</f>
        <v>0.79600533333333345</v>
      </c>
      <c r="Z738" t="e">
        <f>IF(Table13[[#This Row],[Category All]]="Category 3",Table13[[#This Row],[Base Abalone Value]],NA())</f>
        <v>#N/A</v>
      </c>
      <c r="AA738" s="2" t="e">
        <f>IF(Table13[[#This Row],[Gender]]="M",Table13[[#This Row],[Whole_weight]],NA())</f>
        <v>#N/A</v>
      </c>
      <c r="AB738" s="2">
        <f>IF(Table13[[#This Row],[Gender]]="F",Table13[[#This Row],[Whole_weight]],NA())</f>
        <v>0.84599999999999997</v>
      </c>
      <c r="AC738" s="2" t="e">
        <f>IF(Table13[[#This Row],[Gender]]="I",Table13[[#This Row],[Whole_weight]],NA())</f>
        <v>#N/A</v>
      </c>
      <c r="AD738" s="2" t="e">
        <f>IF(Table13[[#This Row],[Gender]]="M",Table13[[#This Row],[Diameter]],NA())</f>
        <v>#N/A</v>
      </c>
      <c r="AE738" s="2">
        <f>IF(Table13[[#This Row],[Gender]]="F",Table13[[#This Row],[Diameter]],NA())</f>
        <v>0.44</v>
      </c>
      <c r="AF738" s="2" t="e">
        <f>IF(Table13[[#This Row],[Gender]]="I",Table13[[#This Row],[Diameter]],NA())</f>
        <v>#N/A</v>
      </c>
    </row>
    <row r="739" spans="1:32" x14ac:dyDescent="0.2">
      <c r="A739">
        <v>1207</v>
      </c>
      <c r="B739" t="s">
        <v>0</v>
      </c>
      <c r="C739">
        <v>0.75</v>
      </c>
      <c r="D739">
        <v>0.56999999999999995</v>
      </c>
      <c r="E739">
        <v>0.21</v>
      </c>
      <c r="F739">
        <v>2.2360000000000002</v>
      </c>
      <c r="G739">
        <v>1.109</v>
      </c>
      <c r="H739">
        <v>0.51949999999999996</v>
      </c>
      <c r="I739">
        <v>0.54500000000000004</v>
      </c>
      <c r="J739">
        <v>11</v>
      </c>
      <c r="K739">
        <v>10</v>
      </c>
      <c r="L739" t="s">
        <v>16</v>
      </c>
      <c r="M739" t="s">
        <v>17</v>
      </c>
      <c r="N739" t="s">
        <v>18</v>
      </c>
      <c r="O739">
        <v>10</v>
      </c>
      <c r="P739" t="s">
        <v>38</v>
      </c>
      <c r="Q739">
        <v>24.1</v>
      </c>
      <c r="R739" t="str" cm="1">
        <f t="array" ref="R7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39" t="e">
        <f>IF(Table13[[#This Row],[Category All]]="Category 1", "Yes",NA())</f>
        <v>#N/A</v>
      </c>
      <c r="T739" t="e">
        <f>IF(Table13[[#This Row],[Category All]]="Category 2", "Yes",NA())</f>
        <v>#N/A</v>
      </c>
      <c r="U739" t="str">
        <f>IF(Table13[[#This Row],[Category All]]="Category 3", "Yes",NA())</f>
        <v>Yes</v>
      </c>
      <c r="V739">
        <f>SUM(1,(1/3)*(Table13[[#This Row],[Length]]-0.5),(1/3)*(Table13[[#This Row],[Diameter]]-0.4),(1/3)*(Table13[[#This Row],[Height]]-0.4)*Table13[[#This Row],[Whole_weight]]*0.5)</f>
        <v>1.0691933333333332</v>
      </c>
      <c r="W739" cm="1">
        <f t="array" ref="W7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1.0691933333333332</v>
      </c>
      <c r="X739" t="e">
        <f>IF(Table13[[#This Row],[Category All]]="Category 1",Table13[[#This Row],[Base Abalone Value]]*1.5,NA())</f>
        <v>#N/A</v>
      </c>
      <c r="Y739" t="e">
        <f>IF(Table13[[#This Row],[Category All]]="Category 2",Table13[[#This Row],[Base Abalone Value]]*0.8,NA())</f>
        <v>#N/A</v>
      </c>
      <c r="Z739">
        <f>IF(Table13[[#This Row],[Category All]]="Category 3",Table13[[#This Row],[Base Abalone Value]],NA())</f>
        <v>1.0691933333333332</v>
      </c>
      <c r="AA739" s="2" t="e">
        <f>IF(Table13[[#This Row],[Gender]]="M",Table13[[#This Row],[Whole_weight]],NA())</f>
        <v>#N/A</v>
      </c>
      <c r="AB739" s="2">
        <f>IF(Table13[[#This Row],[Gender]]="F",Table13[[#This Row],[Whole_weight]],NA())</f>
        <v>2.2360000000000002</v>
      </c>
      <c r="AC739" s="2" t="e">
        <f>IF(Table13[[#This Row],[Gender]]="I",Table13[[#This Row],[Whole_weight]],NA())</f>
        <v>#N/A</v>
      </c>
      <c r="AD739" s="2" t="e">
        <f>IF(Table13[[#This Row],[Gender]]="M",Table13[[#This Row],[Diameter]],NA())</f>
        <v>#N/A</v>
      </c>
      <c r="AE739" s="2">
        <f>IF(Table13[[#This Row],[Gender]]="F",Table13[[#This Row],[Diameter]],NA())</f>
        <v>0.56999999999999995</v>
      </c>
      <c r="AF739" s="2" t="e">
        <f>IF(Table13[[#This Row],[Gender]]="I",Table13[[#This Row],[Diameter]],NA())</f>
        <v>#N/A</v>
      </c>
    </row>
    <row r="740" spans="1:32" x14ac:dyDescent="0.2">
      <c r="A740">
        <v>1338</v>
      </c>
      <c r="B740" t="s">
        <v>15</v>
      </c>
      <c r="C740">
        <v>0.57999999999999996</v>
      </c>
      <c r="D740">
        <v>0.46</v>
      </c>
      <c r="E740">
        <v>0.155</v>
      </c>
      <c r="F740">
        <v>1.4395</v>
      </c>
      <c r="G740">
        <v>0.67149999999999999</v>
      </c>
      <c r="H740">
        <v>0.27300000000000002</v>
      </c>
      <c r="I740">
        <v>0.29549999999999998</v>
      </c>
      <c r="J740">
        <v>10</v>
      </c>
      <c r="K740">
        <v>11</v>
      </c>
      <c r="L740" t="s">
        <v>5</v>
      </c>
      <c r="M740" t="s">
        <v>6</v>
      </c>
      <c r="N740" t="s">
        <v>3</v>
      </c>
      <c r="O740">
        <v>10</v>
      </c>
      <c r="P740" t="s">
        <v>38</v>
      </c>
      <c r="Q740">
        <v>24.1</v>
      </c>
      <c r="R740" t="str" cm="1">
        <f t="array" ref="R7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40" t="e">
        <f>IF(Table13[[#This Row],[Category All]]="Category 1", "Yes",NA())</f>
        <v>#N/A</v>
      </c>
      <c r="T740" t="e">
        <f>IF(Table13[[#This Row],[Category All]]="Category 2", "Yes",NA())</f>
        <v>#N/A</v>
      </c>
      <c r="U740" t="str">
        <f>IF(Table13[[#This Row],[Category All]]="Category 3", "Yes",NA())</f>
        <v>Yes</v>
      </c>
      <c r="V740">
        <f>SUM(1,(1/3)*(Table13[[#This Row],[Length]]-0.5),(1/3)*(Table13[[#This Row],[Diameter]]-0.4),(1/3)*(Table13[[#This Row],[Height]]-0.4)*Table13[[#This Row],[Whole_weight]]*0.5)</f>
        <v>0.9878870833333333</v>
      </c>
      <c r="W740" cm="1">
        <f t="array" ref="W7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0.9878870833333333</v>
      </c>
      <c r="X740" t="e">
        <f>IF(Table13[[#This Row],[Category All]]="Category 1",Table13[[#This Row],[Base Abalone Value]]*1.5,NA())</f>
        <v>#N/A</v>
      </c>
      <c r="Y740" t="e">
        <f>IF(Table13[[#This Row],[Category All]]="Category 2",Table13[[#This Row],[Base Abalone Value]]*0.8,NA())</f>
        <v>#N/A</v>
      </c>
      <c r="Z740">
        <f>IF(Table13[[#This Row],[Category All]]="Category 3",Table13[[#This Row],[Base Abalone Value]],NA())</f>
        <v>0.9878870833333333</v>
      </c>
      <c r="AA740" s="2">
        <f>IF(Table13[[#This Row],[Gender]]="M",Table13[[#This Row],[Whole_weight]],NA())</f>
        <v>1.4395</v>
      </c>
      <c r="AB740" s="2" t="e">
        <f>IF(Table13[[#This Row],[Gender]]="F",Table13[[#This Row],[Whole_weight]],NA())</f>
        <v>#N/A</v>
      </c>
      <c r="AC740" s="2" t="e">
        <f>IF(Table13[[#This Row],[Gender]]="I",Table13[[#This Row],[Whole_weight]],NA())</f>
        <v>#N/A</v>
      </c>
      <c r="AD740" s="2">
        <f>IF(Table13[[#This Row],[Gender]]="M",Table13[[#This Row],[Diameter]],NA())</f>
        <v>0.46</v>
      </c>
      <c r="AE740" s="2" t="e">
        <f>IF(Table13[[#This Row],[Gender]]="F",Table13[[#This Row],[Diameter]],NA())</f>
        <v>#N/A</v>
      </c>
      <c r="AF740" s="2" t="e">
        <f>IF(Table13[[#This Row],[Gender]]="I",Table13[[#This Row],[Diameter]],NA())</f>
        <v>#N/A</v>
      </c>
    </row>
    <row r="741" spans="1:32" x14ac:dyDescent="0.2">
      <c r="A741">
        <v>3572</v>
      </c>
      <c r="B741" t="s">
        <v>0</v>
      </c>
      <c r="C741">
        <v>0.58499999999999996</v>
      </c>
      <c r="D741">
        <v>0.46500000000000002</v>
      </c>
      <c r="E741">
        <v>0.16500000000000001</v>
      </c>
      <c r="F741">
        <v>0.9355</v>
      </c>
      <c r="G741">
        <v>0.40350000000000003</v>
      </c>
      <c r="H741">
        <v>0.22750000000000001</v>
      </c>
      <c r="I741">
        <v>0.25900000000000001</v>
      </c>
      <c r="J741">
        <v>9</v>
      </c>
      <c r="K741">
        <v>8</v>
      </c>
      <c r="L741" t="s">
        <v>29</v>
      </c>
      <c r="M741" t="s">
        <v>30</v>
      </c>
      <c r="N741" t="s">
        <v>31</v>
      </c>
      <c r="O741">
        <v>6</v>
      </c>
      <c r="P741" t="s">
        <v>47</v>
      </c>
      <c r="Q741">
        <v>14.1</v>
      </c>
      <c r="R741" t="str" cm="1">
        <f t="array" ref="R7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41" t="e">
        <f>IF(Table13[[#This Row],[Category All]]="Category 1", "Yes",NA())</f>
        <v>#N/A</v>
      </c>
      <c r="T741" t="e">
        <f>IF(Table13[[#This Row],[Category All]]="Category 2", "Yes",NA())</f>
        <v>#N/A</v>
      </c>
      <c r="U741" t="str">
        <f>IF(Table13[[#This Row],[Category All]]="Category 3", "Yes",NA())</f>
        <v>Yes</v>
      </c>
      <c r="V741">
        <f>SUM(1,(1/3)*(Table13[[#This Row],[Length]]-0.5),(1/3)*(Table13[[#This Row],[Diameter]]-0.4),(1/3)*(Table13[[#This Row],[Height]]-0.4)*Table13[[#This Row],[Whole_weight]]*0.5)</f>
        <v>1.0133595833333333</v>
      </c>
      <c r="W741" cm="1">
        <f t="array" ref="W7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1.0133595833333333</v>
      </c>
      <c r="X741" t="e">
        <f>IF(Table13[[#This Row],[Category All]]="Category 1",Table13[[#This Row],[Base Abalone Value]]*1.5,NA())</f>
        <v>#N/A</v>
      </c>
      <c r="Y741" t="e">
        <f>IF(Table13[[#This Row],[Category All]]="Category 2",Table13[[#This Row],[Base Abalone Value]]*0.8,NA())</f>
        <v>#N/A</v>
      </c>
      <c r="Z741">
        <f>IF(Table13[[#This Row],[Category All]]="Category 3",Table13[[#This Row],[Base Abalone Value]],NA())</f>
        <v>1.0133595833333333</v>
      </c>
      <c r="AA741" s="2" t="e">
        <f>IF(Table13[[#This Row],[Gender]]="M",Table13[[#This Row],[Whole_weight]],NA())</f>
        <v>#N/A</v>
      </c>
      <c r="AB741" s="2">
        <f>IF(Table13[[#This Row],[Gender]]="F",Table13[[#This Row],[Whole_weight]],NA())</f>
        <v>0.9355</v>
      </c>
      <c r="AC741" s="2" t="e">
        <f>IF(Table13[[#This Row],[Gender]]="I",Table13[[#This Row],[Whole_weight]],NA())</f>
        <v>#N/A</v>
      </c>
      <c r="AD741" s="2" t="e">
        <f>IF(Table13[[#This Row],[Gender]]="M",Table13[[#This Row],[Diameter]],NA())</f>
        <v>#N/A</v>
      </c>
      <c r="AE741" s="2">
        <f>IF(Table13[[#This Row],[Gender]]="F",Table13[[#This Row],[Diameter]],NA())</f>
        <v>0.46500000000000002</v>
      </c>
      <c r="AF741" s="2" t="e">
        <f>IF(Table13[[#This Row],[Gender]]="I",Table13[[#This Row],[Diameter]],NA())</f>
        <v>#N/A</v>
      </c>
    </row>
    <row r="742" spans="1:32" x14ac:dyDescent="0.2">
      <c r="A742">
        <v>796</v>
      </c>
      <c r="B742" t="s">
        <v>15</v>
      </c>
      <c r="C742">
        <v>0.51500000000000001</v>
      </c>
      <c r="D742">
        <v>0.40500000000000003</v>
      </c>
      <c r="E742">
        <v>0.14499999999999999</v>
      </c>
      <c r="F742">
        <v>0.69499999999999995</v>
      </c>
      <c r="G742">
        <v>0.215</v>
      </c>
      <c r="H742">
        <v>0.16350000000000001</v>
      </c>
      <c r="I742">
        <v>0.23400000000000001</v>
      </c>
      <c r="J742">
        <v>15</v>
      </c>
      <c r="K742">
        <v>14</v>
      </c>
      <c r="L742" t="s">
        <v>23</v>
      </c>
      <c r="M742" t="s">
        <v>24</v>
      </c>
      <c r="N742" t="s">
        <v>25</v>
      </c>
      <c r="O742">
        <v>10</v>
      </c>
      <c r="P742" t="s">
        <v>38</v>
      </c>
      <c r="Q742">
        <v>24.1</v>
      </c>
      <c r="R742" t="str" cm="1">
        <f t="array" ref="R7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42" t="e">
        <f>IF(Table13[[#This Row],[Category All]]="Category 1", "Yes",NA())</f>
        <v>#N/A</v>
      </c>
      <c r="T742" t="str">
        <f>IF(Table13[[#This Row],[Category All]]="Category 2", "Yes",NA())</f>
        <v>Yes</v>
      </c>
      <c r="U742" t="e">
        <f>IF(Table13[[#This Row],[Category All]]="Category 3", "Yes",NA())</f>
        <v>#N/A</v>
      </c>
      <c r="V742">
        <f>SUM(1,(1/3)*(Table13[[#This Row],[Length]]-0.5),(1/3)*(Table13[[#This Row],[Diameter]]-0.4),(1/3)*(Table13[[#This Row],[Height]]-0.4)*Table13[[#This Row],[Whole_weight]]*0.5)</f>
        <v>0.9771291666666666</v>
      </c>
      <c r="W742" cm="1">
        <f t="array" ref="W7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0.78170333333333331</v>
      </c>
      <c r="X742" t="e">
        <f>IF(Table13[[#This Row],[Category All]]="Category 1",Table13[[#This Row],[Base Abalone Value]]*1.5,NA())</f>
        <v>#N/A</v>
      </c>
      <c r="Y742">
        <f>IF(Table13[[#This Row],[Category All]]="Category 2",Table13[[#This Row],[Base Abalone Value]]*0.8,NA())</f>
        <v>0.78170333333333331</v>
      </c>
      <c r="Z742" t="e">
        <f>IF(Table13[[#This Row],[Category All]]="Category 3",Table13[[#This Row],[Base Abalone Value]],NA())</f>
        <v>#N/A</v>
      </c>
      <c r="AA742" s="2">
        <f>IF(Table13[[#This Row],[Gender]]="M",Table13[[#This Row],[Whole_weight]],NA())</f>
        <v>0.69499999999999995</v>
      </c>
      <c r="AB742" s="2" t="e">
        <f>IF(Table13[[#This Row],[Gender]]="F",Table13[[#This Row],[Whole_weight]],NA())</f>
        <v>#N/A</v>
      </c>
      <c r="AC742" s="2" t="e">
        <f>IF(Table13[[#This Row],[Gender]]="I",Table13[[#This Row],[Whole_weight]],NA())</f>
        <v>#N/A</v>
      </c>
      <c r="AD742" s="2">
        <f>IF(Table13[[#This Row],[Gender]]="M",Table13[[#This Row],[Diameter]],NA())</f>
        <v>0.40500000000000003</v>
      </c>
      <c r="AE742" s="2" t="e">
        <f>IF(Table13[[#This Row],[Gender]]="F",Table13[[#This Row],[Diameter]],NA())</f>
        <v>#N/A</v>
      </c>
      <c r="AF742" s="2" t="e">
        <f>IF(Table13[[#This Row],[Gender]]="I",Table13[[#This Row],[Diameter]],NA())</f>
        <v>#N/A</v>
      </c>
    </row>
    <row r="743" spans="1:32" x14ac:dyDescent="0.2">
      <c r="A743">
        <v>1858</v>
      </c>
      <c r="B743" t="s">
        <v>11</v>
      </c>
      <c r="C743">
        <v>0.505</v>
      </c>
      <c r="D743">
        <v>0.4</v>
      </c>
      <c r="E743">
        <v>0.14499999999999999</v>
      </c>
      <c r="F743">
        <v>0.70450000000000002</v>
      </c>
      <c r="G743">
        <v>0.33400000000000002</v>
      </c>
      <c r="H743">
        <v>0.14249999999999999</v>
      </c>
      <c r="I743">
        <v>0.20699999999999999</v>
      </c>
      <c r="J743">
        <v>8</v>
      </c>
      <c r="K743">
        <v>10</v>
      </c>
      <c r="L743" t="s">
        <v>16</v>
      </c>
      <c r="M743" t="s">
        <v>17</v>
      </c>
      <c r="N743" t="s">
        <v>18</v>
      </c>
      <c r="O743">
        <v>9</v>
      </c>
      <c r="P743" t="s">
        <v>46</v>
      </c>
      <c r="Q743">
        <v>1.9</v>
      </c>
      <c r="R743" t="str" cm="1">
        <f t="array" ref="R7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43" t="e">
        <f>IF(Table13[[#This Row],[Category All]]="Category 1", "Yes",NA())</f>
        <v>#N/A</v>
      </c>
      <c r="T743" t="str">
        <f>IF(Table13[[#This Row],[Category All]]="Category 2", "Yes",NA())</f>
        <v>Yes</v>
      </c>
      <c r="U743" t="e">
        <f>IF(Table13[[#This Row],[Category All]]="Category 3", "Yes",NA())</f>
        <v>#N/A</v>
      </c>
      <c r="V743">
        <f>SUM(1,(1/3)*(Table13[[#This Row],[Length]]-0.5),(1/3)*(Table13[[#This Row],[Diameter]]-0.4),(1/3)*(Table13[[#This Row],[Height]]-0.4)*Table13[[#This Row],[Whole_weight]]*0.5)</f>
        <v>0.97172541666666667</v>
      </c>
      <c r="W743" cm="1">
        <f t="array" ref="W7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0.77738033333333334</v>
      </c>
      <c r="X743" t="e">
        <f>IF(Table13[[#This Row],[Category All]]="Category 1",Table13[[#This Row],[Base Abalone Value]]*1.5,NA())</f>
        <v>#N/A</v>
      </c>
      <c r="Y743">
        <f>IF(Table13[[#This Row],[Category All]]="Category 2",Table13[[#This Row],[Base Abalone Value]]*0.8,NA())</f>
        <v>0.77738033333333334</v>
      </c>
      <c r="Z743" t="e">
        <f>IF(Table13[[#This Row],[Category All]]="Category 3",Table13[[#This Row],[Base Abalone Value]],NA())</f>
        <v>#N/A</v>
      </c>
      <c r="AA743" s="2" t="e">
        <f>IF(Table13[[#This Row],[Gender]]="M",Table13[[#This Row],[Whole_weight]],NA())</f>
        <v>#N/A</v>
      </c>
      <c r="AB743" s="2" t="e">
        <f>IF(Table13[[#This Row],[Gender]]="F",Table13[[#This Row],[Whole_weight]],NA())</f>
        <v>#N/A</v>
      </c>
      <c r="AC743" s="2">
        <f>IF(Table13[[#This Row],[Gender]]="I",Table13[[#This Row],[Whole_weight]],NA())</f>
        <v>0.70450000000000002</v>
      </c>
      <c r="AD743" s="2" t="e">
        <f>IF(Table13[[#This Row],[Gender]]="M",Table13[[#This Row],[Diameter]],NA())</f>
        <v>#N/A</v>
      </c>
      <c r="AE743" s="2" t="e">
        <f>IF(Table13[[#This Row],[Gender]]="F",Table13[[#This Row],[Diameter]],NA())</f>
        <v>#N/A</v>
      </c>
      <c r="AF743" s="2">
        <f>IF(Table13[[#This Row],[Gender]]="I",Table13[[#This Row],[Diameter]],NA())</f>
        <v>0.4</v>
      </c>
    </row>
    <row r="744" spans="1:32" x14ac:dyDescent="0.2">
      <c r="A744">
        <v>2574</v>
      </c>
      <c r="B744" t="s">
        <v>11</v>
      </c>
      <c r="C744">
        <v>0.47499999999999998</v>
      </c>
      <c r="D744">
        <v>0.35499999999999998</v>
      </c>
      <c r="E744">
        <v>0.105</v>
      </c>
      <c r="F744">
        <v>0.46800000000000003</v>
      </c>
      <c r="G744">
        <v>0.20100000000000001</v>
      </c>
      <c r="H744">
        <v>0.1115</v>
      </c>
      <c r="I744">
        <v>0.12</v>
      </c>
      <c r="J744">
        <v>8</v>
      </c>
      <c r="K744">
        <v>2</v>
      </c>
      <c r="L744" t="s">
        <v>32</v>
      </c>
      <c r="M744" t="s">
        <v>33</v>
      </c>
      <c r="N744" t="s">
        <v>34</v>
      </c>
      <c r="O744">
        <v>10</v>
      </c>
      <c r="P744" t="s">
        <v>38</v>
      </c>
      <c r="Q744">
        <v>24.1</v>
      </c>
      <c r="R744" t="str" cm="1">
        <f t="array" ref="R7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44" t="e">
        <f>IF(Table13[[#This Row],[Category All]]="Category 1", "Yes",NA())</f>
        <v>#N/A</v>
      </c>
      <c r="T744" t="str">
        <f>IF(Table13[[#This Row],[Category All]]="Category 2", "Yes",NA())</f>
        <v>Yes</v>
      </c>
      <c r="U744" t="e">
        <f>IF(Table13[[#This Row],[Category All]]="Category 3", "Yes",NA())</f>
        <v>#N/A</v>
      </c>
      <c r="V744">
        <f>SUM(1,(1/3)*(Table13[[#This Row],[Length]]-0.5),(1/3)*(Table13[[#This Row],[Diameter]]-0.4),(1/3)*(Table13[[#This Row],[Height]]-0.4)*Table13[[#This Row],[Whole_weight]]*0.5)</f>
        <v>0.95365666666666671</v>
      </c>
      <c r="W744" cm="1">
        <f t="array" ref="W7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0.76292533333333346</v>
      </c>
      <c r="X744" t="e">
        <f>IF(Table13[[#This Row],[Category All]]="Category 1",Table13[[#This Row],[Base Abalone Value]]*1.5,NA())</f>
        <v>#N/A</v>
      </c>
      <c r="Y744">
        <f>IF(Table13[[#This Row],[Category All]]="Category 2",Table13[[#This Row],[Base Abalone Value]]*0.8,NA())</f>
        <v>0.76292533333333346</v>
      </c>
      <c r="Z744" t="e">
        <f>IF(Table13[[#This Row],[Category All]]="Category 3",Table13[[#This Row],[Base Abalone Value]],NA())</f>
        <v>#N/A</v>
      </c>
      <c r="AA744" s="2" t="e">
        <f>IF(Table13[[#This Row],[Gender]]="M",Table13[[#This Row],[Whole_weight]],NA())</f>
        <v>#N/A</v>
      </c>
      <c r="AB744" s="2" t="e">
        <f>IF(Table13[[#This Row],[Gender]]="F",Table13[[#This Row],[Whole_weight]],NA())</f>
        <v>#N/A</v>
      </c>
      <c r="AC744" s="2">
        <f>IF(Table13[[#This Row],[Gender]]="I",Table13[[#This Row],[Whole_weight]],NA())</f>
        <v>0.46800000000000003</v>
      </c>
      <c r="AD744" s="2" t="e">
        <f>IF(Table13[[#This Row],[Gender]]="M",Table13[[#This Row],[Diameter]],NA())</f>
        <v>#N/A</v>
      </c>
      <c r="AE744" s="2" t="e">
        <f>IF(Table13[[#This Row],[Gender]]="F",Table13[[#This Row],[Diameter]],NA())</f>
        <v>#N/A</v>
      </c>
      <c r="AF744" s="2">
        <f>IF(Table13[[#This Row],[Gender]]="I",Table13[[#This Row],[Diameter]],NA())</f>
        <v>0.35499999999999998</v>
      </c>
    </row>
    <row r="745" spans="1:32" x14ac:dyDescent="0.2">
      <c r="A745">
        <v>3404</v>
      </c>
      <c r="B745" t="s">
        <v>11</v>
      </c>
      <c r="C745">
        <v>0.35</v>
      </c>
      <c r="D745">
        <v>0.26500000000000001</v>
      </c>
      <c r="E745">
        <v>0.11</v>
      </c>
      <c r="F745">
        <v>0.20899999999999999</v>
      </c>
      <c r="G745">
        <v>6.6000000000000003E-2</v>
      </c>
      <c r="H745">
        <v>5.8999999999999997E-2</v>
      </c>
      <c r="I745">
        <v>7.4999999999999997E-2</v>
      </c>
      <c r="J745">
        <v>9</v>
      </c>
      <c r="K745">
        <v>11</v>
      </c>
      <c r="L745" t="s">
        <v>5</v>
      </c>
      <c r="M745" t="s">
        <v>6</v>
      </c>
      <c r="N745" t="s">
        <v>3</v>
      </c>
      <c r="O745">
        <v>7</v>
      </c>
      <c r="P745" t="s">
        <v>42</v>
      </c>
      <c r="Q745">
        <v>2.5</v>
      </c>
      <c r="R745" t="str" cm="1">
        <f t="array" ref="R7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45" t="e">
        <f>IF(Table13[[#This Row],[Category All]]="Category 1", "Yes",NA())</f>
        <v>#N/A</v>
      </c>
      <c r="T745" t="str">
        <f>IF(Table13[[#This Row],[Category All]]="Category 2", "Yes",NA())</f>
        <v>Yes</v>
      </c>
      <c r="U745" t="e">
        <f>IF(Table13[[#This Row],[Category All]]="Category 3", "Yes",NA())</f>
        <v>#N/A</v>
      </c>
      <c r="V745">
        <f>SUM(1,(1/3)*(Table13[[#This Row],[Length]]-0.5),(1/3)*(Table13[[#This Row],[Diameter]]-0.4),(1/3)*(Table13[[#This Row],[Height]]-0.4)*Table13[[#This Row],[Whole_weight]]*0.5)</f>
        <v>0.89489833333333324</v>
      </c>
      <c r="W745" cm="1">
        <f t="array" ref="W7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0.71591866666666659</v>
      </c>
      <c r="X745" t="e">
        <f>IF(Table13[[#This Row],[Category All]]="Category 1",Table13[[#This Row],[Base Abalone Value]]*1.5,NA())</f>
        <v>#N/A</v>
      </c>
      <c r="Y745">
        <f>IF(Table13[[#This Row],[Category All]]="Category 2",Table13[[#This Row],[Base Abalone Value]]*0.8,NA())</f>
        <v>0.71591866666666659</v>
      </c>
      <c r="Z745" t="e">
        <f>IF(Table13[[#This Row],[Category All]]="Category 3",Table13[[#This Row],[Base Abalone Value]],NA())</f>
        <v>#N/A</v>
      </c>
      <c r="AA745" s="2" t="e">
        <f>IF(Table13[[#This Row],[Gender]]="M",Table13[[#This Row],[Whole_weight]],NA())</f>
        <v>#N/A</v>
      </c>
      <c r="AB745" s="2" t="e">
        <f>IF(Table13[[#This Row],[Gender]]="F",Table13[[#This Row],[Whole_weight]],NA())</f>
        <v>#N/A</v>
      </c>
      <c r="AC745" s="2">
        <f>IF(Table13[[#This Row],[Gender]]="I",Table13[[#This Row],[Whole_weight]],NA())</f>
        <v>0.20899999999999999</v>
      </c>
      <c r="AD745" s="2" t="e">
        <f>IF(Table13[[#This Row],[Gender]]="M",Table13[[#This Row],[Diameter]],NA())</f>
        <v>#N/A</v>
      </c>
      <c r="AE745" s="2" t="e">
        <f>IF(Table13[[#This Row],[Gender]]="F",Table13[[#This Row],[Diameter]],NA())</f>
        <v>#N/A</v>
      </c>
      <c r="AF745" s="2">
        <f>IF(Table13[[#This Row],[Gender]]="I",Table13[[#This Row],[Diameter]],NA())</f>
        <v>0.26500000000000001</v>
      </c>
    </row>
    <row r="746" spans="1:32" x14ac:dyDescent="0.2">
      <c r="A746">
        <v>270</v>
      </c>
      <c r="B746" t="s">
        <v>0</v>
      </c>
      <c r="C746">
        <v>0.45</v>
      </c>
      <c r="D746">
        <v>0.36</v>
      </c>
      <c r="E746">
        <v>0.125</v>
      </c>
      <c r="F746">
        <v>0.4995</v>
      </c>
      <c r="G746">
        <v>0.20349999999999999</v>
      </c>
      <c r="H746">
        <v>0.1</v>
      </c>
      <c r="I746">
        <v>0.17</v>
      </c>
      <c r="J746">
        <v>13</v>
      </c>
      <c r="K746">
        <v>6</v>
      </c>
      <c r="L746" t="s">
        <v>39</v>
      </c>
      <c r="M746" t="s">
        <v>40</v>
      </c>
      <c r="N746" t="s">
        <v>41</v>
      </c>
      <c r="O746">
        <v>9</v>
      </c>
      <c r="P746" t="s">
        <v>46</v>
      </c>
      <c r="Q746">
        <v>1.9</v>
      </c>
      <c r="R746" t="str" cm="1">
        <f t="array" ref="R7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46" t="e">
        <f>IF(Table13[[#This Row],[Category All]]="Category 1", "Yes",NA())</f>
        <v>#N/A</v>
      </c>
      <c r="T746" t="str">
        <f>IF(Table13[[#This Row],[Category All]]="Category 2", "Yes",NA())</f>
        <v>Yes</v>
      </c>
      <c r="U746" t="e">
        <f>IF(Table13[[#This Row],[Category All]]="Category 3", "Yes",NA())</f>
        <v>#N/A</v>
      </c>
      <c r="V746">
        <f>SUM(1,(1/3)*(Table13[[#This Row],[Length]]-0.5),(1/3)*(Table13[[#This Row],[Diameter]]-0.4),(1/3)*(Table13[[#This Row],[Height]]-0.4)*Table13[[#This Row],[Whole_weight]]*0.5)</f>
        <v>0.94710625000000004</v>
      </c>
      <c r="W746" cm="1">
        <f t="array" ref="W7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0.75768500000000005</v>
      </c>
      <c r="X746" t="e">
        <f>IF(Table13[[#This Row],[Category All]]="Category 1",Table13[[#This Row],[Base Abalone Value]]*1.5,NA())</f>
        <v>#N/A</v>
      </c>
      <c r="Y746">
        <f>IF(Table13[[#This Row],[Category All]]="Category 2",Table13[[#This Row],[Base Abalone Value]]*0.8,NA())</f>
        <v>0.75768500000000005</v>
      </c>
      <c r="Z746" t="e">
        <f>IF(Table13[[#This Row],[Category All]]="Category 3",Table13[[#This Row],[Base Abalone Value]],NA())</f>
        <v>#N/A</v>
      </c>
      <c r="AA746" s="2" t="e">
        <f>IF(Table13[[#This Row],[Gender]]="M",Table13[[#This Row],[Whole_weight]],NA())</f>
        <v>#N/A</v>
      </c>
      <c r="AB746" s="2">
        <f>IF(Table13[[#This Row],[Gender]]="F",Table13[[#This Row],[Whole_weight]],NA())</f>
        <v>0.4995</v>
      </c>
      <c r="AC746" s="2" t="e">
        <f>IF(Table13[[#This Row],[Gender]]="I",Table13[[#This Row],[Whole_weight]],NA())</f>
        <v>#N/A</v>
      </c>
      <c r="AD746" s="2" t="e">
        <f>IF(Table13[[#This Row],[Gender]]="M",Table13[[#This Row],[Diameter]],NA())</f>
        <v>#N/A</v>
      </c>
      <c r="AE746" s="2">
        <f>IF(Table13[[#This Row],[Gender]]="F",Table13[[#This Row],[Diameter]],NA())</f>
        <v>0.36</v>
      </c>
      <c r="AF746" s="2" t="e">
        <f>IF(Table13[[#This Row],[Gender]]="I",Table13[[#This Row],[Diameter]],NA())</f>
        <v>#N/A</v>
      </c>
    </row>
    <row r="747" spans="1:32" x14ac:dyDescent="0.2">
      <c r="A747">
        <v>852</v>
      </c>
      <c r="B747" t="s">
        <v>15</v>
      </c>
      <c r="C747">
        <v>0.55500000000000005</v>
      </c>
      <c r="D747">
        <v>0.435</v>
      </c>
      <c r="E747">
        <v>0.14499999999999999</v>
      </c>
      <c r="F747">
        <v>0.96850000000000003</v>
      </c>
      <c r="G747">
        <v>0.4985</v>
      </c>
      <c r="H747">
        <v>0.16800000000000001</v>
      </c>
      <c r="I747">
        <v>0.23849999999999999</v>
      </c>
      <c r="J747">
        <v>9</v>
      </c>
      <c r="K747">
        <v>6</v>
      </c>
      <c r="L747" t="s">
        <v>39</v>
      </c>
      <c r="M747" t="s">
        <v>40</v>
      </c>
      <c r="N747" t="s">
        <v>41</v>
      </c>
      <c r="O747">
        <v>8</v>
      </c>
      <c r="P747" t="s">
        <v>19</v>
      </c>
      <c r="Q747">
        <v>12.3</v>
      </c>
      <c r="R747" t="str" cm="1">
        <f t="array" ref="R7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47" t="e">
        <f>IF(Table13[[#This Row],[Category All]]="Category 1", "Yes",NA())</f>
        <v>#N/A</v>
      </c>
      <c r="T747" t="e">
        <f>IF(Table13[[#This Row],[Category All]]="Category 2", "Yes",NA())</f>
        <v>#N/A</v>
      </c>
      <c r="U747" t="str">
        <f>IF(Table13[[#This Row],[Category All]]="Category 3", "Yes",NA())</f>
        <v>Yes</v>
      </c>
      <c r="V747">
        <f>SUM(1,(1/3)*(Table13[[#This Row],[Length]]-0.5),(1/3)*(Table13[[#This Row],[Diameter]]-0.4),(1/3)*(Table13[[#This Row],[Height]]-0.4)*Table13[[#This Row],[Whole_weight]]*0.5)</f>
        <v>0.98883874999999999</v>
      </c>
      <c r="W747" cm="1">
        <f t="array" ref="W7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0.98883874999999999</v>
      </c>
      <c r="X747" t="e">
        <f>IF(Table13[[#This Row],[Category All]]="Category 1",Table13[[#This Row],[Base Abalone Value]]*1.5,NA())</f>
        <v>#N/A</v>
      </c>
      <c r="Y747" t="e">
        <f>IF(Table13[[#This Row],[Category All]]="Category 2",Table13[[#This Row],[Base Abalone Value]]*0.8,NA())</f>
        <v>#N/A</v>
      </c>
      <c r="Z747">
        <f>IF(Table13[[#This Row],[Category All]]="Category 3",Table13[[#This Row],[Base Abalone Value]],NA())</f>
        <v>0.98883874999999999</v>
      </c>
      <c r="AA747" s="2">
        <f>IF(Table13[[#This Row],[Gender]]="M",Table13[[#This Row],[Whole_weight]],NA())</f>
        <v>0.96850000000000003</v>
      </c>
      <c r="AB747" s="2" t="e">
        <f>IF(Table13[[#This Row],[Gender]]="F",Table13[[#This Row],[Whole_weight]],NA())</f>
        <v>#N/A</v>
      </c>
      <c r="AC747" s="2" t="e">
        <f>IF(Table13[[#This Row],[Gender]]="I",Table13[[#This Row],[Whole_weight]],NA())</f>
        <v>#N/A</v>
      </c>
      <c r="AD747" s="2">
        <f>IF(Table13[[#This Row],[Gender]]="M",Table13[[#This Row],[Diameter]],NA())</f>
        <v>0.435</v>
      </c>
      <c r="AE747" s="2" t="e">
        <f>IF(Table13[[#This Row],[Gender]]="F",Table13[[#This Row],[Diameter]],NA())</f>
        <v>#N/A</v>
      </c>
      <c r="AF747" s="2" t="e">
        <f>IF(Table13[[#This Row],[Gender]]="I",Table13[[#This Row],[Diameter]],NA())</f>
        <v>#N/A</v>
      </c>
    </row>
    <row r="748" spans="1:32" x14ac:dyDescent="0.2">
      <c r="A748">
        <v>440</v>
      </c>
      <c r="B748" t="s">
        <v>15</v>
      </c>
      <c r="C748">
        <v>0.5</v>
      </c>
      <c r="D748">
        <v>0.41499999999999998</v>
      </c>
      <c r="E748">
        <v>0.16500000000000001</v>
      </c>
      <c r="F748">
        <v>0.6885</v>
      </c>
      <c r="G748">
        <v>0.249</v>
      </c>
      <c r="H748">
        <v>0.13800000000000001</v>
      </c>
      <c r="I748">
        <v>0.25</v>
      </c>
      <c r="J748">
        <v>13</v>
      </c>
      <c r="K748">
        <v>15</v>
      </c>
      <c r="L748" t="s">
        <v>49</v>
      </c>
      <c r="M748" t="s">
        <v>50</v>
      </c>
      <c r="N748" t="s">
        <v>3</v>
      </c>
      <c r="O748">
        <v>10</v>
      </c>
      <c r="P748" t="s">
        <v>38</v>
      </c>
      <c r="Q748">
        <v>24.1</v>
      </c>
      <c r="R748" t="str" cm="1">
        <f t="array" ref="R7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48" t="e">
        <f>IF(Table13[[#This Row],[Category All]]="Category 1", "Yes",NA())</f>
        <v>#N/A</v>
      </c>
      <c r="T748" t="str">
        <f>IF(Table13[[#This Row],[Category All]]="Category 2", "Yes",NA())</f>
        <v>Yes</v>
      </c>
      <c r="U748" t="e">
        <f>IF(Table13[[#This Row],[Category All]]="Category 3", "Yes",NA())</f>
        <v>#N/A</v>
      </c>
      <c r="V748">
        <f>SUM(1,(1/3)*(Table13[[#This Row],[Length]]-0.5),(1/3)*(Table13[[#This Row],[Diameter]]-0.4),(1/3)*(Table13[[#This Row],[Height]]-0.4)*Table13[[#This Row],[Whole_weight]]*0.5)</f>
        <v>0.97803374999999992</v>
      </c>
      <c r="W748" cm="1">
        <f t="array" ref="W7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0.78242699999999998</v>
      </c>
      <c r="X748" t="e">
        <f>IF(Table13[[#This Row],[Category All]]="Category 1",Table13[[#This Row],[Base Abalone Value]]*1.5,NA())</f>
        <v>#N/A</v>
      </c>
      <c r="Y748">
        <f>IF(Table13[[#This Row],[Category All]]="Category 2",Table13[[#This Row],[Base Abalone Value]]*0.8,NA())</f>
        <v>0.78242699999999998</v>
      </c>
      <c r="Z748" t="e">
        <f>IF(Table13[[#This Row],[Category All]]="Category 3",Table13[[#This Row],[Base Abalone Value]],NA())</f>
        <v>#N/A</v>
      </c>
      <c r="AA748" s="2">
        <f>IF(Table13[[#This Row],[Gender]]="M",Table13[[#This Row],[Whole_weight]],NA())</f>
        <v>0.6885</v>
      </c>
      <c r="AB748" s="2" t="e">
        <f>IF(Table13[[#This Row],[Gender]]="F",Table13[[#This Row],[Whole_weight]],NA())</f>
        <v>#N/A</v>
      </c>
      <c r="AC748" s="2" t="e">
        <f>IF(Table13[[#This Row],[Gender]]="I",Table13[[#This Row],[Whole_weight]],NA())</f>
        <v>#N/A</v>
      </c>
      <c r="AD748" s="2">
        <f>IF(Table13[[#This Row],[Gender]]="M",Table13[[#This Row],[Diameter]],NA())</f>
        <v>0.41499999999999998</v>
      </c>
      <c r="AE748" s="2" t="e">
        <f>IF(Table13[[#This Row],[Gender]]="F",Table13[[#This Row],[Diameter]],NA())</f>
        <v>#N/A</v>
      </c>
      <c r="AF748" s="2" t="e">
        <f>IF(Table13[[#This Row],[Gender]]="I",Table13[[#This Row],[Diameter]],NA())</f>
        <v>#N/A</v>
      </c>
    </row>
    <row r="749" spans="1:32" x14ac:dyDescent="0.2">
      <c r="A749">
        <v>1604</v>
      </c>
      <c r="B749" t="s">
        <v>11</v>
      </c>
      <c r="C749">
        <v>0.54</v>
      </c>
      <c r="D749">
        <v>0.43</v>
      </c>
      <c r="E749">
        <v>0.14000000000000001</v>
      </c>
      <c r="F749">
        <v>0.81950000000000001</v>
      </c>
      <c r="G749">
        <v>0.39350000000000002</v>
      </c>
      <c r="H749">
        <v>0.17249999999999999</v>
      </c>
      <c r="I749">
        <v>0.22950000000000001</v>
      </c>
      <c r="J749">
        <v>9</v>
      </c>
      <c r="K749">
        <v>1</v>
      </c>
      <c r="L749" t="s">
        <v>8</v>
      </c>
      <c r="M749" t="s">
        <v>9</v>
      </c>
      <c r="N749" t="s">
        <v>3</v>
      </c>
      <c r="O749">
        <v>3</v>
      </c>
      <c r="P749" t="s">
        <v>48</v>
      </c>
      <c r="Q749">
        <v>3.6</v>
      </c>
      <c r="R749" t="str" cm="1">
        <f t="array" ref="R7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49" t="e">
        <f>IF(Table13[[#This Row],[Category All]]="Category 1", "Yes",NA())</f>
        <v>#N/A</v>
      </c>
      <c r="T749" t="str">
        <f>IF(Table13[[#This Row],[Category All]]="Category 2", "Yes",NA())</f>
        <v>Yes</v>
      </c>
      <c r="U749" t="e">
        <f>IF(Table13[[#This Row],[Category All]]="Category 3", "Yes",NA())</f>
        <v>#N/A</v>
      </c>
      <c r="V749">
        <f>SUM(1,(1/3)*(Table13[[#This Row],[Length]]-0.5),(1/3)*(Table13[[#This Row],[Diameter]]-0.4),(1/3)*(Table13[[#This Row],[Height]]-0.4)*Table13[[#This Row],[Whole_weight]]*0.5)</f>
        <v>0.98782166666666671</v>
      </c>
      <c r="W749" cm="1">
        <f t="array" ref="W7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0.79025733333333337</v>
      </c>
      <c r="X749" t="e">
        <f>IF(Table13[[#This Row],[Category All]]="Category 1",Table13[[#This Row],[Base Abalone Value]]*1.5,NA())</f>
        <v>#N/A</v>
      </c>
      <c r="Y749">
        <f>IF(Table13[[#This Row],[Category All]]="Category 2",Table13[[#This Row],[Base Abalone Value]]*0.8,NA())</f>
        <v>0.79025733333333337</v>
      </c>
      <c r="Z749" t="e">
        <f>IF(Table13[[#This Row],[Category All]]="Category 3",Table13[[#This Row],[Base Abalone Value]],NA())</f>
        <v>#N/A</v>
      </c>
      <c r="AA749" s="2" t="e">
        <f>IF(Table13[[#This Row],[Gender]]="M",Table13[[#This Row],[Whole_weight]],NA())</f>
        <v>#N/A</v>
      </c>
      <c r="AB749" s="2" t="e">
        <f>IF(Table13[[#This Row],[Gender]]="F",Table13[[#This Row],[Whole_weight]],NA())</f>
        <v>#N/A</v>
      </c>
      <c r="AC749" s="2">
        <f>IF(Table13[[#This Row],[Gender]]="I",Table13[[#This Row],[Whole_weight]],NA())</f>
        <v>0.81950000000000001</v>
      </c>
      <c r="AD749" s="2" t="e">
        <f>IF(Table13[[#This Row],[Gender]]="M",Table13[[#This Row],[Diameter]],NA())</f>
        <v>#N/A</v>
      </c>
      <c r="AE749" s="2" t="e">
        <f>IF(Table13[[#This Row],[Gender]]="F",Table13[[#This Row],[Diameter]],NA())</f>
        <v>#N/A</v>
      </c>
      <c r="AF749" s="2">
        <f>IF(Table13[[#This Row],[Gender]]="I",Table13[[#This Row],[Diameter]],NA())</f>
        <v>0.43</v>
      </c>
    </row>
    <row r="750" spans="1:32" x14ac:dyDescent="0.2">
      <c r="A750">
        <v>1895</v>
      </c>
      <c r="B750" t="s">
        <v>15</v>
      </c>
      <c r="C750">
        <v>0.56999999999999995</v>
      </c>
      <c r="D750">
        <v>0.46</v>
      </c>
      <c r="E750">
        <v>0.155</v>
      </c>
      <c r="F750">
        <v>1.0004999999999999</v>
      </c>
      <c r="G750">
        <v>0.45400000000000001</v>
      </c>
      <c r="H750">
        <v>0.20499999999999999</v>
      </c>
      <c r="I750">
        <v>0.26500000000000001</v>
      </c>
      <c r="J750">
        <v>11</v>
      </c>
      <c r="K750">
        <v>11</v>
      </c>
      <c r="L750" t="s">
        <v>5</v>
      </c>
      <c r="M750" t="s">
        <v>6</v>
      </c>
      <c r="N750" t="s">
        <v>3</v>
      </c>
      <c r="O750">
        <v>5</v>
      </c>
      <c r="P750" t="s">
        <v>14</v>
      </c>
      <c r="Q750">
        <v>12.8</v>
      </c>
      <c r="R750" t="str" cm="1">
        <f t="array" ref="R7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50" t="e">
        <f>IF(Table13[[#This Row],[Category All]]="Category 1", "Yes",NA())</f>
        <v>#N/A</v>
      </c>
      <c r="T750" t="e">
        <f>IF(Table13[[#This Row],[Category All]]="Category 2", "Yes",NA())</f>
        <v>#N/A</v>
      </c>
      <c r="U750" t="str">
        <f>IF(Table13[[#This Row],[Category All]]="Category 3", "Yes",NA())</f>
        <v>Yes</v>
      </c>
      <c r="V750">
        <f>SUM(1,(1/3)*(Table13[[#This Row],[Length]]-0.5),(1/3)*(Table13[[#This Row],[Diameter]]-0.4),(1/3)*(Table13[[#This Row],[Height]]-0.4)*Table13[[#This Row],[Whole_weight]]*0.5)</f>
        <v>1.0024795833333335</v>
      </c>
      <c r="W750" cm="1">
        <f t="array" ref="W7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1.0024795833333335</v>
      </c>
      <c r="X750" t="e">
        <f>IF(Table13[[#This Row],[Category All]]="Category 1",Table13[[#This Row],[Base Abalone Value]]*1.5,NA())</f>
        <v>#N/A</v>
      </c>
      <c r="Y750" t="e">
        <f>IF(Table13[[#This Row],[Category All]]="Category 2",Table13[[#This Row],[Base Abalone Value]]*0.8,NA())</f>
        <v>#N/A</v>
      </c>
      <c r="Z750">
        <f>IF(Table13[[#This Row],[Category All]]="Category 3",Table13[[#This Row],[Base Abalone Value]],NA())</f>
        <v>1.0024795833333335</v>
      </c>
      <c r="AA750" s="2">
        <f>IF(Table13[[#This Row],[Gender]]="M",Table13[[#This Row],[Whole_weight]],NA())</f>
        <v>1.0004999999999999</v>
      </c>
      <c r="AB750" s="2" t="e">
        <f>IF(Table13[[#This Row],[Gender]]="F",Table13[[#This Row],[Whole_weight]],NA())</f>
        <v>#N/A</v>
      </c>
      <c r="AC750" s="2" t="e">
        <f>IF(Table13[[#This Row],[Gender]]="I",Table13[[#This Row],[Whole_weight]],NA())</f>
        <v>#N/A</v>
      </c>
      <c r="AD750" s="2">
        <f>IF(Table13[[#This Row],[Gender]]="M",Table13[[#This Row],[Diameter]],NA())</f>
        <v>0.46</v>
      </c>
      <c r="AE750" s="2" t="e">
        <f>IF(Table13[[#This Row],[Gender]]="F",Table13[[#This Row],[Diameter]],NA())</f>
        <v>#N/A</v>
      </c>
      <c r="AF750" s="2" t="e">
        <f>IF(Table13[[#This Row],[Gender]]="I",Table13[[#This Row],[Diameter]],NA())</f>
        <v>#N/A</v>
      </c>
    </row>
    <row r="751" spans="1:32" x14ac:dyDescent="0.2">
      <c r="A751">
        <v>227</v>
      </c>
      <c r="B751" t="s">
        <v>0</v>
      </c>
      <c r="C751">
        <v>0.39</v>
      </c>
      <c r="D751">
        <v>0.28999999999999998</v>
      </c>
      <c r="E751">
        <v>0.125</v>
      </c>
      <c r="F751">
        <v>0.30549999999999999</v>
      </c>
      <c r="G751">
        <v>0.121</v>
      </c>
      <c r="H751">
        <v>8.2000000000000003E-2</v>
      </c>
      <c r="I751">
        <v>0.09</v>
      </c>
      <c r="J751">
        <v>7</v>
      </c>
      <c r="K751">
        <v>6</v>
      </c>
      <c r="L751" t="s">
        <v>39</v>
      </c>
      <c r="M751" t="s">
        <v>40</v>
      </c>
      <c r="N751" t="s">
        <v>41</v>
      </c>
      <c r="O751">
        <v>1</v>
      </c>
      <c r="P751" t="s">
        <v>4</v>
      </c>
      <c r="Q751">
        <v>22.1</v>
      </c>
      <c r="R751" t="str" cm="1">
        <f t="array" ref="R7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51" t="e">
        <f>IF(Table13[[#This Row],[Category All]]="Category 1", "Yes",NA())</f>
        <v>#N/A</v>
      </c>
      <c r="T751" t="str">
        <f>IF(Table13[[#This Row],[Category All]]="Category 2", "Yes",NA())</f>
        <v>Yes</v>
      </c>
      <c r="U751" t="e">
        <f>IF(Table13[[#This Row],[Category All]]="Category 3", "Yes",NA())</f>
        <v>#N/A</v>
      </c>
      <c r="V751">
        <f>SUM(1,(1/3)*(Table13[[#This Row],[Length]]-0.5),(1/3)*(Table13[[#This Row],[Diameter]]-0.4),(1/3)*(Table13[[#This Row],[Height]]-0.4)*Table13[[#This Row],[Whole_weight]]*0.5)</f>
        <v>0.91266458333333345</v>
      </c>
      <c r="W751" cm="1">
        <f t="array" ref="W7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0.73013166666666685</v>
      </c>
      <c r="X751" t="e">
        <f>IF(Table13[[#This Row],[Category All]]="Category 1",Table13[[#This Row],[Base Abalone Value]]*1.5,NA())</f>
        <v>#N/A</v>
      </c>
      <c r="Y751">
        <f>IF(Table13[[#This Row],[Category All]]="Category 2",Table13[[#This Row],[Base Abalone Value]]*0.8,NA())</f>
        <v>0.73013166666666685</v>
      </c>
      <c r="Z751" t="e">
        <f>IF(Table13[[#This Row],[Category All]]="Category 3",Table13[[#This Row],[Base Abalone Value]],NA())</f>
        <v>#N/A</v>
      </c>
      <c r="AA751" s="2" t="e">
        <f>IF(Table13[[#This Row],[Gender]]="M",Table13[[#This Row],[Whole_weight]],NA())</f>
        <v>#N/A</v>
      </c>
      <c r="AB751" s="2">
        <f>IF(Table13[[#This Row],[Gender]]="F",Table13[[#This Row],[Whole_weight]],NA())</f>
        <v>0.30549999999999999</v>
      </c>
      <c r="AC751" s="2" t="e">
        <f>IF(Table13[[#This Row],[Gender]]="I",Table13[[#This Row],[Whole_weight]],NA())</f>
        <v>#N/A</v>
      </c>
      <c r="AD751" s="2" t="e">
        <f>IF(Table13[[#This Row],[Gender]]="M",Table13[[#This Row],[Diameter]],NA())</f>
        <v>#N/A</v>
      </c>
      <c r="AE751" s="2">
        <f>IF(Table13[[#This Row],[Gender]]="F",Table13[[#This Row],[Diameter]],NA())</f>
        <v>0.28999999999999998</v>
      </c>
      <c r="AF751" s="2" t="e">
        <f>IF(Table13[[#This Row],[Gender]]="I",Table13[[#This Row],[Diameter]],NA())</f>
        <v>#N/A</v>
      </c>
    </row>
    <row r="752" spans="1:32" x14ac:dyDescent="0.2">
      <c r="A752">
        <v>113</v>
      </c>
      <c r="B752" t="s">
        <v>11</v>
      </c>
      <c r="C752">
        <v>0.435</v>
      </c>
      <c r="D752">
        <v>0.32</v>
      </c>
      <c r="E752">
        <v>0.08</v>
      </c>
      <c r="F752">
        <v>0.33250000000000002</v>
      </c>
      <c r="G752">
        <v>0.14849999999999999</v>
      </c>
      <c r="H752">
        <v>6.3500000000000001E-2</v>
      </c>
      <c r="I752">
        <v>0.105</v>
      </c>
      <c r="J752">
        <v>9</v>
      </c>
      <c r="K752">
        <v>7</v>
      </c>
      <c r="L752" t="s">
        <v>35</v>
      </c>
      <c r="M752" t="s">
        <v>36</v>
      </c>
      <c r="N752" t="s">
        <v>37</v>
      </c>
      <c r="O752">
        <v>9</v>
      </c>
      <c r="P752" t="s">
        <v>46</v>
      </c>
      <c r="Q752">
        <v>1.9</v>
      </c>
      <c r="R752" t="str" cm="1">
        <f t="array" ref="R7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52" t="e">
        <f>IF(Table13[[#This Row],[Category All]]="Category 1", "Yes",NA())</f>
        <v>#N/A</v>
      </c>
      <c r="T752" t="str">
        <f>IF(Table13[[#This Row],[Category All]]="Category 2", "Yes",NA())</f>
        <v>Yes</v>
      </c>
      <c r="U752" t="e">
        <f>IF(Table13[[#This Row],[Category All]]="Category 3", "Yes",NA())</f>
        <v>#N/A</v>
      </c>
      <c r="V752">
        <f>SUM(1,(1/3)*(Table13[[#This Row],[Length]]-0.5),(1/3)*(Table13[[#This Row],[Diameter]]-0.4),(1/3)*(Table13[[#This Row],[Height]]-0.4)*Table13[[#This Row],[Whole_weight]]*0.5)</f>
        <v>0.93393333333333328</v>
      </c>
      <c r="W752" cm="1">
        <f t="array" ref="W7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0.74714666666666663</v>
      </c>
      <c r="X752" t="e">
        <f>IF(Table13[[#This Row],[Category All]]="Category 1",Table13[[#This Row],[Base Abalone Value]]*1.5,NA())</f>
        <v>#N/A</v>
      </c>
      <c r="Y752">
        <f>IF(Table13[[#This Row],[Category All]]="Category 2",Table13[[#This Row],[Base Abalone Value]]*0.8,NA())</f>
        <v>0.74714666666666663</v>
      </c>
      <c r="Z752" t="e">
        <f>IF(Table13[[#This Row],[Category All]]="Category 3",Table13[[#This Row],[Base Abalone Value]],NA())</f>
        <v>#N/A</v>
      </c>
      <c r="AA752" s="2" t="e">
        <f>IF(Table13[[#This Row],[Gender]]="M",Table13[[#This Row],[Whole_weight]],NA())</f>
        <v>#N/A</v>
      </c>
      <c r="AB752" s="2" t="e">
        <f>IF(Table13[[#This Row],[Gender]]="F",Table13[[#This Row],[Whole_weight]],NA())</f>
        <v>#N/A</v>
      </c>
      <c r="AC752" s="2">
        <f>IF(Table13[[#This Row],[Gender]]="I",Table13[[#This Row],[Whole_weight]],NA())</f>
        <v>0.33250000000000002</v>
      </c>
      <c r="AD752" s="2" t="e">
        <f>IF(Table13[[#This Row],[Gender]]="M",Table13[[#This Row],[Diameter]],NA())</f>
        <v>#N/A</v>
      </c>
      <c r="AE752" s="2" t="e">
        <f>IF(Table13[[#This Row],[Gender]]="F",Table13[[#This Row],[Diameter]],NA())</f>
        <v>#N/A</v>
      </c>
      <c r="AF752" s="2">
        <f>IF(Table13[[#This Row],[Gender]]="I",Table13[[#This Row],[Diameter]],NA())</f>
        <v>0.32</v>
      </c>
    </row>
    <row r="753" spans="1:32" x14ac:dyDescent="0.2">
      <c r="A753">
        <v>645</v>
      </c>
      <c r="B753" t="s">
        <v>15</v>
      </c>
      <c r="C753">
        <v>0.45</v>
      </c>
      <c r="D753">
        <v>0.34</v>
      </c>
      <c r="E753">
        <v>0.13</v>
      </c>
      <c r="F753">
        <v>0.3715</v>
      </c>
      <c r="G753">
        <v>0.1605</v>
      </c>
      <c r="H753">
        <v>7.9500000000000001E-2</v>
      </c>
      <c r="I753">
        <v>0.105</v>
      </c>
      <c r="J753">
        <v>9</v>
      </c>
      <c r="K753">
        <v>6</v>
      </c>
      <c r="L753" t="s">
        <v>39</v>
      </c>
      <c r="M753" t="s">
        <v>40</v>
      </c>
      <c r="N753" t="s">
        <v>41</v>
      </c>
      <c r="O753">
        <v>7</v>
      </c>
      <c r="P753" t="s">
        <v>42</v>
      </c>
      <c r="Q753">
        <v>2.5</v>
      </c>
      <c r="R753" t="str" cm="1">
        <f t="array" ref="R7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53" t="e">
        <f>IF(Table13[[#This Row],[Category All]]="Category 1", "Yes",NA())</f>
        <v>#N/A</v>
      </c>
      <c r="T753" t="str">
        <f>IF(Table13[[#This Row],[Category All]]="Category 2", "Yes",NA())</f>
        <v>Yes</v>
      </c>
      <c r="U753" t="e">
        <f>IF(Table13[[#This Row],[Category All]]="Category 3", "Yes",NA())</f>
        <v>#N/A</v>
      </c>
      <c r="V753">
        <f>SUM(1,(1/3)*(Table13[[#This Row],[Length]]-0.5),(1/3)*(Table13[[#This Row],[Diameter]]-0.4),(1/3)*(Table13[[#This Row],[Height]]-0.4)*Table13[[#This Row],[Whole_weight]]*0.5)</f>
        <v>0.94661583333333332</v>
      </c>
      <c r="W753" cm="1">
        <f t="array" ref="W7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0.75729266666666673</v>
      </c>
      <c r="X753" t="e">
        <f>IF(Table13[[#This Row],[Category All]]="Category 1",Table13[[#This Row],[Base Abalone Value]]*1.5,NA())</f>
        <v>#N/A</v>
      </c>
      <c r="Y753">
        <f>IF(Table13[[#This Row],[Category All]]="Category 2",Table13[[#This Row],[Base Abalone Value]]*0.8,NA())</f>
        <v>0.75729266666666673</v>
      </c>
      <c r="Z753" t="e">
        <f>IF(Table13[[#This Row],[Category All]]="Category 3",Table13[[#This Row],[Base Abalone Value]],NA())</f>
        <v>#N/A</v>
      </c>
      <c r="AA753" s="2">
        <f>IF(Table13[[#This Row],[Gender]]="M",Table13[[#This Row],[Whole_weight]],NA())</f>
        <v>0.3715</v>
      </c>
      <c r="AB753" s="2" t="e">
        <f>IF(Table13[[#This Row],[Gender]]="F",Table13[[#This Row],[Whole_weight]],NA())</f>
        <v>#N/A</v>
      </c>
      <c r="AC753" s="2" t="e">
        <f>IF(Table13[[#This Row],[Gender]]="I",Table13[[#This Row],[Whole_weight]],NA())</f>
        <v>#N/A</v>
      </c>
      <c r="AD753" s="2">
        <f>IF(Table13[[#This Row],[Gender]]="M",Table13[[#This Row],[Diameter]],NA())</f>
        <v>0.34</v>
      </c>
      <c r="AE753" s="2" t="e">
        <f>IF(Table13[[#This Row],[Gender]]="F",Table13[[#This Row],[Diameter]],NA())</f>
        <v>#N/A</v>
      </c>
      <c r="AF753" s="2" t="e">
        <f>IF(Table13[[#This Row],[Gender]]="I",Table13[[#This Row],[Diameter]],NA())</f>
        <v>#N/A</v>
      </c>
    </row>
    <row r="754" spans="1:32" x14ac:dyDescent="0.2">
      <c r="A754">
        <v>1618</v>
      </c>
      <c r="B754" t="s">
        <v>11</v>
      </c>
      <c r="C754">
        <v>0.55500000000000005</v>
      </c>
      <c r="D754">
        <v>0.435</v>
      </c>
      <c r="E754">
        <v>0.14000000000000001</v>
      </c>
      <c r="F754">
        <v>0.76500000000000001</v>
      </c>
      <c r="G754">
        <v>0.39450000000000002</v>
      </c>
      <c r="H754">
        <v>0.15</v>
      </c>
      <c r="I754">
        <v>0.20599999999999999</v>
      </c>
      <c r="J754">
        <v>8</v>
      </c>
      <c r="K754">
        <v>5</v>
      </c>
      <c r="L754" t="s">
        <v>26</v>
      </c>
      <c r="M754" t="s">
        <v>27</v>
      </c>
      <c r="N754" t="s">
        <v>28</v>
      </c>
      <c r="O754">
        <v>3</v>
      </c>
      <c r="P754" t="s">
        <v>48</v>
      </c>
      <c r="Q754">
        <v>3.6</v>
      </c>
      <c r="R754" t="str" cm="1">
        <f t="array" ref="R7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54" t="e">
        <f>IF(Table13[[#This Row],[Category All]]="Category 1", "Yes",NA())</f>
        <v>#N/A</v>
      </c>
      <c r="T754" t="str">
        <f>IF(Table13[[#This Row],[Category All]]="Category 2", "Yes",NA())</f>
        <v>Yes</v>
      </c>
      <c r="U754" t="e">
        <f>IF(Table13[[#This Row],[Category All]]="Category 3", "Yes",NA())</f>
        <v>#N/A</v>
      </c>
      <c r="V754">
        <f>SUM(1,(1/3)*(Table13[[#This Row],[Length]]-0.5),(1/3)*(Table13[[#This Row],[Diameter]]-0.4),(1/3)*(Table13[[#This Row],[Height]]-0.4)*Table13[[#This Row],[Whole_weight]]*0.5)</f>
        <v>0.99685000000000001</v>
      </c>
      <c r="W754" cm="1">
        <f t="array" ref="W7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0.79748000000000008</v>
      </c>
      <c r="X754" t="e">
        <f>IF(Table13[[#This Row],[Category All]]="Category 1",Table13[[#This Row],[Base Abalone Value]]*1.5,NA())</f>
        <v>#N/A</v>
      </c>
      <c r="Y754">
        <f>IF(Table13[[#This Row],[Category All]]="Category 2",Table13[[#This Row],[Base Abalone Value]]*0.8,NA())</f>
        <v>0.79748000000000008</v>
      </c>
      <c r="Z754" t="e">
        <f>IF(Table13[[#This Row],[Category All]]="Category 3",Table13[[#This Row],[Base Abalone Value]],NA())</f>
        <v>#N/A</v>
      </c>
      <c r="AA754" s="2" t="e">
        <f>IF(Table13[[#This Row],[Gender]]="M",Table13[[#This Row],[Whole_weight]],NA())</f>
        <v>#N/A</v>
      </c>
      <c r="AB754" s="2" t="e">
        <f>IF(Table13[[#This Row],[Gender]]="F",Table13[[#This Row],[Whole_weight]],NA())</f>
        <v>#N/A</v>
      </c>
      <c r="AC754" s="2">
        <f>IF(Table13[[#This Row],[Gender]]="I",Table13[[#This Row],[Whole_weight]],NA())</f>
        <v>0.76500000000000001</v>
      </c>
      <c r="AD754" s="2" t="e">
        <f>IF(Table13[[#This Row],[Gender]]="M",Table13[[#This Row],[Diameter]],NA())</f>
        <v>#N/A</v>
      </c>
      <c r="AE754" s="2" t="e">
        <f>IF(Table13[[#This Row],[Gender]]="F",Table13[[#This Row],[Diameter]],NA())</f>
        <v>#N/A</v>
      </c>
      <c r="AF754" s="2">
        <f>IF(Table13[[#This Row],[Gender]]="I",Table13[[#This Row],[Diameter]],NA())</f>
        <v>0.435</v>
      </c>
    </row>
    <row r="755" spans="1:32" x14ac:dyDescent="0.2">
      <c r="A755">
        <v>4173</v>
      </c>
      <c r="B755" t="s">
        <v>0</v>
      </c>
      <c r="C755">
        <v>0.56499999999999995</v>
      </c>
      <c r="D755">
        <v>0.45</v>
      </c>
      <c r="E755">
        <v>0.16500000000000001</v>
      </c>
      <c r="F755">
        <v>0.88700000000000001</v>
      </c>
      <c r="G755">
        <v>0.37</v>
      </c>
      <c r="H755">
        <v>0.23899999999999999</v>
      </c>
      <c r="I755">
        <v>0.249</v>
      </c>
      <c r="J755">
        <v>11</v>
      </c>
      <c r="K755">
        <v>15</v>
      </c>
      <c r="L755" t="s">
        <v>49</v>
      </c>
      <c r="M755" t="s">
        <v>50</v>
      </c>
      <c r="N755" t="s">
        <v>3</v>
      </c>
      <c r="O755">
        <v>6</v>
      </c>
      <c r="P755" t="s">
        <v>47</v>
      </c>
      <c r="Q755">
        <v>14.1</v>
      </c>
      <c r="R755" t="str" cm="1">
        <f t="array" ref="R7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55" t="e">
        <f>IF(Table13[[#This Row],[Category All]]="Category 1", "Yes",NA())</f>
        <v>#N/A</v>
      </c>
      <c r="T755" t="str">
        <f>IF(Table13[[#This Row],[Category All]]="Category 2", "Yes",NA())</f>
        <v>Yes</v>
      </c>
      <c r="U755" t="e">
        <f>IF(Table13[[#This Row],[Category All]]="Category 3", "Yes",NA())</f>
        <v>#N/A</v>
      </c>
      <c r="V755">
        <f>SUM(1,(1/3)*(Table13[[#This Row],[Length]]-0.5),(1/3)*(Table13[[#This Row],[Diameter]]-0.4),(1/3)*(Table13[[#This Row],[Height]]-0.4)*Table13[[#This Row],[Whole_weight]]*0.5)</f>
        <v>1.0035924999999999</v>
      </c>
      <c r="W755" cm="1">
        <f t="array" ref="W7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0.80287399999999998</v>
      </c>
      <c r="X755" t="e">
        <f>IF(Table13[[#This Row],[Category All]]="Category 1",Table13[[#This Row],[Base Abalone Value]]*1.5,NA())</f>
        <v>#N/A</v>
      </c>
      <c r="Y755">
        <f>IF(Table13[[#This Row],[Category All]]="Category 2",Table13[[#This Row],[Base Abalone Value]]*0.8,NA())</f>
        <v>0.80287399999999998</v>
      </c>
      <c r="Z755" t="e">
        <f>IF(Table13[[#This Row],[Category All]]="Category 3",Table13[[#This Row],[Base Abalone Value]],NA())</f>
        <v>#N/A</v>
      </c>
      <c r="AA755" s="2" t="e">
        <f>IF(Table13[[#This Row],[Gender]]="M",Table13[[#This Row],[Whole_weight]],NA())</f>
        <v>#N/A</v>
      </c>
      <c r="AB755" s="2">
        <f>IF(Table13[[#This Row],[Gender]]="F",Table13[[#This Row],[Whole_weight]],NA())</f>
        <v>0.88700000000000001</v>
      </c>
      <c r="AC755" s="2" t="e">
        <f>IF(Table13[[#This Row],[Gender]]="I",Table13[[#This Row],[Whole_weight]],NA())</f>
        <v>#N/A</v>
      </c>
      <c r="AD755" s="2" t="e">
        <f>IF(Table13[[#This Row],[Gender]]="M",Table13[[#This Row],[Diameter]],NA())</f>
        <v>#N/A</v>
      </c>
      <c r="AE755" s="2">
        <f>IF(Table13[[#This Row],[Gender]]="F",Table13[[#This Row],[Diameter]],NA())</f>
        <v>0.45</v>
      </c>
      <c r="AF755" s="2" t="e">
        <f>IF(Table13[[#This Row],[Gender]]="I",Table13[[#This Row],[Diameter]],NA())</f>
        <v>#N/A</v>
      </c>
    </row>
    <row r="756" spans="1:32" x14ac:dyDescent="0.2">
      <c r="A756">
        <v>275</v>
      </c>
      <c r="B756" t="s">
        <v>15</v>
      </c>
      <c r="C756">
        <v>0.63</v>
      </c>
      <c r="D756">
        <v>0.51500000000000001</v>
      </c>
      <c r="E756">
        <v>0.155</v>
      </c>
      <c r="F756">
        <v>1.2589999999999999</v>
      </c>
      <c r="G756">
        <v>0.41049999999999998</v>
      </c>
      <c r="H756">
        <v>0.19700000000000001</v>
      </c>
      <c r="I756">
        <v>0.41</v>
      </c>
      <c r="J756">
        <v>13</v>
      </c>
      <c r="K756">
        <v>1</v>
      </c>
      <c r="L756" t="s">
        <v>8</v>
      </c>
      <c r="M756" t="s">
        <v>9</v>
      </c>
      <c r="N756" t="s">
        <v>3</v>
      </c>
      <c r="O756">
        <v>8</v>
      </c>
      <c r="P756" t="s">
        <v>19</v>
      </c>
      <c r="Q756">
        <v>12.3</v>
      </c>
      <c r="R756" t="str" cm="1">
        <f t="array" ref="R7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56" t="e">
        <f>IF(Table13[[#This Row],[Category All]]="Category 1", "Yes",NA())</f>
        <v>#N/A</v>
      </c>
      <c r="T756" t="e">
        <f>IF(Table13[[#This Row],[Category All]]="Category 2", "Yes",NA())</f>
        <v>#N/A</v>
      </c>
      <c r="U756" t="str">
        <f>IF(Table13[[#This Row],[Category All]]="Category 3", "Yes",NA())</f>
        <v>Yes</v>
      </c>
      <c r="V756">
        <f>SUM(1,(1/3)*(Table13[[#This Row],[Length]]-0.5),(1/3)*(Table13[[#This Row],[Diameter]]-0.4),(1/3)*(Table13[[#This Row],[Height]]-0.4)*Table13[[#This Row],[Whole_weight]]*0.5)</f>
        <v>1.0302575</v>
      </c>
      <c r="W756" cm="1">
        <f t="array" ref="W7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1.0302575</v>
      </c>
      <c r="X756" t="e">
        <f>IF(Table13[[#This Row],[Category All]]="Category 1",Table13[[#This Row],[Base Abalone Value]]*1.5,NA())</f>
        <v>#N/A</v>
      </c>
      <c r="Y756" t="e">
        <f>IF(Table13[[#This Row],[Category All]]="Category 2",Table13[[#This Row],[Base Abalone Value]]*0.8,NA())</f>
        <v>#N/A</v>
      </c>
      <c r="Z756">
        <f>IF(Table13[[#This Row],[Category All]]="Category 3",Table13[[#This Row],[Base Abalone Value]],NA())</f>
        <v>1.0302575</v>
      </c>
      <c r="AA756" s="2">
        <f>IF(Table13[[#This Row],[Gender]]="M",Table13[[#This Row],[Whole_weight]],NA())</f>
        <v>1.2589999999999999</v>
      </c>
      <c r="AB756" s="2" t="e">
        <f>IF(Table13[[#This Row],[Gender]]="F",Table13[[#This Row],[Whole_weight]],NA())</f>
        <v>#N/A</v>
      </c>
      <c r="AC756" s="2" t="e">
        <f>IF(Table13[[#This Row],[Gender]]="I",Table13[[#This Row],[Whole_weight]],NA())</f>
        <v>#N/A</v>
      </c>
      <c r="AD756" s="2">
        <f>IF(Table13[[#This Row],[Gender]]="M",Table13[[#This Row],[Diameter]],NA())</f>
        <v>0.51500000000000001</v>
      </c>
      <c r="AE756" s="2" t="e">
        <f>IF(Table13[[#This Row],[Gender]]="F",Table13[[#This Row],[Diameter]],NA())</f>
        <v>#N/A</v>
      </c>
      <c r="AF756" s="2" t="e">
        <f>IF(Table13[[#This Row],[Gender]]="I",Table13[[#This Row],[Diameter]],NA())</f>
        <v>#N/A</v>
      </c>
    </row>
    <row r="757" spans="1:32" x14ac:dyDescent="0.2">
      <c r="A757">
        <v>178</v>
      </c>
      <c r="B757" t="s">
        <v>11</v>
      </c>
      <c r="C757">
        <v>0.315</v>
      </c>
      <c r="D757">
        <v>0.245</v>
      </c>
      <c r="E757">
        <v>8.5000000000000006E-2</v>
      </c>
      <c r="F757">
        <v>0.14349999999999999</v>
      </c>
      <c r="G757">
        <v>5.2999999999999999E-2</v>
      </c>
      <c r="H757">
        <v>4.7500000000000001E-2</v>
      </c>
      <c r="I757">
        <v>0.05</v>
      </c>
      <c r="J757">
        <v>8</v>
      </c>
      <c r="K757">
        <v>5</v>
      </c>
      <c r="L757" t="s">
        <v>26</v>
      </c>
      <c r="M757" t="s">
        <v>27</v>
      </c>
      <c r="N757" t="s">
        <v>28</v>
      </c>
      <c r="O757">
        <v>10</v>
      </c>
      <c r="P757" t="s">
        <v>38</v>
      </c>
      <c r="Q757">
        <v>24.1</v>
      </c>
      <c r="R757" t="str" cm="1">
        <f t="array" ref="R7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57" t="e">
        <f>IF(Table13[[#This Row],[Category All]]="Category 1", "Yes",NA())</f>
        <v>#N/A</v>
      </c>
      <c r="T757" t="str">
        <f>IF(Table13[[#This Row],[Category All]]="Category 2", "Yes",NA())</f>
        <v>Yes</v>
      </c>
      <c r="U757" t="e">
        <f>IF(Table13[[#This Row],[Category All]]="Category 3", "Yes",NA())</f>
        <v>#N/A</v>
      </c>
      <c r="V757">
        <f>SUM(1,(1/3)*(Table13[[#This Row],[Length]]-0.5),(1/3)*(Table13[[#This Row],[Diameter]]-0.4),(1/3)*(Table13[[#This Row],[Height]]-0.4)*Table13[[#This Row],[Whole_weight]]*0.5)</f>
        <v>0.87913291666666671</v>
      </c>
      <c r="W757" cm="1">
        <f t="array" ref="W7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0.70330633333333337</v>
      </c>
      <c r="X757" t="e">
        <f>IF(Table13[[#This Row],[Category All]]="Category 1",Table13[[#This Row],[Base Abalone Value]]*1.5,NA())</f>
        <v>#N/A</v>
      </c>
      <c r="Y757">
        <f>IF(Table13[[#This Row],[Category All]]="Category 2",Table13[[#This Row],[Base Abalone Value]]*0.8,NA())</f>
        <v>0.70330633333333337</v>
      </c>
      <c r="Z757" t="e">
        <f>IF(Table13[[#This Row],[Category All]]="Category 3",Table13[[#This Row],[Base Abalone Value]],NA())</f>
        <v>#N/A</v>
      </c>
      <c r="AA757" s="2" t="e">
        <f>IF(Table13[[#This Row],[Gender]]="M",Table13[[#This Row],[Whole_weight]],NA())</f>
        <v>#N/A</v>
      </c>
      <c r="AB757" s="2" t="e">
        <f>IF(Table13[[#This Row],[Gender]]="F",Table13[[#This Row],[Whole_weight]],NA())</f>
        <v>#N/A</v>
      </c>
      <c r="AC757" s="2">
        <f>IF(Table13[[#This Row],[Gender]]="I",Table13[[#This Row],[Whole_weight]],NA())</f>
        <v>0.14349999999999999</v>
      </c>
      <c r="AD757" s="2" t="e">
        <f>IF(Table13[[#This Row],[Gender]]="M",Table13[[#This Row],[Diameter]],NA())</f>
        <v>#N/A</v>
      </c>
      <c r="AE757" s="2" t="e">
        <f>IF(Table13[[#This Row],[Gender]]="F",Table13[[#This Row],[Diameter]],NA())</f>
        <v>#N/A</v>
      </c>
      <c r="AF757" s="2">
        <f>IF(Table13[[#This Row],[Gender]]="I",Table13[[#This Row],[Diameter]],NA())</f>
        <v>0.245</v>
      </c>
    </row>
    <row r="758" spans="1:32" x14ac:dyDescent="0.2">
      <c r="A758">
        <v>3998</v>
      </c>
      <c r="B758" t="s">
        <v>11</v>
      </c>
      <c r="C758">
        <v>0.36</v>
      </c>
      <c r="D758">
        <v>0.27</v>
      </c>
      <c r="E758">
        <v>0.09</v>
      </c>
      <c r="F758">
        <v>0.20749999999999999</v>
      </c>
      <c r="G758">
        <v>9.8000000000000004E-2</v>
      </c>
      <c r="H758">
        <v>3.9E-2</v>
      </c>
      <c r="I758">
        <v>6.2E-2</v>
      </c>
      <c r="J758">
        <v>6</v>
      </c>
      <c r="K758">
        <v>12</v>
      </c>
      <c r="L758" t="s">
        <v>1</v>
      </c>
      <c r="M758" t="s">
        <v>2</v>
      </c>
      <c r="N758" t="s">
        <v>3</v>
      </c>
      <c r="O758">
        <v>6</v>
      </c>
      <c r="P758" t="s">
        <v>47</v>
      </c>
      <c r="Q758">
        <v>14.1</v>
      </c>
      <c r="R758" t="str" cm="1">
        <f t="array" ref="R7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58" t="e">
        <f>IF(Table13[[#This Row],[Category All]]="Category 1", "Yes",NA())</f>
        <v>#N/A</v>
      </c>
      <c r="T758" t="str">
        <f>IF(Table13[[#This Row],[Category All]]="Category 2", "Yes",NA())</f>
        <v>Yes</v>
      </c>
      <c r="U758" t="e">
        <f>IF(Table13[[#This Row],[Category All]]="Category 3", "Yes",NA())</f>
        <v>#N/A</v>
      </c>
      <c r="V758">
        <f>SUM(1,(1/3)*(Table13[[#This Row],[Length]]-0.5),(1/3)*(Table13[[#This Row],[Diameter]]-0.4),(1/3)*(Table13[[#This Row],[Height]]-0.4)*Table13[[#This Row],[Whole_weight]]*0.5)</f>
        <v>0.89927916666666674</v>
      </c>
      <c r="W758" cm="1">
        <f t="array" ref="W7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0.71942333333333341</v>
      </c>
      <c r="X758" t="e">
        <f>IF(Table13[[#This Row],[Category All]]="Category 1",Table13[[#This Row],[Base Abalone Value]]*1.5,NA())</f>
        <v>#N/A</v>
      </c>
      <c r="Y758">
        <f>IF(Table13[[#This Row],[Category All]]="Category 2",Table13[[#This Row],[Base Abalone Value]]*0.8,NA())</f>
        <v>0.71942333333333341</v>
      </c>
      <c r="Z758" t="e">
        <f>IF(Table13[[#This Row],[Category All]]="Category 3",Table13[[#This Row],[Base Abalone Value]],NA())</f>
        <v>#N/A</v>
      </c>
      <c r="AA758" s="2" t="e">
        <f>IF(Table13[[#This Row],[Gender]]="M",Table13[[#This Row],[Whole_weight]],NA())</f>
        <v>#N/A</v>
      </c>
      <c r="AB758" s="2" t="e">
        <f>IF(Table13[[#This Row],[Gender]]="F",Table13[[#This Row],[Whole_weight]],NA())</f>
        <v>#N/A</v>
      </c>
      <c r="AC758" s="2">
        <f>IF(Table13[[#This Row],[Gender]]="I",Table13[[#This Row],[Whole_weight]],NA())</f>
        <v>0.20749999999999999</v>
      </c>
      <c r="AD758" s="2" t="e">
        <f>IF(Table13[[#This Row],[Gender]]="M",Table13[[#This Row],[Diameter]],NA())</f>
        <v>#N/A</v>
      </c>
      <c r="AE758" s="2" t="e">
        <f>IF(Table13[[#This Row],[Gender]]="F",Table13[[#This Row],[Diameter]],NA())</f>
        <v>#N/A</v>
      </c>
      <c r="AF758" s="2">
        <f>IF(Table13[[#This Row],[Gender]]="I",Table13[[#This Row],[Diameter]],NA())</f>
        <v>0.27</v>
      </c>
    </row>
    <row r="759" spans="1:32" x14ac:dyDescent="0.2">
      <c r="A759">
        <v>2952</v>
      </c>
      <c r="B759" t="s">
        <v>15</v>
      </c>
      <c r="C759">
        <v>0.64</v>
      </c>
      <c r="D759">
        <v>0.57499999999999996</v>
      </c>
      <c r="E759">
        <v>0.17499999999999999</v>
      </c>
      <c r="F759">
        <v>1.4584999999999999</v>
      </c>
      <c r="G759">
        <v>0.625</v>
      </c>
      <c r="H759">
        <v>0.26600000000000001</v>
      </c>
      <c r="I759">
        <v>0.4395</v>
      </c>
      <c r="J759">
        <v>11</v>
      </c>
      <c r="K759">
        <v>12</v>
      </c>
      <c r="L759" t="s">
        <v>1</v>
      </c>
      <c r="M759" t="s">
        <v>2</v>
      </c>
      <c r="N759" t="s">
        <v>3</v>
      </c>
      <c r="O759">
        <v>9</v>
      </c>
      <c r="P759" t="s">
        <v>46</v>
      </c>
      <c r="Q759">
        <v>1.9</v>
      </c>
      <c r="R759" t="str" cm="1">
        <f t="array" ref="R7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59" t="e">
        <f>IF(Table13[[#This Row],[Category All]]="Category 1", "Yes",NA())</f>
        <v>#N/A</v>
      </c>
      <c r="T759" t="e">
        <f>IF(Table13[[#This Row],[Category All]]="Category 2", "Yes",NA())</f>
        <v>#N/A</v>
      </c>
      <c r="U759" t="str">
        <f>IF(Table13[[#This Row],[Category All]]="Category 3", "Yes",NA())</f>
        <v>Yes</v>
      </c>
      <c r="V759">
        <f>SUM(1,(1/3)*(Table13[[#This Row],[Length]]-0.5),(1/3)*(Table13[[#This Row],[Diameter]]-0.4),(1/3)*(Table13[[#This Row],[Height]]-0.4)*Table13[[#This Row],[Whole_weight]]*0.5)</f>
        <v>1.05030625</v>
      </c>
      <c r="W759" cm="1">
        <f t="array" ref="W7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1.05030625</v>
      </c>
      <c r="X759" t="e">
        <f>IF(Table13[[#This Row],[Category All]]="Category 1",Table13[[#This Row],[Base Abalone Value]]*1.5,NA())</f>
        <v>#N/A</v>
      </c>
      <c r="Y759" t="e">
        <f>IF(Table13[[#This Row],[Category All]]="Category 2",Table13[[#This Row],[Base Abalone Value]]*0.8,NA())</f>
        <v>#N/A</v>
      </c>
      <c r="Z759">
        <f>IF(Table13[[#This Row],[Category All]]="Category 3",Table13[[#This Row],[Base Abalone Value]],NA())</f>
        <v>1.05030625</v>
      </c>
      <c r="AA759" s="2">
        <f>IF(Table13[[#This Row],[Gender]]="M",Table13[[#This Row],[Whole_weight]],NA())</f>
        <v>1.4584999999999999</v>
      </c>
      <c r="AB759" s="2" t="e">
        <f>IF(Table13[[#This Row],[Gender]]="F",Table13[[#This Row],[Whole_weight]],NA())</f>
        <v>#N/A</v>
      </c>
      <c r="AC759" s="2" t="e">
        <f>IF(Table13[[#This Row],[Gender]]="I",Table13[[#This Row],[Whole_weight]],NA())</f>
        <v>#N/A</v>
      </c>
      <c r="AD759" s="2">
        <f>IF(Table13[[#This Row],[Gender]]="M",Table13[[#This Row],[Diameter]],NA())</f>
        <v>0.57499999999999996</v>
      </c>
      <c r="AE759" s="2" t="e">
        <f>IF(Table13[[#This Row],[Gender]]="F",Table13[[#This Row],[Diameter]],NA())</f>
        <v>#N/A</v>
      </c>
      <c r="AF759" s="2" t="e">
        <f>IF(Table13[[#This Row],[Gender]]="I",Table13[[#This Row],[Diameter]],NA())</f>
        <v>#N/A</v>
      </c>
    </row>
    <row r="760" spans="1:32" x14ac:dyDescent="0.2">
      <c r="A760">
        <v>1569</v>
      </c>
      <c r="B760" t="s">
        <v>11</v>
      </c>
      <c r="C760">
        <v>0.47</v>
      </c>
      <c r="D760">
        <v>0.35499999999999998</v>
      </c>
      <c r="E760">
        <v>0.125</v>
      </c>
      <c r="F760">
        <v>0.499</v>
      </c>
      <c r="G760">
        <v>0.21</v>
      </c>
      <c r="H760">
        <v>9.8500000000000004E-2</v>
      </c>
      <c r="I760">
        <v>0.155</v>
      </c>
      <c r="J760">
        <v>8</v>
      </c>
      <c r="K760">
        <v>13</v>
      </c>
      <c r="L760" t="s">
        <v>12</v>
      </c>
      <c r="M760" t="s">
        <v>13</v>
      </c>
      <c r="N760" t="s">
        <v>3</v>
      </c>
      <c r="O760">
        <v>6</v>
      </c>
      <c r="P760" t="s">
        <v>47</v>
      </c>
      <c r="Q760">
        <v>14.1</v>
      </c>
      <c r="R760" t="str" cm="1">
        <f t="array" ref="R7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0" t="e">
        <f>IF(Table13[[#This Row],[Category All]]="Category 1", "Yes",NA())</f>
        <v>#N/A</v>
      </c>
      <c r="T760" t="str">
        <f>IF(Table13[[#This Row],[Category All]]="Category 2", "Yes",NA())</f>
        <v>Yes</v>
      </c>
      <c r="U760" t="e">
        <f>IF(Table13[[#This Row],[Category All]]="Category 3", "Yes",NA())</f>
        <v>#N/A</v>
      </c>
      <c r="V760">
        <f>SUM(1,(1/3)*(Table13[[#This Row],[Length]]-0.5),(1/3)*(Table13[[#This Row],[Diameter]]-0.4),(1/3)*(Table13[[#This Row],[Height]]-0.4)*Table13[[#This Row],[Whole_weight]]*0.5)</f>
        <v>0.95212916666666669</v>
      </c>
      <c r="W760" cm="1">
        <f t="array" ref="W7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0.7617033333333334</v>
      </c>
      <c r="X760" t="e">
        <f>IF(Table13[[#This Row],[Category All]]="Category 1",Table13[[#This Row],[Base Abalone Value]]*1.5,NA())</f>
        <v>#N/A</v>
      </c>
      <c r="Y760">
        <f>IF(Table13[[#This Row],[Category All]]="Category 2",Table13[[#This Row],[Base Abalone Value]]*0.8,NA())</f>
        <v>0.7617033333333334</v>
      </c>
      <c r="Z760" t="e">
        <f>IF(Table13[[#This Row],[Category All]]="Category 3",Table13[[#This Row],[Base Abalone Value]],NA())</f>
        <v>#N/A</v>
      </c>
      <c r="AA760" s="2" t="e">
        <f>IF(Table13[[#This Row],[Gender]]="M",Table13[[#This Row],[Whole_weight]],NA())</f>
        <v>#N/A</v>
      </c>
      <c r="AB760" s="2" t="e">
        <f>IF(Table13[[#This Row],[Gender]]="F",Table13[[#This Row],[Whole_weight]],NA())</f>
        <v>#N/A</v>
      </c>
      <c r="AC760" s="2">
        <f>IF(Table13[[#This Row],[Gender]]="I",Table13[[#This Row],[Whole_weight]],NA())</f>
        <v>0.499</v>
      </c>
      <c r="AD760" s="2" t="e">
        <f>IF(Table13[[#This Row],[Gender]]="M",Table13[[#This Row],[Diameter]],NA())</f>
        <v>#N/A</v>
      </c>
      <c r="AE760" s="2" t="e">
        <f>IF(Table13[[#This Row],[Gender]]="F",Table13[[#This Row],[Diameter]],NA())</f>
        <v>#N/A</v>
      </c>
      <c r="AF760" s="2">
        <f>IF(Table13[[#This Row],[Gender]]="I",Table13[[#This Row],[Diameter]],NA())</f>
        <v>0.35499999999999998</v>
      </c>
    </row>
    <row r="761" spans="1:32" x14ac:dyDescent="0.2">
      <c r="A761">
        <v>1617</v>
      </c>
      <c r="B761" t="s">
        <v>11</v>
      </c>
      <c r="C761">
        <v>0.55500000000000005</v>
      </c>
      <c r="D761">
        <v>0.39500000000000002</v>
      </c>
      <c r="E761">
        <v>0.13</v>
      </c>
      <c r="F761">
        <v>0.5585</v>
      </c>
      <c r="G761">
        <v>0.222</v>
      </c>
      <c r="H761">
        <v>0.1245</v>
      </c>
      <c r="I761">
        <v>0.17</v>
      </c>
      <c r="J761">
        <v>9</v>
      </c>
      <c r="K761">
        <v>10</v>
      </c>
      <c r="L761" t="s">
        <v>16</v>
      </c>
      <c r="M761" t="s">
        <v>17</v>
      </c>
      <c r="N761" t="s">
        <v>18</v>
      </c>
      <c r="O761">
        <v>9</v>
      </c>
      <c r="P761" t="s">
        <v>46</v>
      </c>
      <c r="Q761">
        <v>1.9</v>
      </c>
      <c r="R761" t="str" cm="1">
        <f t="array" ref="R7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1" t="e">
        <f>IF(Table13[[#This Row],[Category All]]="Category 1", "Yes",NA())</f>
        <v>#N/A</v>
      </c>
      <c r="T761" t="str">
        <f>IF(Table13[[#This Row],[Category All]]="Category 2", "Yes",NA())</f>
        <v>Yes</v>
      </c>
      <c r="U761" t="e">
        <f>IF(Table13[[#This Row],[Category All]]="Category 3", "Yes",NA())</f>
        <v>#N/A</v>
      </c>
      <c r="V761">
        <f>SUM(1,(1/3)*(Table13[[#This Row],[Length]]-0.5),(1/3)*(Table13[[#This Row],[Diameter]]-0.4),(1/3)*(Table13[[#This Row],[Height]]-0.4)*Table13[[#This Row],[Whole_weight]]*0.5)</f>
        <v>0.99153416666666661</v>
      </c>
      <c r="W761" cm="1">
        <f t="array" ref="W7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0.79322733333333328</v>
      </c>
      <c r="X761" t="e">
        <f>IF(Table13[[#This Row],[Category All]]="Category 1",Table13[[#This Row],[Base Abalone Value]]*1.5,NA())</f>
        <v>#N/A</v>
      </c>
      <c r="Y761">
        <f>IF(Table13[[#This Row],[Category All]]="Category 2",Table13[[#This Row],[Base Abalone Value]]*0.8,NA())</f>
        <v>0.79322733333333328</v>
      </c>
      <c r="Z761" t="e">
        <f>IF(Table13[[#This Row],[Category All]]="Category 3",Table13[[#This Row],[Base Abalone Value]],NA())</f>
        <v>#N/A</v>
      </c>
      <c r="AA761" s="2" t="e">
        <f>IF(Table13[[#This Row],[Gender]]="M",Table13[[#This Row],[Whole_weight]],NA())</f>
        <v>#N/A</v>
      </c>
      <c r="AB761" s="2" t="e">
        <f>IF(Table13[[#This Row],[Gender]]="F",Table13[[#This Row],[Whole_weight]],NA())</f>
        <v>#N/A</v>
      </c>
      <c r="AC761" s="2">
        <f>IF(Table13[[#This Row],[Gender]]="I",Table13[[#This Row],[Whole_weight]],NA())</f>
        <v>0.5585</v>
      </c>
      <c r="AD761" s="2" t="e">
        <f>IF(Table13[[#This Row],[Gender]]="M",Table13[[#This Row],[Diameter]],NA())</f>
        <v>#N/A</v>
      </c>
      <c r="AE761" s="2" t="e">
        <f>IF(Table13[[#This Row],[Gender]]="F",Table13[[#This Row],[Diameter]],NA())</f>
        <v>#N/A</v>
      </c>
      <c r="AF761" s="2">
        <f>IF(Table13[[#This Row],[Gender]]="I",Table13[[#This Row],[Diameter]],NA())</f>
        <v>0.39500000000000002</v>
      </c>
    </row>
    <row r="762" spans="1:32" x14ac:dyDescent="0.2">
      <c r="A762">
        <v>421</v>
      </c>
      <c r="B762" t="s">
        <v>0</v>
      </c>
      <c r="C762">
        <v>0.67</v>
      </c>
      <c r="D762">
        <v>0.54</v>
      </c>
      <c r="E762">
        <v>0.16500000000000001</v>
      </c>
      <c r="F762">
        <v>1.5015000000000001</v>
      </c>
      <c r="G762">
        <v>0.51800000000000002</v>
      </c>
      <c r="H762">
        <v>0.35799999999999998</v>
      </c>
      <c r="I762">
        <v>0.505</v>
      </c>
      <c r="J762">
        <v>14</v>
      </c>
      <c r="K762">
        <v>9</v>
      </c>
      <c r="L762" t="s">
        <v>20</v>
      </c>
      <c r="M762" t="s">
        <v>21</v>
      </c>
      <c r="N762" t="s">
        <v>22</v>
      </c>
      <c r="O762">
        <v>4</v>
      </c>
      <c r="P762" t="s">
        <v>10</v>
      </c>
      <c r="Q762">
        <v>6.1</v>
      </c>
      <c r="R762" t="str" cm="1">
        <f t="array" ref="R7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62" t="e">
        <f>IF(Table13[[#This Row],[Category All]]="Category 1", "Yes",NA())</f>
        <v>#N/A</v>
      </c>
      <c r="T762" t="e">
        <f>IF(Table13[[#This Row],[Category All]]="Category 2", "Yes",NA())</f>
        <v>#N/A</v>
      </c>
      <c r="U762" t="str">
        <f>IF(Table13[[#This Row],[Category All]]="Category 3", "Yes",NA())</f>
        <v>Yes</v>
      </c>
      <c r="V762">
        <f>SUM(1,(1/3)*(Table13[[#This Row],[Length]]-0.5),(1/3)*(Table13[[#This Row],[Diameter]]-0.4),(1/3)*(Table13[[#This Row],[Height]]-0.4)*Table13[[#This Row],[Whole_weight]]*0.5)</f>
        <v>1.0445245833333332</v>
      </c>
      <c r="W762" cm="1">
        <f t="array" ref="W7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1.0445245833333332</v>
      </c>
      <c r="X762" t="e">
        <f>IF(Table13[[#This Row],[Category All]]="Category 1",Table13[[#This Row],[Base Abalone Value]]*1.5,NA())</f>
        <v>#N/A</v>
      </c>
      <c r="Y762" t="e">
        <f>IF(Table13[[#This Row],[Category All]]="Category 2",Table13[[#This Row],[Base Abalone Value]]*0.8,NA())</f>
        <v>#N/A</v>
      </c>
      <c r="Z762">
        <f>IF(Table13[[#This Row],[Category All]]="Category 3",Table13[[#This Row],[Base Abalone Value]],NA())</f>
        <v>1.0445245833333332</v>
      </c>
      <c r="AA762" s="2" t="e">
        <f>IF(Table13[[#This Row],[Gender]]="M",Table13[[#This Row],[Whole_weight]],NA())</f>
        <v>#N/A</v>
      </c>
      <c r="AB762" s="2">
        <f>IF(Table13[[#This Row],[Gender]]="F",Table13[[#This Row],[Whole_weight]],NA())</f>
        <v>1.5015000000000001</v>
      </c>
      <c r="AC762" s="2" t="e">
        <f>IF(Table13[[#This Row],[Gender]]="I",Table13[[#This Row],[Whole_weight]],NA())</f>
        <v>#N/A</v>
      </c>
      <c r="AD762" s="2" t="e">
        <f>IF(Table13[[#This Row],[Gender]]="M",Table13[[#This Row],[Diameter]],NA())</f>
        <v>#N/A</v>
      </c>
      <c r="AE762" s="2">
        <f>IF(Table13[[#This Row],[Gender]]="F",Table13[[#This Row],[Diameter]],NA())</f>
        <v>0.54</v>
      </c>
      <c r="AF762" s="2" t="e">
        <f>IF(Table13[[#This Row],[Gender]]="I",Table13[[#This Row],[Diameter]],NA())</f>
        <v>#N/A</v>
      </c>
    </row>
    <row r="763" spans="1:32" x14ac:dyDescent="0.2">
      <c r="A763">
        <v>2920</v>
      </c>
      <c r="B763" t="s">
        <v>0</v>
      </c>
      <c r="C763">
        <v>0.6</v>
      </c>
      <c r="D763">
        <v>0.48</v>
      </c>
      <c r="E763">
        <v>0.17</v>
      </c>
      <c r="F763">
        <v>1.056</v>
      </c>
      <c r="G763">
        <v>0.45750000000000002</v>
      </c>
      <c r="H763">
        <v>0.24349999999999999</v>
      </c>
      <c r="I763">
        <v>0.3135</v>
      </c>
      <c r="J763">
        <v>10</v>
      </c>
      <c r="K763">
        <v>12</v>
      </c>
      <c r="L763" t="s">
        <v>1</v>
      </c>
      <c r="M763" t="s">
        <v>2</v>
      </c>
      <c r="N763" t="s">
        <v>3</v>
      </c>
      <c r="O763">
        <v>10</v>
      </c>
      <c r="P763" t="s">
        <v>38</v>
      </c>
      <c r="Q763">
        <v>24.1</v>
      </c>
      <c r="R763" t="str" cm="1">
        <f t="array" ref="R7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63" t="e">
        <f>IF(Table13[[#This Row],[Category All]]="Category 1", "Yes",NA())</f>
        <v>#N/A</v>
      </c>
      <c r="T763" t="e">
        <f>IF(Table13[[#This Row],[Category All]]="Category 2", "Yes",NA())</f>
        <v>#N/A</v>
      </c>
      <c r="U763" t="str">
        <f>IF(Table13[[#This Row],[Category All]]="Category 3", "Yes",NA())</f>
        <v>Yes</v>
      </c>
      <c r="V763">
        <f>SUM(1,(1/3)*(Table13[[#This Row],[Length]]-0.5),(1/3)*(Table13[[#This Row],[Diameter]]-0.4),(1/3)*(Table13[[#This Row],[Height]]-0.4)*Table13[[#This Row],[Whole_weight]]*0.5)</f>
        <v>1.0195199999999998</v>
      </c>
      <c r="W763" cm="1">
        <f t="array" ref="W7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1.0195199999999998</v>
      </c>
      <c r="X763" t="e">
        <f>IF(Table13[[#This Row],[Category All]]="Category 1",Table13[[#This Row],[Base Abalone Value]]*1.5,NA())</f>
        <v>#N/A</v>
      </c>
      <c r="Y763" t="e">
        <f>IF(Table13[[#This Row],[Category All]]="Category 2",Table13[[#This Row],[Base Abalone Value]]*0.8,NA())</f>
        <v>#N/A</v>
      </c>
      <c r="Z763">
        <f>IF(Table13[[#This Row],[Category All]]="Category 3",Table13[[#This Row],[Base Abalone Value]],NA())</f>
        <v>1.0195199999999998</v>
      </c>
      <c r="AA763" s="2" t="e">
        <f>IF(Table13[[#This Row],[Gender]]="M",Table13[[#This Row],[Whole_weight]],NA())</f>
        <v>#N/A</v>
      </c>
      <c r="AB763" s="2">
        <f>IF(Table13[[#This Row],[Gender]]="F",Table13[[#This Row],[Whole_weight]],NA())</f>
        <v>1.056</v>
      </c>
      <c r="AC763" s="2" t="e">
        <f>IF(Table13[[#This Row],[Gender]]="I",Table13[[#This Row],[Whole_weight]],NA())</f>
        <v>#N/A</v>
      </c>
      <c r="AD763" s="2" t="e">
        <f>IF(Table13[[#This Row],[Gender]]="M",Table13[[#This Row],[Diameter]],NA())</f>
        <v>#N/A</v>
      </c>
      <c r="AE763" s="2">
        <f>IF(Table13[[#This Row],[Gender]]="F",Table13[[#This Row],[Diameter]],NA())</f>
        <v>0.48</v>
      </c>
      <c r="AF763" s="2" t="e">
        <f>IF(Table13[[#This Row],[Gender]]="I",Table13[[#This Row],[Diameter]],NA())</f>
        <v>#N/A</v>
      </c>
    </row>
    <row r="764" spans="1:32" x14ac:dyDescent="0.2">
      <c r="A764">
        <v>2335</v>
      </c>
      <c r="B764" t="s">
        <v>0</v>
      </c>
      <c r="C764">
        <v>0.8</v>
      </c>
      <c r="D764">
        <v>0.63</v>
      </c>
      <c r="E764">
        <v>0.19500000000000001</v>
      </c>
      <c r="F764">
        <v>2.5259999999999998</v>
      </c>
      <c r="G764">
        <v>0.93300000000000005</v>
      </c>
      <c r="H764">
        <v>0.59</v>
      </c>
      <c r="I764">
        <v>0.62</v>
      </c>
      <c r="J764">
        <v>23</v>
      </c>
      <c r="K764">
        <v>14</v>
      </c>
      <c r="L764" t="s">
        <v>23</v>
      </c>
      <c r="M764" t="s">
        <v>24</v>
      </c>
      <c r="N764" t="s">
        <v>25</v>
      </c>
      <c r="O764">
        <v>7</v>
      </c>
      <c r="P764" t="s">
        <v>42</v>
      </c>
      <c r="Q764">
        <v>2.5</v>
      </c>
      <c r="R764" t="str" cm="1">
        <f t="array" ref="R7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4" t="e">
        <f>IF(Table13[[#This Row],[Category All]]="Category 1", "Yes",NA())</f>
        <v>#N/A</v>
      </c>
      <c r="T764" t="str">
        <f>IF(Table13[[#This Row],[Category All]]="Category 2", "Yes",NA())</f>
        <v>Yes</v>
      </c>
      <c r="U764" t="e">
        <f>IF(Table13[[#This Row],[Category All]]="Category 3", "Yes",NA())</f>
        <v>#N/A</v>
      </c>
      <c r="V764">
        <f>SUM(1,(1/3)*(Table13[[#This Row],[Length]]-0.5),(1/3)*(Table13[[#This Row],[Diameter]]-0.4),(1/3)*(Table13[[#This Row],[Height]]-0.4)*Table13[[#This Row],[Whole_weight]]*0.5)</f>
        <v>1.0903616666666667</v>
      </c>
      <c r="W764" cm="1">
        <f t="array" ref="W7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0.87228933333333336</v>
      </c>
      <c r="X764" t="e">
        <f>IF(Table13[[#This Row],[Category All]]="Category 1",Table13[[#This Row],[Base Abalone Value]]*1.5,NA())</f>
        <v>#N/A</v>
      </c>
      <c r="Y764">
        <f>IF(Table13[[#This Row],[Category All]]="Category 2",Table13[[#This Row],[Base Abalone Value]]*0.8,NA())</f>
        <v>0.87228933333333336</v>
      </c>
      <c r="Z764" t="e">
        <f>IF(Table13[[#This Row],[Category All]]="Category 3",Table13[[#This Row],[Base Abalone Value]],NA())</f>
        <v>#N/A</v>
      </c>
      <c r="AA764" s="2" t="e">
        <f>IF(Table13[[#This Row],[Gender]]="M",Table13[[#This Row],[Whole_weight]],NA())</f>
        <v>#N/A</v>
      </c>
      <c r="AB764" s="2">
        <f>IF(Table13[[#This Row],[Gender]]="F",Table13[[#This Row],[Whole_weight]],NA())</f>
        <v>2.5259999999999998</v>
      </c>
      <c r="AC764" s="2" t="e">
        <f>IF(Table13[[#This Row],[Gender]]="I",Table13[[#This Row],[Whole_weight]],NA())</f>
        <v>#N/A</v>
      </c>
      <c r="AD764" s="2" t="e">
        <f>IF(Table13[[#This Row],[Gender]]="M",Table13[[#This Row],[Diameter]],NA())</f>
        <v>#N/A</v>
      </c>
      <c r="AE764" s="2">
        <f>IF(Table13[[#This Row],[Gender]]="F",Table13[[#This Row],[Diameter]],NA())</f>
        <v>0.63</v>
      </c>
      <c r="AF764" s="2" t="e">
        <f>IF(Table13[[#This Row],[Gender]]="I",Table13[[#This Row],[Diameter]],NA())</f>
        <v>#N/A</v>
      </c>
    </row>
    <row r="765" spans="1:32" x14ac:dyDescent="0.2">
      <c r="A765">
        <v>3873</v>
      </c>
      <c r="B765" t="s">
        <v>0</v>
      </c>
      <c r="C765">
        <v>0.51500000000000001</v>
      </c>
      <c r="D765">
        <v>0.4</v>
      </c>
      <c r="E765">
        <v>0.115</v>
      </c>
      <c r="F765">
        <v>0.57799999999999996</v>
      </c>
      <c r="G765">
        <v>0.191</v>
      </c>
      <c r="H765">
        <v>0.14449999999999999</v>
      </c>
      <c r="I765">
        <v>0.17</v>
      </c>
      <c r="J765">
        <v>9</v>
      </c>
      <c r="K765">
        <v>13</v>
      </c>
      <c r="L765" t="s">
        <v>12</v>
      </c>
      <c r="M765" t="s">
        <v>13</v>
      </c>
      <c r="N765" t="s">
        <v>3</v>
      </c>
      <c r="O765">
        <v>2</v>
      </c>
      <c r="P765" t="s">
        <v>7</v>
      </c>
      <c r="Q765">
        <v>18</v>
      </c>
      <c r="R765" t="str" cm="1">
        <f t="array" ref="R7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5" t="e">
        <f>IF(Table13[[#This Row],[Category All]]="Category 1", "Yes",NA())</f>
        <v>#N/A</v>
      </c>
      <c r="T765" t="str">
        <f>IF(Table13[[#This Row],[Category All]]="Category 2", "Yes",NA())</f>
        <v>Yes</v>
      </c>
      <c r="U765" t="e">
        <f>IF(Table13[[#This Row],[Category All]]="Category 3", "Yes",NA())</f>
        <v>#N/A</v>
      </c>
      <c r="V765">
        <f>SUM(1,(1/3)*(Table13[[#This Row],[Length]]-0.5),(1/3)*(Table13[[#This Row],[Diameter]]-0.4),(1/3)*(Table13[[#This Row],[Height]]-0.4)*Table13[[#This Row],[Whole_weight]]*0.5)</f>
        <v>0.97754499999999989</v>
      </c>
      <c r="W765" cm="1">
        <f t="array" ref="W7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0.78203599999999995</v>
      </c>
      <c r="X765" t="e">
        <f>IF(Table13[[#This Row],[Category All]]="Category 1",Table13[[#This Row],[Base Abalone Value]]*1.5,NA())</f>
        <v>#N/A</v>
      </c>
      <c r="Y765">
        <f>IF(Table13[[#This Row],[Category All]]="Category 2",Table13[[#This Row],[Base Abalone Value]]*0.8,NA())</f>
        <v>0.78203599999999995</v>
      </c>
      <c r="Z765" t="e">
        <f>IF(Table13[[#This Row],[Category All]]="Category 3",Table13[[#This Row],[Base Abalone Value]],NA())</f>
        <v>#N/A</v>
      </c>
      <c r="AA765" s="2" t="e">
        <f>IF(Table13[[#This Row],[Gender]]="M",Table13[[#This Row],[Whole_weight]],NA())</f>
        <v>#N/A</v>
      </c>
      <c r="AB765" s="2">
        <f>IF(Table13[[#This Row],[Gender]]="F",Table13[[#This Row],[Whole_weight]],NA())</f>
        <v>0.57799999999999996</v>
      </c>
      <c r="AC765" s="2" t="e">
        <f>IF(Table13[[#This Row],[Gender]]="I",Table13[[#This Row],[Whole_weight]],NA())</f>
        <v>#N/A</v>
      </c>
      <c r="AD765" s="2" t="e">
        <f>IF(Table13[[#This Row],[Gender]]="M",Table13[[#This Row],[Diameter]],NA())</f>
        <v>#N/A</v>
      </c>
      <c r="AE765" s="2">
        <f>IF(Table13[[#This Row],[Gender]]="F",Table13[[#This Row],[Diameter]],NA())</f>
        <v>0.4</v>
      </c>
      <c r="AF765" s="2" t="e">
        <f>IF(Table13[[#This Row],[Gender]]="I",Table13[[#This Row],[Diameter]],NA())</f>
        <v>#N/A</v>
      </c>
    </row>
    <row r="766" spans="1:32" x14ac:dyDescent="0.2">
      <c r="A766">
        <v>1071</v>
      </c>
      <c r="B766" t="s">
        <v>11</v>
      </c>
      <c r="C766">
        <v>0.375</v>
      </c>
      <c r="D766">
        <v>0.27500000000000002</v>
      </c>
      <c r="E766">
        <v>0.1</v>
      </c>
      <c r="F766">
        <v>0.23250000000000001</v>
      </c>
      <c r="G766">
        <v>0.11650000000000001</v>
      </c>
      <c r="H766">
        <v>4.2000000000000003E-2</v>
      </c>
      <c r="I766">
        <v>6.5000000000000002E-2</v>
      </c>
      <c r="J766">
        <v>6</v>
      </c>
      <c r="K766">
        <v>6</v>
      </c>
      <c r="L766" t="s">
        <v>39</v>
      </c>
      <c r="M766" t="s">
        <v>40</v>
      </c>
      <c r="N766" t="s">
        <v>41</v>
      </c>
      <c r="O766">
        <v>5</v>
      </c>
      <c r="P766" t="s">
        <v>14</v>
      </c>
      <c r="Q766">
        <v>12.8</v>
      </c>
      <c r="R766" t="str" cm="1">
        <f t="array" ref="R7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6" t="e">
        <f>IF(Table13[[#This Row],[Category All]]="Category 1", "Yes",NA())</f>
        <v>#N/A</v>
      </c>
      <c r="T766" t="str">
        <f>IF(Table13[[#This Row],[Category All]]="Category 2", "Yes",NA())</f>
        <v>Yes</v>
      </c>
      <c r="U766" t="e">
        <f>IF(Table13[[#This Row],[Category All]]="Category 3", "Yes",NA())</f>
        <v>#N/A</v>
      </c>
      <c r="V766">
        <f>SUM(1,(1/3)*(Table13[[#This Row],[Length]]-0.5),(1/3)*(Table13[[#This Row],[Diameter]]-0.4),(1/3)*(Table13[[#This Row],[Height]]-0.4)*Table13[[#This Row],[Whole_weight]]*0.5)</f>
        <v>0.90504166666666674</v>
      </c>
      <c r="W766" cm="1">
        <f t="array" ref="W7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0.72403333333333342</v>
      </c>
      <c r="X766" t="e">
        <f>IF(Table13[[#This Row],[Category All]]="Category 1",Table13[[#This Row],[Base Abalone Value]]*1.5,NA())</f>
        <v>#N/A</v>
      </c>
      <c r="Y766">
        <f>IF(Table13[[#This Row],[Category All]]="Category 2",Table13[[#This Row],[Base Abalone Value]]*0.8,NA())</f>
        <v>0.72403333333333342</v>
      </c>
      <c r="Z766" t="e">
        <f>IF(Table13[[#This Row],[Category All]]="Category 3",Table13[[#This Row],[Base Abalone Value]],NA())</f>
        <v>#N/A</v>
      </c>
      <c r="AA766" s="2" t="e">
        <f>IF(Table13[[#This Row],[Gender]]="M",Table13[[#This Row],[Whole_weight]],NA())</f>
        <v>#N/A</v>
      </c>
      <c r="AB766" s="2" t="e">
        <f>IF(Table13[[#This Row],[Gender]]="F",Table13[[#This Row],[Whole_weight]],NA())</f>
        <v>#N/A</v>
      </c>
      <c r="AC766" s="2">
        <f>IF(Table13[[#This Row],[Gender]]="I",Table13[[#This Row],[Whole_weight]],NA())</f>
        <v>0.23250000000000001</v>
      </c>
      <c r="AD766" s="2" t="e">
        <f>IF(Table13[[#This Row],[Gender]]="M",Table13[[#This Row],[Diameter]],NA())</f>
        <v>#N/A</v>
      </c>
      <c r="AE766" s="2" t="e">
        <f>IF(Table13[[#This Row],[Gender]]="F",Table13[[#This Row],[Diameter]],NA())</f>
        <v>#N/A</v>
      </c>
      <c r="AF766" s="2">
        <f>IF(Table13[[#This Row],[Gender]]="I",Table13[[#This Row],[Diameter]],NA())</f>
        <v>0.27500000000000002</v>
      </c>
    </row>
    <row r="767" spans="1:32" x14ac:dyDescent="0.2">
      <c r="A767">
        <v>3039</v>
      </c>
      <c r="B767" t="s">
        <v>11</v>
      </c>
      <c r="C767">
        <v>0.56499999999999995</v>
      </c>
      <c r="D767">
        <v>0.44</v>
      </c>
      <c r="E767">
        <v>0.13500000000000001</v>
      </c>
      <c r="F767">
        <v>0.76800000000000002</v>
      </c>
      <c r="G767">
        <v>0.33050000000000002</v>
      </c>
      <c r="H767">
        <v>0.13850000000000001</v>
      </c>
      <c r="I767">
        <v>0.2475</v>
      </c>
      <c r="J767">
        <v>9</v>
      </c>
      <c r="K767">
        <v>15</v>
      </c>
      <c r="L767" t="s">
        <v>49</v>
      </c>
      <c r="M767" t="s">
        <v>50</v>
      </c>
      <c r="N767" t="s">
        <v>3</v>
      </c>
      <c r="O767">
        <v>3</v>
      </c>
      <c r="P767" t="s">
        <v>48</v>
      </c>
      <c r="Q767">
        <v>3.6</v>
      </c>
      <c r="R767" t="str" cm="1">
        <f t="array" ref="R7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7" t="e">
        <f>IF(Table13[[#This Row],[Category All]]="Category 1", "Yes",NA())</f>
        <v>#N/A</v>
      </c>
      <c r="T767" t="str">
        <f>IF(Table13[[#This Row],[Category All]]="Category 2", "Yes",NA())</f>
        <v>Yes</v>
      </c>
      <c r="U767" t="e">
        <f>IF(Table13[[#This Row],[Category All]]="Category 3", "Yes",NA())</f>
        <v>#N/A</v>
      </c>
      <c r="V767">
        <f>SUM(1,(1/3)*(Table13[[#This Row],[Length]]-0.5),(1/3)*(Table13[[#This Row],[Diameter]]-0.4),(1/3)*(Table13[[#This Row],[Height]]-0.4)*Table13[[#This Row],[Whole_weight]]*0.5)</f>
        <v>1.0010800000000002</v>
      </c>
      <c r="W767" cm="1">
        <f t="array" ref="W7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0.80086400000000024</v>
      </c>
      <c r="X767" t="e">
        <f>IF(Table13[[#This Row],[Category All]]="Category 1",Table13[[#This Row],[Base Abalone Value]]*1.5,NA())</f>
        <v>#N/A</v>
      </c>
      <c r="Y767">
        <f>IF(Table13[[#This Row],[Category All]]="Category 2",Table13[[#This Row],[Base Abalone Value]]*0.8,NA())</f>
        <v>0.80086400000000024</v>
      </c>
      <c r="Z767" t="e">
        <f>IF(Table13[[#This Row],[Category All]]="Category 3",Table13[[#This Row],[Base Abalone Value]],NA())</f>
        <v>#N/A</v>
      </c>
      <c r="AA767" s="2" t="e">
        <f>IF(Table13[[#This Row],[Gender]]="M",Table13[[#This Row],[Whole_weight]],NA())</f>
        <v>#N/A</v>
      </c>
      <c r="AB767" s="2" t="e">
        <f>IF(Table13[[#This Row],[Gender]]="F",Table13[[#This Row],[Whole_weight]],NA())</f>
        <v>#N/A</v>
      </c>
      <c r="AC767" s="2">
        <f>IF(Table13[[#This Row],[Gender]]="I",Table13[[#This Row],[Whole_weight]],NA())</f>
        <v>0.76800000000000002</v>
      </c>
      <c r="AD767" s="2" t="e">
        <f>IF(Table13[[#This Row],[Gender]]="M",Table13[[#This Row],[Diameter]],NA())</f>
        <v>#N/A</v>
      </c>
      <c r="AE767" s="2" t="e">
        <f>IF(Table13[[#This Row],[Gender]]="F",Table13[[#This Row],[Diameter]],NA())</f>
        <v>#N/A</v>
      </c>
      <c r="AF767" s="2">
        <f>IF(Table13[[#This Row],[Gender]]="I",Table13[[#This Row],[Diameter]],NA())</f>
        <v>0.44</v>
      </c>
    </row>
    <row r="768" spans="1:32" x14ac:dyDescent="0.2">
      <c r="A768">
        <v>3319</v>
      </c>
      <c r="B768" t="s">
        <v>15</v>
      </c>
      <c r="C768">
        <v>0.16500000000000001</v>
      </c>
      <c r="D768">
        <v>0.125</v>
      </c>
      <c r="E768">
        <v>0.04</v>
      </c>
      <c r="F768">
        <v>2.4500000000000001E-2</v>
      </c>
      <c r="G768">
        <v>9.4999999999999998E-3</v>
      </c>
      <c r="H768">
        <v>4.4999999999999997E-3</v>
      </c>
      <c r="I768">
        <v>8.0000000000000002E-3</v>
      </c>
      <c r="J768">
        <v>4</v>
      </c>
      <c r="K768">
        <v>1</v>
      </c>
      <c r="L768" t="s">
        <v>8</v>
      </c>
      <c r="M768" t="s">
        <v>9</v>
      </c>
      <c r="N768" t="s">
        <v>3</v>
      </c>
      <c r="O768">
        <v>6</v>
      </c>
      <c r="P768" t="s">
        <v>47</v>
      </c>
      <c r="Q768">
        <v>14.1</v>
      </c>
      <c r="R768" t="str" cm="1">
        <f t="array" ref="R7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8" t="e">
        <f>IF(Table13[[#This Row],[Category All]]="Category 1", "Yes",NA())</f>
        <v>#N/A</v>
      </c>
      <c r="T768" t="str">
        <f>IF(Table13[[#This Row],[Category All]]="Category 2", "Yes",NA())</f>
        <v>Yes</v>
      </c>
      <c r="U768" t="e">
        <f>IF(Table13[[#This Row],[Category All]]="Category 3", "Yes",NA())</f>
        <v>#N/A</v>
      </c>
      <c r="V768">
        <f>SUM(1,(1/3)*(Table13[[#This Row],[Length]]-0.5),(1/3)*(Table13[[#This Row],[Diameter]]-0.4),(1/3)*(Table13[[#This Row],[Height]]-0.4)*Table13[[#This Row],[Whole_weight]]*0.5)</f>
        <v>0.79519666666666666</v>
      </c>
      <c r="W768" cm="1">
        <f t="array" ref="W7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0.63615733333333335</v>
      </c>
      <c r="X768" t="e">
        <f>IF(Table13[[#This Row],[Category All]]="Category 1",Table13[[#This Row],[Base Abalone Value]]*1.5,NA())</f>
        <v>#N/A</v>
      </c>
      <c r="Y768">
        <f>IF(Table13[[#This Row],[Category All]]="Category 2",Table13[[#This Row],[Base Abalone Value]]*0.8,NA())</f>
        <v>0.63615733333333335</v>
      </c>
      <c r="Z768" t="e">
        <f>IF(Table13[[#This Row],[Category All]]="Category 3",Table13[[#This Row],[Base Abalone Value]],NA())</f>
        <v>#N/A</v>
      </c>
      <c r="AA768" s="2">
        <f>IF(Table13[[#This Row],[Gender]]="M",Table13[[#This Row],[Whole_weight]],NA())</f>
        <v>2.4500000000000001E-2</v>
      </c>
      <c r="AB768" s="2" t="e">
        <f>IF(Table13[[#This Row],[Gender]]="F",Table13[[#This Row],[Whole_weight]],NA())</f>
        <v>#N/A</v>
      </c>
      <c r="AC768" s="2" t="e">
        <f>IF(Table13[[#This Row],[Gender]]="I",Table13[[#This Row],[Whole_weight]],NA())</f>
        <v>#N/A</v>
      </c>
      <c r="AD768" s="2">
        <f>IF(Table13[[#This Row],[Gender]]="M",Table13[[#This Row],[Diameter]],NA())</f>
        <v>0.125</v>
      </c>
      <c r="AE768" s="2" t="e">
        <f>IF(Table13[[#This Row],[Gender]]="F",Table13[[#This Row],[Diameter]],NA())</f>
        <v>#N/A</v>
      </c>
      <c r="AF768" s="2" t="e">
        <f>IF(Table13[[#This Row],[Gender]]="I",Table13[[#This Row],[Diameter]],NA())</f>
        <v>#N/A</v>
      </c>
    </row>
    <row r="769" spans="1:32" x14ac:dyDescent="0.2">
      <c r="A769">
        <v>4006</v>
      </c>
      <c r="B769" t="s">
        <v>0</v>
      </c>
      <c r="C769">
        <v>0.55500000000000005</v>
      </c>
      <c r="D769">
        <v>0.43</v>
      </c>
      <c r="E769">
        <v>0.14000000000000001</v>
      </c>
      <c r="F769">
        <v>0.75449999999999995</v>
      </c>
      <c r="G769">
        <v>0.35249999999999998</v>
      </c>
      <c r="H769">
        <v>0.1835</v>
      </c>
      <c r="I769">
        <v>0.20150000000000001</v>
      </c>
      <c r="J769">
        <v>9</v>
      </c>
      <c r="K769">
        <v>11</v>
      </c>
      <c r="L769" t="s">
        <v>5</v>
      </c>
      <c r="M769" t="s">
        <v>6</v>
      </c>
      <c r="N769" t="s">
        <v>3</v>
      </c>
      <c r="O769">
        <v>5</v>
      </c>
      <c r="P769" t="s">
        <v>14</v>
      </c>
      <c r="Q769">
        <v>12.8</v>
      </c>
      <c r="R769" t="str" cm="1">
        <f t="array" ref="R7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9" t="e">
        <f>IF(Table13[[#This Row],[Category All]]="Category 1", "Yes",NA())</f>
        <v>#N/A</v>
      </c>
      <c r="T769" t="str">
        <f>IF(Table13[[#This Row],[Category All]]="Category 2", "Yes",NA())</f>
        <v>Yes</v>
      </c>
      <c r="U769" t="e">
        <f>IF(Table13[[#This Row],[Category All]]="Category 3", "Yes",NA())</f>
        <v>#N/A</v>
      </c>
      <c r="V769">
        <f>SUM(1,(1/3)*(Table13[[#This Row],[Length]]-0.5),(1/3)*(Table13[[#This Row],[Diameter]]-0.4),(1/3)*(Table13[[#This Row],[Height]]-0.4)*Table13[[#This Row],[Whole_weight]]*0.5)</f>
        <v>0.99563833333333329</v>
      </c>
      <c r="W769" cm="1">
        <f t="array" ref="W7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0.7965106666666667</v>
      </c>
      <c r="X769" t="e">
        <f>IF(Table13[[#This Row],[Category All]]="Category 1",Table13[[#This Row],[Base Abalone Value]]*1.5,NA())</f>
        <v>#N/A</v>
      </c>
      <c r="Y769">
        <f>IF(Table13[[#This Row],[Category All]]="Category 2",Table13[[#This Row],[Base Abalone Value]]*0.8,NA())</f>
        <v>0.7965106666666667</v>
      </c>
      <c r="Z769" t="e">
        <f>IF(Table13[[#This Row],[Category All]]="Category 3",Table13[[#This Row],[Base Abalone Value]],NA())</f>
        <v>#N/A</v>
      </c>
      <c r="AA769" s="2" t="e">
        <f>IF(Table13[[#This Row],[Gender]]="M",Table13[[#This Row],[Whole_weight]],NA())</f>
        <v>#N/A</v>
      </c>
      <c r="AB769" s="2">
        <f>IF(Table13[[#This Row],[Gender]]="F",Table13[[#This Row],[Whole_weight]],NA())</f>
        <v>0.75449999999999995</v>
      </c>
      <c r="AC769" s="2" t="e">
        <f>IF(Table13[[#This Row],[Gender]]="I",Table13[[#This Row],[Whole_weight]],NA())</f>
        <v>#N/A</v>
      </c>
      <c r="AD769" s="2" t="e">
        <f>IF(Table13[[#This Row],[Gender]]="M",Table13[[#This Row],[Diameter]],NA())</f>
        <v>#N/A</v>
      </c>
      <c r="AE769" s="2">
        <f>IF(Table13[[#This Row],[Gender]]="F",Table13[[#This Row],[Diameter]],NA())</f>
        <v>0.43</v>
      </c>
      <c r="AF769" s="2" t="e">
        <f>IF(Table13[[#This Row],[Gender]]="I",Table13[[#This Row],[Diameter]],NA())</f>
        <v>#N/A</v>
      </c>
    </row>
    <row r="770" spans="1:32" x14ac:dyDescent="0.2">
      <c r="A770">
        <v>777</v>
      </c>
      <c r="B770" t="s">
        <v>15</v>
      </c>
      <c r="C770">
        <v>0.505</v>
      </c>
      <c r="D770">
        <v>0.38500000000000001</v>
      </c>
      <c r="E770">
        <v>0.14499999999999999</v>
      </c>
      <c r="F770">
        <v>0.67749999999999999</v>
      </c>
      <c r="G770">
        <v>0.23599999999999999</v>
      </c>
      <c r="H770">
        <v>0.17899999999999999</v>
      </c>
      <c r="I770">
        <v>0.2</v>
      </c>
      <c r="J770">
        <v>15</v>
      </c>
      <c r="K770">
        <v>11</v>
      </c>
      <c r="L770" t="s">
        <v>5</v>
      </c>
      <c r="M770" t="s">
        <v>6</v>
      </c>
      <c r="N770" t="s">
        <v>3</v>
      </c>
      <c r="O770">
        <v>7</v>
      </c>
      <c r="P770" t="s">
        <v>42</v>
      </c>
      <c r="Q770">
        <v>2.5</v>
      </c>
      <c r="R770" t="str" cm="1">
        <f t="array" ref="R7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70" t="e">
        <f>IF(Table13[[#This Row],[Category All]]="Category 1", "Yes",NA())</f>
        <v>#N/A</v>
      </c>
      <c r="T770" t="str">
        <f>IF(Table13[[#This Row],[Category All]]="Category 2", "Yes",NA())</f>
        <v>Yes</v>
      </c>
      <c r="U770" t="e">
        <f>IF(Table13[[#This Row],[Category All]]="Category 3", "Yes",NA())</f>
        <v>#N/A</v>
      </c>
      <c r="V770">
        <f>SUM(1,(1/3)*(Table13[[#This Row],[Length]]-0.5),(1/3)*(Table13[[#This Row],[Diameter]]-0.4),(1/3)*(Table13[[#This Row],[Height]]-0.4)*Table13[[#This Row],[Whole_weight]]*0.5)</f>
        <v>0.96787291666666675</v>
      </c>
      <c r="W770" cm="1">
        <f t="array" ref="W7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0.77429833333333342</v>
      </c>
      <c r="X770" t="e">
        <f>IF(Table13[[#This Row],[Category All]]="Category 1",Table13[[#This Row],[Base Abalone Value]]*1.5,NA())</f>
        <v>#N/A</v>
      </c>
      <c r="Y770">
        <f>IF(Table13[[#This Row],[Category All]]="Category 2",Table13[[#This Row],[Base Abalone Value]]*0.8,NA())</f>
        <v>0.77429833333333342</v>
      </c>
      <c r="Z770" t="e">
        <f>IF(Table13[[#This Row],[Category All]]="Category 3",Table13[[#This Row],[Base Abalone Value]],NA())</f>
        <v>#N/A</v>
      </c>
      <c r="AA770" s="2">
        <f>IF(Table13[[#This Row],[Gender]]="M",Table13[[#This Row],[Whole_weight]],NA())</f>
        <v>0.67749999999999999</v>
      </c>
      <c r="AB770" s="2" t="e">
        <f>IF(Table13[[#This Row],[Gender]]="F",Table13[[#This Row],[Whole_weight]],NA())</f>
        <v>#N/A</v>
      </c>
      <c r="AC770" s="2" t="e">
        <f>IF(Table13[[#This Row],[Gender]]="I",Table13[[#This Row],[Whole_weight]],NA())</f>
        <v>#N/A</v>
      </c>
      <c r="AD770" s="2">
        <f>IF(Table13[[#This Row],[Gender]]="M",Table13[[#This Row],[Diameter]],NA())</f>
        <v>0.38500000000000001</v>
      </c>
      <c r="AE770" s="2" t="e">
        <f>IF(Table13[[#This Row],[Gender]]="F",Table13[[#This Row],[Diameter]],NA())</f>
        <v>#N/A</v>
      </c>
      <c r="AF770" s="2" t="e">
        <f>IF(Table13[[#This Row],[Gender]]="I",Table13[[#This Row],[Diameter]],NA())</f>
        <v>#N/A</v>
      </c>
    </row>
    <row r="771" spans="1:32" x14ac:dyDescent="0.2">
      <c r="A771">
        <v>1042</v>
      </c>
      <c r="B771" t="s">
        <v>0</v>
      </c>
      <c r="C771">
        <v>0.67500000000000004</v>
      </c>
      <c r="D771">
        <v>0.56999999999999995</v>
      </c>
      <c r="E771">
        <v>0.22500000000000001</v>
      </c>
      <c r="F771">
        <v>1.587</v>
      </c>
      <c r="G771">
        <v>0.73899999999999999</v>
      </c>
      <c r="H771">
        <v>0.29949999999999999</v>
      </c>
      <c r="I771">
        <v>0.435</v>
      </c>
      <c r="J771">
        <v>10</v>
      </c>
      <c r="K771">
        <v>10</v>
      </c>
      <c r="L771" t="s">
        <v>16</v>
      </c>
      <c r="M771" t="s">
        <v>17</v>
      </c>
      <c r="N771" t="s">
        <v>18</v>
      </c>
      <c r="O771">
        <v>8</v>
      </c>
      <c r="P771" t="s">
        <v>19</v>
      </c>
      <c r="Q771">
        <v>12.3</v>
      </c>
      <c r="R771" t="str" cm="1">
        <f t="array" ref="R7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71" t="e">
        <f>IF(Table13[[#This Row],[Category All]]="Category 1", "Yes",NA())</f>
        <v>#N/A</v>
      </c>
      <c r="T771" t="e">
        <f>IF(Table13[[#This Row],[Category All]]="Category 2", "Yes",NA())</f>
        <v>#N/A</v>
      </c>
      <c r="U771" t="str">
        <f>IF(Table13[[#This Row],[Category All]]="Category 3", "Yes",NA())</f>
        <v>Yes</v>
      </c>
      <c r="V771">
        <f>SUM(1,(1/3)*(Table13[[#This Row],[Length]]-0.5),(1/3)*(Table13[[#This Row],[Diameter]]-0.4),(1/3)*(Table13[[#This Row],[Height]]-0.4)*Table13[[#This Row],[Whole_weight]]*0.5)</f>
        <v>1.0687125</v>
      </c>
      <c r="W771" cm="1">
        <f t="array" ref="W7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1.0687125</v>
      </c>
      <c r="X771" t="e">
        <f>IF(Table13[[#This Row],[Category All]]="Category 1",Table13[[#This Row],[Base Abalone Value]]*1.5,NA())</f>
        <v>#N/A</v>
      </c>
      <c r="Y771" t="e">
        <f>IF(Table13[[#This Row],[Category All]]="Category 2",Table13[[#This Row],[Base Abalone Value]]*0.8,NA())</f>
        <v>#N/A</v>
      </c>
      <c r="Z771">
        <f>IF(Table13[[#This Row],[Category All]]="Category 3",Table13[[#This Row],[Base Abalone Value]],NA())</f>
        <v>1.0687125</v>
      </c>
      <c r="AA771" s="2" t="e">
        <f>IF(Table13[[#This Row],[Gender]]="M",Table13[[#This Row],[Whole_weight]],NA())</f>
        <v>#N/A</v>
      </c>
      <c r="AB771" s="2">
        <f>IF(Table13[[#This Row],[Gender]]="F",Table13[[#This Row],[Whole_weight]],NA())</f>
        <v>1.587</v>
      </c>
      <c r="AC771" s="2" t="e">
        <f>IF(Table13[[#This Row],[Gender]]="I",Table13[[#This Row],[Whole_weight]],NA())</f>
        <v>#N/A</v>
      </c>
      <c r="AD771" s="2" t="e">
        <f>IF(Table13[[#This Row],[Gender]]="M",Table13[[#This Row],[Diameter]],NA())</f>
        <v>#N/A</v>
      </c>
      <c r="AE771" s="2">
        <f>IF(Table13[[#This Row],[Gender]]="F",Table13[[#This Row],[Diameter]],NA())</f>
        <v>0.56999999999999995</v>
      </c>
      <c r="AF771" s="2" t="e">
        <f>IF(Table13[[#This Row],[Gender]]="I",Table13[[#This Row],[Diameter]],NA())</f>
        <v>#N/A</v>
      </c>
    </row>
    <row r="772" spans="1:32" x14ac:dyDescent="0.2">
      <c r="A772">
        <v>713</v>
      </c>
      <c r="B772" t="s">
        <v>11</v>
      </c>
      <c r="C772">
        <v>0.28000000000000003</v>
      </c>
      <c r="D772">
        <v>0.20499999999999999</v>
      </c>
      <c r="E772">
        <v>5.5E-2</v>
      </c>
      <c r="F772">
        <v>0.1135</v>
      </c>
      <c r="G772">
        <v>4.4999999999999998E-2</v>
      </c>
      <c r="H772">
        <v>2.75E-2</v>
      </c>
      <c r="I772">
        <v>3.3500000000000002E-2</v>
      </c>
      <c r="J772">
        <v>7</v>
      </c>
      <c r="K772">
        <v>11</v>
      </c>
      <c r="L772" t="s">
        <v>5</v>
      </c>
      <c r="M772" t="s">
        <v>6</v>
      </c>
      <c r="N772" t="s">
        <v>3</v>
      </c>
      <c r="O772">
        <v>5</v>
      </c>
      <c r="P772" t="s">
        <v>14</v>
      </c>
      <c r="Q772">
        <v>12.8</v>
      </c>
      <c r="R772" t="str" cm="1">
        <f t="array" ref="R7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72" t="e">
        <f>IF(Table13[[#This Row],[Category All]]="Category 1", "Yes",NA())</f>
        <v>#N/A</v>
      </c>
      <c r="T772" t="str">
        <f>IF(Table13[[#This Row],[Category All]]="Category 2", "Yes",NA())</f>
        <v>Yes</v>
      </c>
      <c r="U772" t="e">
        <f>IF(Table13[[#This Row],[Category All]]="Category 3", "Yes",NA())</f>
        <v>#N/A</v>
      </c>
      <c r="V772">
        <f>SUM(1,(1/3)*(Table13[[#This Row],[Length]]-0.5),(1/3)*(Table13[[#This Row],[Diameter]]-0.4),(1/3)*(Table13[[#This Row],[Height]]-0.4)*Table13[[#This Row],[Whole_weight]]*0.5)</f>
        <v>0.85514041666666663</v>
      </c>
      <c r="W772" cm="1">
        <f t="array" ref="W7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0.68411233333333332</v>
      </c>
      <c r="X772" t="e">
        <f>IF(Table13[[#This Row],[Category All]]="Category 1",Table13[[#This Row],[Base Abalone Value]]*1.5,NA())</f>
        <v>#N/A</v>
      </c>
      <c r="Y772">
        <f>IF(Table13[[#This Row],[Category All]]="Category 2",Table13[[#This Row],[Base Abalone Value]]*0.8,NA())</f>
        <v>0.68411233333333332</v>
      </c>
      <c r="Z772" t="e">
        <f>IF(Table13[[#This Row],[Category All]]="Category 3",Table13[[#This Row],[Base Abalone Value]],NA())</f>
        <v>#N/A</v>
      </c>
      <c r="AA772" s="2" t="e">
        <f>IF(Table13[[#This Row],[Gender]]="M",Table13[[#This Row],[Whole_weight]],NA())</f>
        <v>#N/A</v>
      </c>
      <c r="AB772" s="2" t="e">
        <f>IF(Table13[[#This Row],[Gender]]="F",Table13[[#This Row],[Whole_weight]],NA())</f>
        <v>#N/A</v>
      </c>
      <c r="AC772" s="2">
        <f>IF(Table13[[#This Row],[Gender]]="I",Table13[[#This Row],[Whole_weight]],NA())</f>
        <v>0.1135</v>
      </c>
      <c r="AD772" s="2" t="e">
        <f>IF(Table13[[#This Row],[Gender]]="M",Table13[[#This Row],[Diameter]],NA())</f>
        <v>#N/A</v>
      </c>
      <c r="AE772" s="2" t="e">
        <f>IF(Table13[[#This Row],[Gender]]="F",Table13[[#This Row],[Diameter]],NA())</f>
        <v>#N/A</v>
      </c>
      <c r="AF772" s="2">
        <f>IF(Table13[[#This Row],[Gender]]="I",Table13[[#This Row],[Diameter]],NA())</f>
        <v>0.20499999999999999</v>
      </c>
    </row>
    <row r="773" spans="1:32" x14ac:dyDescent="0.2">
      <c r="A773">
        <v>624</v>
      </c>
      <c r="B773" t="s">
        <v>0</v>
      </c>
      <c r="C773">
        <v>0.5</v>
      </c>
      <c r="D773">
        <v>0.38500000000000001</v>
      </c>
      <c r="E773">
        <v>0.105</v>
      </c>
      <c r="F773">
        <v>0.498</v>
      </c>
      <c r="G773">
        <v>0.17949999999999999</v>
      </c>
      <c r="H773">
        <v>0.1095</v>
      </c>
      <c r="I773">
        <v>0.17</v>
      </c>
      <c r="J773">
        <v>17</v>
      </c>
      <c r="K773">
        <v>1</v>
      </c>
      <c r="L773" t="s">
        <v>8</v>
      </c>
      <c r="M773" t="s">
        <v>9</v>
      </c>
      <c r="N773" t="s">
        <v>3</v>
      </c>
      <c r="O773">
        <v>2</v>
      </c>
      <c r="P773" t="s">
        <v>7</v>
      </c>
      <c r="Q773">
        <v>18</v>
      </c>
      <c r="R773" t="str" cm="1">
        <f t="array" ref="R7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73" t="e">
        <f>IF(Table13[[#This Row],[Category All]]="Category 1", "Yes",NA())</f>
        <v>#N/A</v>
      </c>
      <c r="T773" t="str">
        <f>IF(Table13[[#This Row],[Category All]]="Category 2", "Yes",NA())</f>
        <v>Yes</v>
      </c>
      <c r="U773" t="e">
        <f>IF(Table13[[#This Row],[Category All]]="Category 3", "Yes",NA())</f>
        <v>#N/A</v>
      </c>
      <c r="V773">
        <f>SUM(1,(1/3)*(Table13[[#This Row],[Length]]-0.5),(1/3)*(Table13[[#This Row],[Diameter]]-0.4),(1/3)*(Table13[[#This Row],[Height]]-0.4)*Table13[[#This Row],[Whole_weight]]*0.5)</f>
        <v>0.97051500000000002</v>
      </c>
      <c r="W773" cm="1">
        <f t="array" ref="W7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0.7764120000000001</v>
      </c>
      <c r="X773" t="e">
        <f>IF(Table13[[#This Row],[Category All]]="Category 1",Table13[[#This Row],[Base Abalone Value]]*1.5,NA())</f>
        <v>#N/A</v>
      </c>
      <c r="Y773">
        <f>IF(Table13[[#This Row],[Category All]]="Category 2",Table13[[#This Row],[Base Abalone Value]]*0.8,NA())</f>
        <v>0.7764120000000001</v>
      </c>
      <c r="Z773" t="e">
        <f>IF(Table13[[#This Row],[Category All]]="Category 3",Table13[[#This Row],[Base Abalone Value]],NA())</f>
        <v>#N/A</v>
      </c>
      <c r="AA773" s="2" t="e">
        <f>IF(Table13[[#This Row],[Gender]]="M",Table13[[#This Row],[Whole_weight]],NA())</f>
        <v>#N/A</v>
      </c>
      <c r="AB773" s="2">
        <f>IF(Table13[[#This Row],[Gender]]="F",Table13[[#This Row],[Whole_weight]],NA())</f>
        <v>0.498</v>
      </c>
      <c r="AC773" s="2" t="e">
        <f>IF(Table13[[#This Row],[Gender]]="I",Table13[[#This Row],[Whole_weight]],NA())</f>
        <v>#N/A</v>
      </c>
      <c r="AD773" s="2" t="e">
        <f>IF(Table13[[#This Row],[Gender]]="M",Table13[[#This Row],[Diameter]],NA())</f>
        <v>#N/A</v>
      </c>
      <c r="AE773" s="2">
        <f>IF(Table13[[#This Row],[Gender]]="F",Table13[[#This Row],[Diameter]],NA())</f>
        <v>0.38500000000000001</v>
      </c>
      <c r="AF773" s="2" t="e">
        <f>IF(Table13[[#This Row],[Gender]]="I",Table13[[#This Row],[Diameter]],NA())</f>
        <v>#N/A</v>
      </c>
    </row>
    <row r="774" spans="1:32" x14ac:dyDescent="0.2">
      <c r="A774">
        <v>1238</v>
      </c>
      <c r="B774" t="s">
        <v>11</v>
      </c>
      <c r="C774">
        <v>0.375</v>
      </c>
      <c r="D774">
        <v>0.27500000000000002</v>
      </c>
      <c r="E774">
        <v>9.5000000000000001E-2</v>
      </c>
      <c r="F774">
        <v>0.2465</v>
      </c>
      <c r="G774">
        <v>0.11</v>
      </c>
      <c r="H774">
        <v>4.1500000000000002E-2</v>
      </c>
      <c r="I774">
        <v>7.7499999999999999E-2</v>
      </c>
      <c r="J774">
        <v>6</v>
      </c>
      <c r="K774">
        <v>2</v>
      </c>
      <c r="L774" t="s">
        <v>32</v>
      </c>
      <c r="M774" t="s">
        <v>33</v>
      </c>
      <c r="N774" t="s">
        <v>34</v>
      </c>
      <c r="O774">
        <v>3</v>
      </c>
      <c r="P774" t="s">
        <v>48</v>
      </c>
      <c r="Q774">
        <v>3.6</v>
      </c>
      <c r="R774" t="str" cm="1">
        <f t="array" ref="R7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74" t="e">
        <f>IF(Table13[[#This Row],[Category All]]="Category 1", "Yes",NA())</f>
        <v>#N/A</v>
      </c>
      <c r="T774" t="str">
        <f>IF(Table13[[#This Row],[Category All]]="Category 2", "Yes",NA())</f>
        <v>Yes</v>
      </c>
      <c r="U774" t="e">
        <f>IF(Table13[[#This Row],[Category All]]="Category 3", "Yes",NA())</f>
        <v>#N/A</v>
      </c>
      <c r="V774">
        <f>SUM(1,(1/3)*(Table13[[#This Row],[Length]]-0.5),(1/3)*(Table13[[#This Row],[Diameter]]-0.4),(1/3)*(Table13[[#This Row],[Height]]-0.4)*Table13[[#This Row],[Whole_weight]]*0.5)</f>
        <v>0.90413625000000009</v>
      </c>
      <c r="W774" cm="1">
        <f t="array" ref="W7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0.72330900000000009</v>
      </c>
      <c r="X774" t="e">
        <f>IF(Table13[[#This Row],[Category All]]="Category 1",Table13[[#This Row],[Base Abalone Value]]*1.5,NA())</f>
        <v>#N/A</v>
      </c>
      <c r="Y774">
        <f>IF(Table13[[#This Row],[Category All]]="Category 2",Table13[[#This Row],[Base Abalone Value]]*0.8,NA())</f>
        <v>0.72330900000000009</v>
      </c>
      <c r="Z774" t="e">
        <f>IF(Table13[[#This Row],[Category All]]="Category 3",Table13[[#This Row],[Base Abalone Value]],NA())</f>
        <v>#N/A</v>
      </c>
      <c r="AA774" s="2" t="e">
        <f>IF(Table13[[#This Row],[Gender]]="M",Table13[[#This Row],[Whole_weight]],NA())</f>
        <v>#N/A</v>
      </c>
      <c r="AB774" s="2" t="e">
        <f>IF(Table13[[#This Row],[Gender]]="F",Table13[[#This Row],[Whole_weight]],NA())</f>
        <v>#N/A</v>
      </c>
      <c r="AC774" s="2">
        <f>IF(Table13[[#This Row],[Gender]]="I",Table13[[#This Row],[Whole_weight]],NA())</f>
        <v>0.2465</v>
      </c>
      <c r="AD774" s="2" t="e">
        <f>IF(Table13[[#This Row],[Gender]]="M",Table13[[#This Row],[Diameter]],NA())</f>
        <v>#N/A</v>
      </c>
      <c r="AE774" s="2" t="e">
        <f>IF(Table13[[#This Row],[Gender]]="F",Table13[[#This Row],[Diameter]],NA())</f>
        <v>#N/A</v>
      </c>
      <c r="AF774" s="2">
        <f>IF(Table13[[#This Row],[Gender]]="I",Table13[[#This Row],[Diameter]],NA())</f>
        <v>0.27500000000000002</v>
      </c>
    </row>
    <row r="775" spans="1:32" x14ac:dyDescent="0.2">
      <c r="A775">
        <v>503</v>
      </c>
      <c r="B775" t="s">
        <v>0</v>
      </c>
      <c r="C775">
        <v>0.62</v>
      </c>
      <c r="D775">
        <v>0.47</v>
      </c>
      <c r="E775">
        <v>0.22500000000000001</v>
      </c>
      <c r="F775">
        <v>1.115</v>
      </c>
      <c r="G775">
        <v>0.378</v>
      </c>
      <c r="H775">
        <v>0.2145</v>
      </c>
      <c r="I775">
        <v>0.36</v>
      </c>
      <c r="J775">
        <v>15</v>
      </c>
      <c r="K775">
        <v>8</v>
      </c>
      <c r="L775" t="s">
        <v>29</v>
      </c>
      <c r="M775" t="s">
        <v>30</v>
      </c>
      <c r="N775" t="s">
        <v>31</v>
      </c>
      <c r="O775">
        <v>3</v>
      </c>
      <c r="P775" t="s">
        <v>48</v>
      </c>
      <c r="Q775">
        <v>3.6</v>
      </c>
      <c r="R775" t="str" cm="1">
        <f t="array" ref="R7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75" t="e">
        <f>IF(Table13[[#This Row],[Category All]]="Category 1", "Yes",NA())</f>
        <v>#N/A</v>
      </c>
      <c r="T775" t="str">
        <f>IF(Table13[[#This Row],[Category All]]="Category 2", "Yes",NA())</f>
        <v>Yes</v>
      </c>
      <c r="U775" t="e">
        <f>IF(Table13[[#This Row],[Category All]]="Category 3", "Yes",NA())</f>
        <v>#N/A</v>
      </c>
      <c r="V775">
        <f>SUM(1,(1/3)*(Table13[[#This Row],[Length]]-0.5),(1/3)*(Table13[[#This Row],[Diameter]]-0.4),(1/3)*(Table13[[#This Row],[Height]]-0.4)*Table13[[#This Row],[Whole_weight]]*0.5)</f>
        <v>1.0308125000000001</v>
      </c>
      <c r="W775" cm="1">
        <f t="array" ref="W7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0.82465000000000011</v>
      </c>
      <c r="X775" t="e">
        <f>IF(Table13[[#This Row],[Category All]]="Category 1",Table13[[#This Row],[Base Abalone Value]]*1.5,NA())</f>
        <v>#N/A</v>
      </c>
      <c r="Y775">
        <f>IF(Table13[[#This Row],[Category All]]="Category 2",Table13[[#This Row],[Base Abalone Value]]*0.8,NA())</f>
        <v>0.82465000000000011</v>
      </c>
      <c r="Z775" t="e">
        <f>IF(Table13[[#This Row],[Category All]]="Category 3",Table13[[#This Row],[Base Abalone Value]],NA())</f>
        <v>#N/A</v>
      </c>
      <c r="AA775" s="2" t="e">
        <f>IF(Table13[[#This Row],[Gender]]="M",Table13[[#This Row],[Whole_weight]],NA())</f>
        <v>#N/A</v>
      </c>
      <c r="AB775" s="2">
        <f>IF(Table13[[#This Row],[Gender]]="F",Table13[[#This Row],[Whole_weight]],NA())</f>
        <v>1.115</v>
      </c>
      <c r="AC775" s="2" t="e">
        <f>IF(Table13[[#This Row],[Gender]]="I",Table13[[#This Row],[Whole_weight]],NA())</f>
        <v>#N/A</v>
      </c>
      <c r="AD775" s="2" t="e">
        <f>IF(Table13[[#This Row],[Gender]]="M",Table13[[#This Row],[Diameter]],NA())</f>
        <v>#N/A</v>
      </c>
      <c r="AE775" s="2">
        <f>IF(Table13[[#This Row],[Gender]]="F",Table13[[#This Row],[Diameter]],NA())</f>
        <v>0.47</v>
      </c>
      <c r="AF775" s="2" t="e">
        <f>IF(Table13[[#This Row],[Gender]]="I",Table13[[#This Row],[Diameter]],NA())</f>
        <v>#N/A</v>
      </c>
    </row>
    <row r="776" spans="1:32" x14ac:dyDescent="0.2">
      <c r="A776">
        <v>2039</v>
      </c>
      <c r="B776" t="s">
        <v>11</v>
      </c>
      <c r="C776">
        <v>0.28000000000000003</v>
      </c>
      <c r="D776">
        <v>0.215</v>
      </c>
      <c r="E776">
        <v>0.08</v>
      </c>
      <c r="F776">
        <v>0.13200000000000001</v>
      </c>
      <c r="G776">
        <v>7.1999999999999995E-2</v>
      </c>
      <c r="H776">
        <v>2.1999999999999999E-2</v>
      </c>
      <c r="I776">
        <v>3.3000000000000002E-2</v>
      </c>
      <c r="J776">
        <v>5</v>
      </c>
      <c r="K776">
        <v>9</v>
      </c>
      <c r="L776" t="s">
        <v>20</v>
      </c>
      <c r="M776" t="s">
        <v>21</v>
      </c>
      <c r="N776" t="s">
        <v>22</v>
      </c>
      <c r="O776">
        <v>9</v>
      </c>
      <c r="P776" t="s">
        <v>46</v>
      </c>
      <c r="Q776">
        <v>1.9</v>
      </c>
      <c r="R776" t="str" cm="1">
        <f t="array" ref="R7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76" t="e">
        <f>IF(Table13[[#This Row],[Category All]]="Category 1", "Yes",NA())</f>
        <v>#N/A</v>
      </c>
      <c r="T776" t="str">
        <f>IF(Table13[[#This Row],[Category All]]="Category 2", "Yes",NA())</f>
        <v>Yes</v>
      </c>
      <c r="U776" t="e">
        <f>IF(Table13[[#This Row],[Category All]]="Category 3", "Yes",NA())</f>
        <v>#N/A</v>
      </c>
      <c r="V776">
        <f>SUM(1,(1/3)*(Table13[[#This Row],[Length]]-0.5),(1/3)*(Table13[[#This Row],[Diameter]]-0.4),(1/3)*(Table13[[#This Row],[Height]]-0.4)*Table13[[#This Row],[Whole_weight]]*0.5)</f>
        <v>0.85795999999999994</v>
      </c>
      <c r="W776" cm="1">
        <f t="array" ref="W7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0.68636799999999998</v>
      </c>
      <c r="X776" t="e">
        <f>IF(Table13[[#This Row],[Category All]]="Category 1",Table13[[#This Row],[Base Abalone Value]]*1.5,NA())</f>
        <v>#N/A</v>
      </c>
      <c r="Y776">
        <f>IF(Table13[[#This Row],[Category All]]="Category 2",Table13[[#This Row],[Base Abalone Value]]*0.8,NA())</f>
        <v>0.68636799999999998</v>
      </c>
      <c r="Z776" t="e">
        <f>IF(Table13[[#This Row],[Category All]]="Category 3",Table13[[#This Row],[Base Abalone Value]],NA())</f>
        <v>#N/A</v>
      </c>
      <c r="AA776" s="2" t="e">
        <f>IF(Table13[[#This Row],[Gender]]="M",Table13[[#This Row],[Whole_weight]],NA())</f>
        <v>#N/A</v>
      </c>
      <c r="AB776" s="2" t="e">
        <f>IF(Table13[[#This Row],[Gender]]="F",Table13[[#This Row],[Whole_weight]],NA())</f>
        <v>#N/A</v>
      </c>
      <c r="AC776" s="2">
        <f>IF(Table13[[#This Row],[Gender]]="I",Table13[[#This Row],[Whole_weight]],NA())</f>
        <v>0.13200000000000001</v>
      </c>
      <c r="AD776" s="2" t="e">
        <f>IF(Table13[[#This Row],[Gender]]="M",Table13[[#This Row],[Diameter]],NA())</f>
        <v>#N/A</v>
      </c>
      <c r="AE776" s="2" t="e">
        <f>IF(Table13[[#This Row],[Gender]]="F",Table13[[#This Row],[Diameter]],NA())</f>
        <v>#N/A</v>
      </c>
      <c r="AF776" s="2">
        <f>IF(Table13[[#This Row],[Gender]]="I",Table13[[#This Row],[Diameter]],NA())</f>
        <v>0.215</v>
      </c>
    </row>
    <row r="777" spans="1:32" x14ac:dyDescent="0.2">
      <c r="A777">
        <v>2727</v>
      </c>
      <c r="B777" t="s">
        <v>11</v>
      </c>
      <c r="C777">
        <v>0.4</v>
      </c>
      <c r="D777">
        <v>0.30499999999999999</v>
      </c>
      <c r="E777">
        <v>0.1</v>
      </c>
      <c r="F777">
        <v>0.34150000000000003</v>
      </c>
      <c r="G777">
        <v>0.17599999999999999</v>
      </c>
      <c r="H777">
        <v>6.25E-2</v>
      </c>
      <c r="I777">
        <v>8.6499999999999994E-2</v>
      </c>
      <c r="J777">
        <v>7</v>
      </c>
      <c r="K777">
        <v>2</v>
      </c>
      <c r="L777" t="s">
        <v>32</v>
      </c>
      <c r="M777" t="s">
        <v>33</v>
      </c>
      <c r="N777" t="s">
        <v>34</v>
      </c>
      <c r="O777">
        <v>10</v>
      </c>
      <c r="P777" t="s">
        <v>38</v>
      </c>
      <c r="Q777">
        <v>24.1</v>
      </c>
      <c r="R777" t="str" cm="1">
        <f t="array" ref="R7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77" t="e">
        <f>IF(Table13[[#This Row],[Category All]]="Category 1", "Yes",NA())</f>
        <v>#N/A</v>
      </c>
      <c r="T777" t="str">
        <f>IF(Table13[[#This Row],[Category All]]="Category 2", "Yes",NA())</f>
        <v>Yes</v>
      </c>
      <c r="U777" t="e">
        <f>IF(Table13[[#This Row],[Category All]]="Category 3", "Yes",NA())</f>
        <v>#N/A</v>
      </c>
      <c r="V777">
        <f>SUM(1,(1/3)*(Table13[[#This Row],[Length]]-0.5),(1/3)*(Table13[[#This Row],[Diameter]]-0.4),(1/3)*(Table13[[#This Row],[Height]]-0.4)*Table13[[#This Row],[Whole_weight]]*0.5)</f>
        <v>0.9179250000000001</v>
      </c>
      <c r="W777" cm="1">
        <f t="array" ref="W7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0.7343400000000001</v>
      </c>
      <c r="X777" t="e">
        <f>IF(Table13[[#This Row],[Category All]]="Category 1",Table13[[#This Row],[Base Abalone Value]]*1.5,NA())</f>
        <v>#N/A</v>
      </c>
      <c r="Y777">
        <f>IF(Table13[[#This Row],[Category All]]="Category 2",Table13[[#This Row],[Base Abalone Value]]*0.8,NA())</f>
        <v>0.7343400000000001</v>
      </c>
      <c r="Z777" t="e">
        <f>IF(Table13[[#This Row],[Category All]]="Category 3",Table13[[#This Row],[Base Abalone Value]],NA())</f>
        <v>#N/A</v>
      </c>
      <c r="AA777" s="2" t="e">
        <f>IF(Table13[[#This Row],[Gender]]="M",Table13[[#This Row],[Whole_weight]],NA())</f>
        <v>#N/A</v>
      </c>
      <c r="AB777" s="2" t="e">
        <f>IF(Table13[[#This Row],[Gender]]="F",Table13[[#This Row],[Whole_weight]],NA())</f>
        <v>#N/A</v>
      </c>
      <c r="AC777" s="2">
        <f>IF(Table13[[#This Row],[Gender]]="I",Table13[[#This Row],[Whole_weight]],NA())</f>
        <v>0.34150000000000003</v>
      </c>
      <c r="AD777" s="2" t="e">
        <f>IF(Table13[[#This Row],[Gender]]="M",Table13[[#This Row],[Diameter]],NA())</f>
        <v>#N/A</v>
      </c>
      <c r="AE777" s="2" t="e">
        <f>IF(Table13[[#This Row],[Gender]]="F",Table13[[#This Row],[Diameter]],NA())</f>
        <v>#N/A</v>
      </c>
      <c r="AF777" s="2">
        <f>IF(Table13[[#This Row],[Gender]]="I",Table13[[#This Row],[Diameter]],NA())</f>
        <v>0.30499999999999999</v>
      </c>
    </row>
    <row r="778" spans="1:32" x14ac:dyDescent="0.2">
      <c r="A778">
        <v>65</v>
      </c>
      <c r="B778" t="s">
        <v>15</v>
      </c>
      <c r="C778">
        <v>0.52</v>
      </c>
      <c r="D778">
        <v>0.4</v>
      </c>
      <c r="E778">
        <v>0.12</v>
      </c>
      <c r="F778">
        <v>0.57999999999999996</v>
      </c>
      <c r="G778">
        <v>0.23400000000000001</v>
      </c>
      <c r="H778">
        <v>0.13150000000000001</v>
      </c>
      <c r="I778">
        <v>0.185</v>
      </c>
      <c r="J778">
        <v>8</v>
      </c>
      <c r="K778">
        <v>4</v>
      </c>
      <c r="L778" t="s">
        <v>52</v>
      </c>
      <c r="M778" t="s">
        <v>53</v>
      </c>
      <c r="N778" t="s">
        <v>54</v>
      </c>
      <c r="O778">
        <v>7</v>
      </c>
      <c r="P778" t="s">
        <v>42</v>
      </c>
      <c r="Q778">
        <v>2.5</v>
      </c>
      <c r="R778" t="str" cm="1">
        <f t="array" ref="R7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78" t="e">
        <f>IF(Table13[[#This Row],[Category All]]="Category 1", "Yes",NA())</f>
        <v>#N/A</v>
      </c>
      <c r="T778" t="str">
        <f>IF(Table13[[#This Row],[Category All]]="Category 2", "Yes",NA())</f>
        <v>Yes</v>
      </c>
      <c r="U778" t="e">
        <f>IF(Table13[[#This Row],[Category All]]="Category 3", "Yes",NA())</f>
        <v>#N/A</v>
      </c>
      <c r="V778">
        <f>SUM(1,(1/3)*(Table13[[#This Row],[Length]]-0.5),(1/3)*(Table13[[#This Row],[Diameter]]-0.4),(1/3)*(Table13[[#This Row],[Height]]-0.4)*Table13[[#This Row],[Whole_weight]]*0.5)</f>
        <v>0.97959999999999992</v>
      </c>
      <c r="W778" cm="1">
        <f t="array" ref="W7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0.78367999999999993</v>
      </c>
      <c r="X778" t="e">
        <f>IF(Table13[[#This Row],[Category All]]="Category 1",Table13[[#This Row],[Base Abalone Value]]*1.5,NA())</f>
        <v>#N/A</v>
      </c>
      <c r="Y778">
        <f>IF(Table13[[#This Row],[Category All]]="Category 2",Table13[[#This Row],[Base Abalone Value]]*0.8,NA())</f>
        <v>0.78367999999999993</v>
      </c>
      <c r="Z778" t="e">
        <f>IF(Table13[[#This Row],[Category All]]="Category 3",Table13[[#This Row],[Base Abalone Value]],NA())</f>
        <v>#N/A</v>
      </c>
      <c r="AA778" s="2">
        <f>IF(Table13[[#This Row],[Gender]]="M",Table13[[#This Row],[Whole_weight]],NA())</f>
        <v>0.57999999999999996</v>
      </c>
      <c r="AB778" s="2" t="e">
        <f>IF(Table13[[#This Row],[Gender]]="F",Table13[[#This Row],[Whole_weight]],NA())</f>
        <v>#N/A</v>
      </c>
      <c r="AC778" s="2" t="e">
        <f>IF(Table13[[#This Row],[Gender]]="I",Table13[[#This Row],[Whole_weight]],NA())</f>
        <v>#N/A</v>
      </c>
      <c r="AD778" s="2">
        <f>IF(Table13[[#This Row],[Gender]]="M",Table13[[#This Row],[Diameter]],NA())</f>
        <v>0.4</v>
      </c>
      <c r="AE778" s="2" t="e">
        <f>IF(Table13[[#This Row],[Gender]]="F",Table13[[#This Row],[Diameter]],NA())</f>
        <v>#N/A</v>
      </c>
      <c r="AF778" s="2" t="e">
        <f>IF(Table13[[#This Row],[Gender]]="I",Table13[[#This Row],[Diameter]],NA())</f>
        <v>#N/A</v>
      </c>
    </row>
    <row r="779" spans="1:32" x14ac:dyDescent="0.2">
      <c r="A779">
        <v>1687</v>
      </c>
      <c r="B779" t="s">
        <v>15</v>
      </c>
      <c r="C779">
        <v>0.62</v>
      </c>
      <c r="D779">
        <v>0.48</v>
      </c>
      <c r="E779">
        <v>0.15</v>
      </c>
      <c r="F779">
        <v>1.266</v>
      </c>
      <c r="G779">
        <v>0.62849999999999995</v>
      </c>
      <c r="H779">
        <v>0.25750000000000001</v>
      </c>
      <c r="I779">
        <v>0.309</v>
      </c>
      <c r="J779">
        <v>12</v>
      </c>
      <c r="K779">
        <v>4</v>
      </c>
      <c r="L779" t="s">
        <v>52</v>
      </c>
      <c r="M779" t="s">
        <v>53</v>
      </c>
      <c r="N779" t="s">
        <v>54</v>
      </c>
      <c r="O779">
        <v>9</v>
      </c>
      <c r="P779" t="s">
        <v>46</v>
      </c>
      <c r="Q779">
        <v>1.9</v>
      </c>
      <c r="R779" t="str" cm="1">
        <f t="array" ref="R7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79" t="e">
        <f>IF(Table13[[#This Row],[Category All]]="Category 1", "Yes",NA())</f>
        <v>#N/A</v>
      </c>
      <c r="T779" t="e">
        <f>IF(Table13[[#This Row],[Category All]]="Category 2", "Yes",NA())</f>
        <v>#N/A</v>
      </c>
      <c r="U779" t="str">
        <f>IF(Table13[[#This Row],[Category All]]="Category 3", "Yes",NA())</f>
        <v>Yes</v>
      </c>
      <c r="V779">
        <f>SUM(1,(1/3)*(Table13[[#This Row],[Length]]-0.5),(1/3)*(Table13[[#This Row],[Diameter]]-0.4),(1/3)*(Table13[[#This Row],[Height]]-0.4)*Table13[[#This Row],[Whole_weight]]*0.5)</f>
        <v>1.0139166666666666</v>
      </c>
      <c r="W779" cm="1">
        <f t="array" ref="W7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1.0139166666666666</v>
      </c>
      <c r="X779" t="e">
        <f>IF(Table13[[#This Row],[Category All]]="Category 1",Table13[[#This Row],[Base Abalone Value]]*1.5,NA())</f>
        <v>#N/A</v>
      </c>
      <c r="Y779" t="e">
        <f>IF(Table13[[#This Row],[Category All]]="Category 2",Table13[[#This Row],[Base Abalone Value]]*0.8,NA())</f>
        <v>#N/A</v>
      </c>
      <c r="Z779">
        <f>IF(Table13[[#This Row],[Category All]]="Category 3",Table13[[#This Row],[Base Abalone Value]],NA())</f>
        <v>1.0139166666666666</v>
      </c>
      <c r="AA779" s="2">
        <f>IF(Table13[[#This Row],[Gender]]="M",Table13[[#This Row],[Whole_weight]],NA())</f>
        <v>1.266</v>
      </c>
      <c r="AB779" s="2" t="e">
        <f>IF(Table13[[#This Row],[Gender]]="F",Table13[[#This Row],[Whole_weight]],NA())</f>
        <v>#N/A</v>
      </c>
      <c r="AC779" s="2" t="e">
        <f>IF(Table13[[#This Row],[Gender]]="I",Table13[[#This Row],[Whole_weight]],NA())</f>
        <v>#N/A</v>
      </c>
      <c r="AD779" s="2">
        <f>IF(Table13[[#This Row],[Gender]]="M",Table13[[#This Row],[Diameter]],NA())</f>
        <v>0.48</v>
      </c>
      <c r="AE779" s="2" t="e">
        <f>IF(Table13[[#This Row],[Gender]]="F",Table13[[#This Row],[Diameter]],NA())</f>
        <v>#N/A</v>
      </c>
      <c r="AF779" s="2" t="e">
        <f>IF(Table13[[#This Row],[Gender]]="I",Table13[[#This Row],[Diameter]],NA())</f>
        <v>#N/A</v>
      </c>
    </row>
    <row r="780" spans="1:32" x14ac:dyDescent="0.2">
      <c r="A780">
        <v>3284</v>
      </c>
      <c r="B780" t="s">
        <v>0</v>
      </c>
      <c r="C780">
        <v>0.59</v>
      </c>
      <c r="D780">
        <v>0.47499999999999998</v>
      </c>
      <c r="E780">
        <v>0.155</v>
      </c>
      <c r="F780">
        <v>0.97150000000000003</v>
      </c>
      <c r="G780">
        <v>0.371</v>
      </c>
      <c r="H780">
        <v>0.23499999999999999</v>
      </c>
      <c r="I780">
        <v>0.28000000000000003</v>
      </c>
      <c r="J780">
        <v>11</v>
      </c>
      <c r="K780">
        <v>1</v>
      </c>
      <c r="L780" t="s">
        <v>8</v>
      </c>
      <c r="M780" t="s">
        <v>9</v>
      </c>
      <c r="N780" t="s">
        <v>3</v>
      </c>
      <c r="O780">
        <v>5</v>
      </c>
      <c r="P780" t="s">
        <v>14</v>
      </c>
      <c r="Q780">
        <v>12.8</v>
      </c>
      <c r="R780" t="str" cm="1">
        <f t="array" ref="R7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80" t="e">
        <f>IF(Table13[[#This Row],[Category All]]="Category 1", "Yes",NA())</f>
        <v>#N/A</v>
      </c>
      <c r="T780" t="str">
        <f>IF(Table13[[#This Row],[Category All]]="Category 2", "Yes",NA())</f>
        <v>Yes</v>
      </c>
      <c r="U780" t="e">
        <f>IF(Table13[[#This Row],[Category All]]="Category 3", "Yes",NA())</f>
        <v>#N/A</v>
      </c>
      <c r="V780">
        <f>SUM(1,(1/3)*(Table13[[#This Row],[Length]]-0.5),(1/3)*(Table13[[#This Row],[Diameter]]-0.4),(1/3)*(Table13[[#This Row],[Height]]-0.4)*Table13[[#This Row],[Whole_weight]]*0.5)</f>
        <v>1.0153304166666666</v>
      </c>
      <c r="W780" cm="1">
        <f t="array" ref="W7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0.81226433333333325</v>
      </c>
      <c r="X780" t="e">
        <f>IF(Table13[[#This Row],[Category All]]="Category 1",Table13[[#This Row],[Base Abalone Value]]*1.5,NA())</f>
        <v>#N/A</v>
      </c>
      <c r="Y780">
        <f>IF(Table13[[#This Row],[Category All]]="Category 2",Table13[[#This Row],[Base Abalone Value]]*0.8,NA())</f>
        <v>0.81226433333333325</v>
      </c>
      <c r="Z780" t="e">
        <f>IF(Table13[[#This Row],[Category All]]="Category 3",Table13[[#This Row],[Base Abalone Value]],NA())</f>
        <v>#N/A</v>
      </c>
      <c r="AA780" s="2" t="e">
        <f>IF(Table13[[#This Row],[Gender]]="M",Table13[[#This Row],[Whole_weight]],NA())</f>
        <v>#N/A</v>
      </c>
      <c r="AB780" s="2">
        <f>IF(Table13[[#This Row],[Gender]]="F",Table13[[#This Row],[Whole_weight]],NA())</f>
        <v>0.97150000000000003</v>
      </c>
      <c r="AC780" s="2" t="e">
        <f>IF(Table13[[#This Row],[Gender]]="I",Table13[[#This Row],[Whole_weight]],NA())</f>
        <v>#N/A</v>
      </c>
      <c r="AD780" s="2" t="e">
        <f>IF(Table13[[#This Row],[Gender]]="M",Table13[[#This Row],[Diameter]],NA())</f>
        <v>#N/A</v>
      </c>
      <c r="AE780" s="2">
        <f>IF(Table13[[#This Row],[Gender]]="F",Table13[[#This Row],[Diameter]],NA())</f>
        <v>0.47499999999999998</v>
      </c>
      <c r="AF780" s="2" t="e">
        <f>IF(Table13[[#This Row],[Gender]]="I",Table13[[#This Row],[Diameter]],NA())</f>
        <v>#N/A</v>
      </c>
    </row>
    <row r="781" spans="1:32" x14ac:dyDescent="0.2">
      <c r="A781">
        <v>3688</v>
      </c>
      <c r="B781" t="s">
        <v>11</v>
      </c>
      <c r="C781">
        <v>0.625</v>
      </c>
      <c r="D781">
        <v>0.48499999999999999</v>
      </c>
      <c r="E781">
        <v>0.16</v>
      </c>
      <c r="F781">
        <v>1.1499999999999999</v>
      </c>
      <c r="G781">
        <v>0.52549999999999997</v>
      </c>
      <c r="H781">
        <v>0.25700000000000001</v>
      </c>
      <c r="I781">
        <v>0.33150000000000002</v>
      </c>
      <c r="J781">
        <v>11</v>
      </c>
      <c r="K781">
        <v>12</v>
      </c>
      <c r="L781" t="s">
        <v>1</v>
      </c>
      <c r="M781" t="s">
        <v>2</v>
      </c>
      <c r="N781" t="s">
        <v>3</v>
      </c>
      <c r="O781">
        <v>8</v>
      </c>
      <c r="P781" t="s">
        <v>19</v>
      </c>
      <c r="Q781">
        <v>12.3</v>
      </c>
      <c r="R781" t="str" cm="1">
        <f t="array" ref="R7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81" t="e">
        <f>IF(Table13[[#This Row],[Category All]]="Category 1", "Yes",NA())</f>
        <v>#N/A</v>
      </c>
      <c r="T781" t="e">
        <f>IF(Table13[[#This Row],[Category All]]="Category 2", "Yes",NA())</f>
        <v>#N/A</v>
      </c>
      <c r="U781" t="str">
        <f>IF(Table13[[#This Row],[Category All]]="Category 3", "Yes",NA())</f>
        <v>Yes</v>
      </c>
      <c r="V781">
        <f>SUM(1,(1/3)*(Table13[[#This Row],[Length]]-0.5),(1/3)*(Table13[[#This Row],[Diameter]]-0.4),(1/3)*(Table13[[#This Row],[Height]]-0.4)*Table13[[#This Row],[Whole_weight]]*0.5)</f>
        <v>1.024</v>
      </c>
      <c r="W781" cm="1">
        <f t="array" ref="W7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1.024</v>
      </c>
      <c r="X781" t="e">
        <f>IF(Table13[[#This Row],[Category All]]="Category 1",Table13[[#This Row],[Base Abalone Value]]*1.5,NA())</f>
        <v>#N/A</v>
      </c>
      <c r="Y781" t="e">
        <f>IF(Table13[[#This Row],[Category All]]="Category 2",Table13[[#This Row],[Base Abalone Value]]*0.8,NA())</f>
        <v>#N/A</v>
      </c>
      <c r="Z781">
        <f>IF(Table13[[#This Row],[Category All]]="Category 3",Table13[[#This Row],[Base Abalone Value]],NA())</f>
        <v>1.024</v>
      </c>
      <c r="AA781" s="2" t="e">
        <f>IF(Table13[[#This Row],[Gender]]="M",Table13[[#This Row],[Whole_weight]],NA())</f>
        <v>#N/A</v>
      </c>
      <c r="AB781" s="2" t="e">
        <f>IF(Table13[[#This Row],[Gender]]="F",Table13[[#This Row],[Whole_weight]],NA())</f>
        <v>#N/A</v>
      </c>
      <c r="AC781" s="2">
        <f>IF(Table13[[#This Row],[Gender]]="I",Table13[[#This Row],[Whole_weight]],NA())</f>
        <v>1.1499999999999999</v>
      </c>
      <c r="AD781" s="2" t="e">
        <f>IF(Table13[[#This Row],[Gender]]="M",Table13[[#This Row],[Diameter]],NA())</f>
        <v>#N/A</v>
      </c>
      <c r="AE781" s="2" t="e">
        <f>IF(Table13[[#This Row],[Gender]]="F",Table13[[#This Row],[Diameter]],NA())</f>
        <v>#N/A</v>
      </c>
      <c r="AF781" s="2">
        <f>IF(Table13[[#This Row],[Gender]]="I",Table13[[#This Row],[Diameter]],NA())</f>
        <v>0.48499999999999999</v>
      </c>
    </row>
    <row r="782" spans="1:32" x14ac:dyDescent="0.2">
      <c r="A782">
        <v>297</v>
      </c>
      <c r="B782" t="s">
        <v>11</v>
      </c>
      <c r="C782">
        <v>0.27500000000000002</v>
      </c>
      <c r="D782">
        <v>0.20499999999999999</v>
      </c>
      <c r="E782">
        <v>7.4999999999999997E-2</v>
      </c>
      <c r="F782">
        <v>0.1105</v>
      </c>
      <c r="G782">
        <v>4.4999999999999998E-2</v>
      </c>
      <c r="H782">
        <v>2.8500000000000001E-2</v>
      </c>
      <c r="I782">
        <v>3.5000000000000003E-2</v>
      </c>
      <c r="J782">
        <v>6</v>
      </c>
      <c r="K782">
        <v>3</v>
      </c>
      <c r="L782" t="s">
        <v>43</v>
      </c>
      <c r="M782" t="s">
        <v>44</v>
      </c>
      <c r="N782" t="s">
        <v>45</v>
      </c>
      <c r="O782">
        <v>7</v>
      </c>
      <c r="P782" t="s">
        <v>42</v>
      </c>
      <c r="Q782">
        <v>2.5</v>
      </c>
      <c r="R782" t="str" cm="1">
        <f t="array" ref="R7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82" t="e">
        <f>IF(Table13[[#This Row],[Category All]]="Category 1", "Yes",NA())</f>
        <v>#N/A</v>
      </c>
      <c r="T782" t="str">
        <f>IF(Table13[[#This Row],[Category All]]="Category 2", "Yes",NA())</f>
        <v>Yes</v>
      </c>
      <c r="U782" t="e">
        <f>IF(Table13[[#This Row],[Category All]]="Category 3", "Yes",NA())</f>
        <v>#N/A</v>
      </c>
      <c r="V782">
        <f>SUM(1,(1/3)*(Table13[[#This Row],[Length]]-0.5),(1/3)*(Table13[[#This Row],[Diameter]]-0.4),(1/3)*(Table13[[#This Row],[Height]]-0.4)*Table13[[#This Row],[Whole_weight]]*0.5)</f>
        <v>0.85401458333333347</v>
      </c>
      <c r="W782" cm="1">
        <f t="array" ref="W7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0.68321166666666677</v>
      </c>
      <c r="X782" t="e">
        <f>IF(Table13[[#This Row],[Category All]]="Category 1",Table13[[#This Row],[Base Abalone Value]]*1.5,NA())</f>
        <v>#N/A</v>
      </c>
      <c r="Y782">
        <f>IF(Table13[[#This Row],[Category All]]="Category 2",Table13[[#This Row],[Base Abalone Value]]*0.8,NA())</f>
        <v>0.68321166666666677</v>
      </c>
      <c r="Z782" t="e">
        <f>IF(Table13[[#This Row],[Category All]]="Category 3",Table13[[#This Row],[Base Abalone Value]],NA())</f>
        <v>#N/A</v>
      </c>
      <c r="AA782" s="2" t="e">
        <f>IF(Table13[[#This Row],[Gender]]="M",Table13[[#This Row],[Whole_weight]],NA())</f>
        <v>#N/A</v>
      </c>
      <c r="AB782" s="2" t="e">
        <f>IF(Table13[[#This Row],[Gender]]="F",Table13[[#This Row],[Whole_weight]],NA())</f>
        <v>#N/A</v>
      </c>
      <c r="AC782" s="2">
        <f>IF(Table13[[#This Row],[Gender]]="I",Table13[[#This Row],[Whole_weight]],NA())</f>
        <v>0.1105</v>
      </c>
      <c r="AD782" s="2" t="e">
        <f>IF(Table13[[#This Row],[Gender]]="M",Table13[[#This Row],[Diameter]],NA())</f>
        <v>#N/A</v>
      </c>
      <c r="AE782" s="2" t="e">
        <f>IF(Table13[[#This Row],[Gender]]="F",Table13[[#This Row],[Diameter]],NA())</f>
        <v>#N/A</v>
      </c>
      <c r="AF782" s="2">
        <f>IF(Table13[[#This Row],[Gender]]="I",Table13[[#This Row],[Diameter]],NA())</f>
        <v>0.20499999999999999</v>
      </c>
    </row>
    <row r="783" spans="1:32" x14ac:dyDescent="0.2">
      <c r="A783">
        <v>1153</v>
      </c>
      <c r="B783" t="s">
        <v>15</v>
      </c>
      <c r="C783">
        <v>0.59</v>
      </c>
      <c r="D783">
        <v>0.47</v>
      </c>
      <c r="E783">
        <v>0.15</v>
      </c>
      <c r="F783">
        <v>0.99550000000000005</v>
      </c>
      <c r="G783">
        <v>0.48099999999999998</v>
      </c>
      <c r="H783">
        <v>0.23200000000000001</v>
      </c>
      <c r="I783">
        <v>0.24</v>
      </c>
      <c r="J783">
        <v>8</v>
      </c>
      <c r="K783">
        <v>14</v>
      </c>
      <c r="L783" t="s">
        <v>23</v>
      </c>
      <c r="M783" t="s">
        <v>24</v>
      </c>
      <c r="N783" t="s">
        <v>25</v>
      </c>
      <c r="O783">
        <v>10</v>
      </c>
      <c r="P783" t="s">
        <v>38</v>
      </c>
      <c r="Q783">
        <v>24.1</v>
      </c>
      <c r="R783" t="str" cm="1">
        <f t="array" ref="R7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83" t="e">
        <f>IF(Table13[[#This Row],[Category All]]="Category 1", "Yes",NA())</f>
        <v>#N/A</v>
      </c>
      <c r="T783" t="e">
        <f>IF(Table13[[#This Row],[Category All]]="Category 2", "Yes",NA())</f>
        <v>#N/A</v>
      </c>
      <c r="U783" t="str">
        <f>IF(Table13[[#This Row],[Category All]]="Category 3", "Yes",NA())</f>
        <v>Yes</v>
      </c>
      <c r="V783">
        <f>SUM(1,(1/3)*(Table13[[#This Row],[Length]]-0.5),(1/3)*(Table13[[#This Row],[Diameter]]-0.4),(1/3)*(Table13[[#This Row],[Height]]-0.4)*Table13[[#This Row],[Whole_weight]]*0.5)</f>
        <v>1.0118541666666665</v>
      </c>
      <c r="W783" cm="1">
        <f t="array" ref="W7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1.0118541666666665</v>
      </c>
      <c r="X783" t="e">
        <f>IF(Table13[[#This Row],[Category All]]="Category 1",Table13[[#This Row],[Base Abalone Value]]*1.5,NA())</f>
        <v>#N/A</v>
      </c>
      <c r="Y783" t="e">
        <f>IF(Table13[[#This Row],[Category All]]="Category 2",Table13[[#This Row],[Base Abalone Value]]*0.8,NA())</f>
        <v>#N/A</v>
      </c>
      <c r="Z783">
        <f>IF(Table13[[#This Row],[Category All]]="Category 3",Table13[[#This Row],[Base Abalone Value]],NA())</f>
        <v>1.0118541666666665</v>
      </c>
      <c r="AA783" s="2">
        <f>IF(Table13[[#This Row],[Gender]]="M",Table13[[#This Row],[Whole_weight]],NA())</f>
        <v>0.99550000000000005</v>
      </c>
      <c r="AB783" s="2" t="e">
        <f>IF(Table13[[#This Row],[Gender]]="F",Table13[[#This Row],[Whole_weight]],NA())</f>
        <v>#N/A</v>
      </c>
      <c r="AC783" s="2" t="e">
        <f>IF(Table13[[#This Row],[Gender]]="I",Table13[[#This Row],[Whole_weight]],NA())</f>
        <v>#N/A</v>
      </c>
      <c r="AD783" s="2">
        <f>IF(Table13[[#This Row],[Gender]]="M",Table13[[#This Row],[Diameter]],NA())</f>
        <v>0.47</v>
      </c>
      <c r="AE783" s="2" t="e">
        <f>IF(Table13[[#This Row],[Gender]]="F",Table13[[#This Row],[Diameter]],NA())</f>
        <v>#N/A</v>
      </c>
      <c r="AF783" s="2" t="e">
        <f>IF(Table13[[#This Row],[Gender]]="I",Table13[[#This Row],[Diameter]],NA())</f>
        <v>#N/A</v>
      </c>
    </row>
    <row r="784" spans="1:32" x14ac:dyDescent="0.2">
      <c r="A784">
        <v>3718</v>
      </c>
      <c r="B784" t="s">
        <v>11</v>
      </c>
      <c r="C784">
        <v>0.35</v>
      </c>
      <c r="D784">
        <v>0.25</v>
      </c>
      <c r="E784">
        <v>0.1</v>
      </c>
      <c r="F784">
        <v>0.40150000000000002</v>
      </c>
      <c r="G784">
        <v>0.17249999999999999</v>
      </c>
      <c r="H784">
        <v>6.3E-2</v>
      </c>
      <c r="I784">
        <v>0.1255</v>
      </c>
      <c r="J784">
        <v>7</v>
      </c>
      <c r="K784">
        <v>9</v>
      </c>
      <c r="L784" t="s">
        <v>20</v>
      </c>
      <c r="M784" t="s">
        <v>21</v>
      </c>
      <c r="N784" t="s">
        <v>22</v>
      </c>
      <c r="O784">
        <v>2</v>
      </c>
      <c r="P784" t="s">
        <v>7</v>
      </c>
      <c r="Q784">
        <v>18</v>
      </c>
      <c r="R784" t="str" cm="1">
        <f t="array" ref="R7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84" t="e">
        <f>IF(Table13[[#This Row],[Category All]]="Category 1", "Yes",NA())</f>
        <v>#N/A</v>
      </c>
      <c r="T784" t="str">
        <f>IF(Table13[[#This Row],[Category All]]="Category 2", "Yes",NA())</f>
        <v>Yes</v>
      </c>
      <c r="U784" t="e">
        <f>IF(Table13[[#This Row],[Category All]]="Category 3", "Yes",NA())</f>
        <v>#N/A</v>
      </c>
      <c r="V784">
        <f>SUM(1,(1/3)*(Table13[[#This Row],[Length]]-0.5),(1/3)*(Table13[[#This Row],[Diameter]]-0.4),(1/3)*(Table13[[#This Row],[Height]]-0.4)*Table13[[#This Row],[Whole_weight]]*0.5)</f>
        <v>0.87992499999999996</v>
      </c>
      <c r="W784" cm="1">
        <f t="array" ref="W7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0.70394000000000001</v>
      </c>
      <c r="X784" t="e">
        <f>IF(Table13[[#This Row],[Category All]]="Category 1",Table13[[#This Row],[Base Abalone Value]]*1.5,NA())</f>
        <v>#N/A</v>
      </c>
      <c r="Y784">
        <f>IF(Table13[[#This Row],[Category All]]="Category 2",Table13[[#This Row],[Base Abalone Value]]*0.8,NA())</f>
        <v>0.70394000000000001</v>
      </c>
      <c r="Z784" t="e">
        <f>IF(Table13[[#This Row],[Category All]]="Category 3",Table13[[#This Row],[Base Abalone Value]],NA())</f>
        <v>#N/A</v>
      </c>
      <c r="AA784" s="2" t="e">
        <f>IF(Table13[[#This Row],[Gender]]="M",Table13[[#This Row],[Whole_weight]],NA())</f>
        <v>#N/A</v>
      </c>
      <c r="AB784" s="2" t="e">
        <f>IF(Table13[[#This Row],[Gender]]="F",Table13[[#This Row],[Whole_weight]],NA())</f>
        <v>#N/A</v>
      </c>
      <c r="AC784" s="2">
        <f>IF(Table13[[#This Row],[Gender]]="I",Table13[[#This Row],[Whole_weight]],NA())</f>
        <v>0.40150000000000002</v>
      </c>
      <c r="AD784" s="2" t="e">
        <f>IF(Table13[[#This Row],[Gender]]="M",Table13[[#This Row],[Diameter]],NA())</f>
        <v>#N/A</v>
      </c>
      <c r="AE784" s="2" t="e">
        <f>IF(Table13[[#This Row],[Gender]]="F",Table13[[#This Row],[Diameter]],NA())</f>
        <v>#N/A</v>
      </c>
      <c r="AF784" s="2">
        <f>IF(Table13[[#This Row],[Gender]]="I",Table13[[#This Row],[Diameter]],NA())</f>
        <v>0.25</v>
      </c>
    </row>
    <row r="785" spans="1:32" x14ac:dyDescent="0.2">
      <c r="A785">
        <v>3642</v>
      </c>
      <c r="B785" t="s">
        <v>11</v>
      </c>
      <c r="C785">
        <v>0.46500000000000002</v>
      </c>
      <c r="D785">
        <v>0.37</v>
      </c>
      <c r="E785">
        <v>0.115</v>
      </c>
      <c r="F785">
        <v>0.40749999999999997</v>
      </c>
      <c r="G785">
        <v>0.1515</v>
      </c>
      <c r="H785">
        <v>9.35E-2</v>
      </c>
      <c r="I785">
        <v>0.14549999999999999</v>
      </c>
      <c r="J785">
        <v>9</v>
      </c>
      <c r="K785">
        <v>9</v>
      </c>
      <c r="L785" t="s">
        <v>20</v>
      </c>
      <c r="M785" t="s">
        <v>21</v>
      </c>
      <c r="N785" t="s">
        <v>22</v>
      </c>
      <c r="O785">
        <v>9</v>
      </c>
      <c r="P785" t="s">
        <v>46</v>
      </c>
      <c r="Q785">
        <v>1.9</v>
      </c>
      <c r="R785" t="str" cm="1">
        <f t="array" ref="R7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85" t="e">
        <f>IF(Table13[[#This Row],[Category All]]="Category 1", "Yes",NA())</f>
        <v>#N/A</v>
      </c>
      <c r="T785" t="str">
        <f>IF(Table13[[#This Row],[Category All]]="Category 2", "Yes",NA())</f>
        <v>Yes</v>
      </c>
      <c r="U785" t="e">
        <f>IF(Table13[[#This Row],[Category All]]="Category 3", "Yes",NA())</f>
        <v>#N/A</v>
      </c>
      <c r="V785">
        <f>SUM(1,(1/3)*(Table13[[#This Row],[Length]]-0.5),(1/3)*(Table13[[#This Row],[Diameter]]-0.4),(1/3)*(Table13[[#This Row],[Height]]-0.4)*Table13[[#This Row],[Whole_weight]]*0.5)</f>
        <v>0.95897708333333331</v>
      </c>
      <c r="W785" cm="1">
        <f t="array" ref="W7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0.76718166666666665</v>
      </c>
      <c r="X785" t="e">
        <f>IF(Table13[[#This Row],[Category All]]="Category 1",Table13[[#This Row],[Base Abalone Value]]*1.5,NA())</f>
        <v>#N/A</v>
      </c>
      <c r="Y785">
        <f>IF(Table13[[#This Row],[Category All]]="Category 2",Table13[[#This Row],[Base Abalone Value]]*0.8,NA())</f>
        <v>0.76718166666666665</v>
      </c>
      <c r="Z785" t="e">
        <f>IF(Table13[[#This Row],[Category All]]="Category 3",Table13[[#This Row],[Base Abalone Value]],NA())</f>
        <v>#N/A</v>
      </c>
      <c r="AA785" s="2" t="e">
        <f>IF(Table13[[#This Row],[Gender]]="M",Table13[[#This Row],[Whole_weight]],NA())</f>
        <v>#N/A</v>
      </c>
      <c r="AB785" s="2" t="e">
        <f>IF(Table13[[#This Row],[Gender]]="F",Table13[[#This Row],[Whole_weight]],NA())</f>
        <v>#N/A</v>
      </c>
      <c r="AC785" s="2">
        <f>IF(Table13[[#This Row],[Gender]]="I",Table13[[#This Row],[Whole_weight]],NA())</f>
        <v>0.40749999999999997</v>
      </c>
      <c r="AD785" s="2" t="e">
        <f>IF(Table13[[#This Row],[Gender]]="M",Table13[[#This Row],[Diameter]],NA())</f>
        <v>#N/A</v>
      </c>
      <c r="AE785" s="2" t="e">
        <f>IF(Table13[[#This Row],[Gender]]="F",Table13[[#This Row],[Diameter]],NA())</f>
        <v>#N/A</v>
      </c>
      <c r="AF785" s="2">
        <f>IF(Table13[[#This Row],[Gender]]="I",Table13[[#This Row],[Diameter]],NA())</f>
        <v>0.37</v>
      </c>
    </row>
    <row r="786" spans="1:32" x14ac:dyDescent="0.2">
      <c r="A786">
        <v>678</v>
      </c>
      <c r="B786" t="s">
        <v>0</v>
      </c>
      <c r="C786">
        <v>0.5</v>
      </c>
      <c r="D786">
        <v>0.375</v>
      </c>
      <c r="E786">
        <v>0.115</v>
      </c>
      <c r="F786">
        <v>0.59450000000000003</v>
      </c>
      <c r="G786">
        <v>0.185</v>
      </c>
      <c r="H786">
        <v>0.14799999999999999</v>
      </c>
      <c r="I786">
        <v>0.19</v>
      </c>
      <c r="J786">
        <v>11</v>
      </c>
      <c r="K786">
        <v>3</v>
      </c>
      <c r="L786" t="s">
        <v>43</v>
      </c>
      <c r="M786" t="s">
        <v>44</v>
      </c>
      <c r="N786" t="s">
        <v>45</v>
      </c>
      <c r="O786">
        <v>7</v>
      </c>
      <c r="P786" t="s">
        <v>42</v>
      </c>
      <c r="Q786">
        <v>2.5</v>
      </c>
      <c r="R786" t="str" cm="1">
        <f t="array" ref="R7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86" t="e">
        <f>IF(Table13[[#This Row],[Category All]]="Category 1", "Yes",NA())</f>
        <v>#N/A</v>
      </c>
      <c r="T786" t="str">
        <f>IF(Table13[[#This Row],[Category All]]="Category 2", "Yes",NA())</f>
        <v>Yes</v>
      </c>
      <c r="U786" t="e">
        <f>IF(Table13[[#This Row],[Category All]]="Category 3", "Yes",NA())</f>
        <v>#N/A</v>
      </c>
      <c r="V786">
        <f>SUM(1,(1/3)*(Table13[[#This Row],[Length]]-0.5),(1/3)*(Table13[[#This Row],[Diameter]]-0.4),(1/3)*(Table13[[#This Row],[Height]]-0.4)*Table13[[#This Row],[Whole_weight]]*0.5)</f>
        <v>0.96342791666666672</v>
      </c>
      <c r="W786" cm="1">
        <f t="array" ref="W7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0.77074233333333342</v>
      </c>
      <c r="X786" t="e">
        <f>IF(Table13[[#This Row],[Category All]]="Category 1",Table13[[#This Row],[Base Abalone Value]]*1.5,NA())</f>
        <v>#N/A</v>
      </c>
      <c r="Y786">
        <f>IF(Table13[[#This Row],[Category All]]="Category 2",Table13[[#This Row],[Base Abalone Value]]*0.8,NA())</f>
        <v>0.77074233333333342</v>
      </c>
      <c r="Z786" t="e">
        <f>IF(Table13[[#This Row],[Category All]]="Category 3",Table13[[#This Row],[Base Abalone Value]],NA())</f>
        <v>#N/A</v>
      </c>
      <c r="AA786" s="2" t="e">
        <f>IF(Table13[[#This Row],[Gender]]="M",Table13[[#This Row],[Whole_weight]],NA())</f>
        <v>#N/A</v>
      </c>
      <c r="AB786" s="2">
        <f>IF(Table13[[#This Row],[Gender]]="F",Table13[[#This Row],[Whole_weight]],NA())</f>
        <v>0.59450000000000003</v>
      </c>
      <c r="AC786" s="2" t="e">
        <f>IF(Table13[[#This Row],[Gender]]="I",Table13[[#This Row],[Whole_weight]],NA())</f>
        <v>#N/A</v>
      </c>
      <c r="AD786" s="2" t="e">
        <f>IF(Table13[[#This Row],[Gender]]="M",Table13[[#This Row],[Diameter]],NA())</f>
        <v>#N/A</v>
      </c>
      <c r="AE786" s="2">
        <f>IF(Table13[[#This Row],[Gender]]="F",Table13[[#This Row],[Diameter]],NA())</f>
        <v>0.375</v>
      </c>
      <c r="AF786" s="2" t="e">
        <f>IF(Table13[[#This Row],[Gender]]="I",Table13[[#This Row],[Diameter]],NA())</f>
        <v>#N/A</v>
      </c>
    </row>
    <row r="787" spans="1:32" x14ac:dyDescent="0.2">
      <c r="A787">
        <v>1252</v>
      </c>
      <c r="B787" t="s">
        <v>11</v>
      </c>
      <c r="C787">
        <v>0.40500000000000003</v>
      </c>
      <c r="D787">
        <v>0.28499999999999998</v>
      </c>
      <c r="E787">
        <v>0.09</v>
      </c>
      <c r="F787">
        <v>0.26450000000000001</v>
      </c>
      <c r="G787">
        <v>0.1265</v>
      </c>
      <c r="H787">
        <v>5.0500000000000003E-2</v>
      </c>
      <c r="I787">
        <v>7.4999999999999997E-2</v>
      </c>
      <c r="J787">
        <v>6</v>
      </c>
      <c r="K787">
        <v>13</v>
      </c>
      <c r="L787" t="s">
        <v>12</v>
      </c>
      <c r="M787" t="s">
        <v>13</v>
      </c>
      <c r="N787" t="s">
        <v>3</v>
      </c>
      <c r="O787">
        <v>1</v>
      </c>
      <c r="P787" t="s">
        <v>4</v>
      </c>
      <c r="Q787">
        <v>22.1</v>
      </c>
      <c r="R787" t="str" cm="1">
        <f t="array" ref="R7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87" t="e">
        <f>IF(Table13[[#This Row],[Category All]]="Category 1", "Yes",NA())</f>
        <v>#N/A</v>
      </c>
      <c r="T787" t="str">
        <f>IF(Table13[[#This Row],[Category All]]="Category 2", "Yes",NA())</f>
        <v>Yes</v>
      </c>
      <c r="U787" t="e">
        <f>IF(Table13[[#This Row],[Category All]]="Category 3", "Yes",NA())</f>
        <v>#N/A</v>
      </c>
      <c r="V787">
        <f>SUM(1,(1/3)*(Table13[[#This Row],[Length]]-0.5),(1/3)*(Table13[[#This Row],[Diameter]]-0.4),(1/3)*(Table13[[#This Row],[Height]]-0.4)*Table13[[#This Row],[Whole_weight]]*0.5)</f>
        <v>0.91633416666666667</v>
      </c>
      <c r="W787" cm="1">
        <f t="array" ref="W7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0.7330673333333334</v>
      </c>
      <c r="X787" t="e">
        <f>IF(Table13[[#This Row],[Category All]]="Category 1",Table13[[#This Row],[Base Abalone Value]]*1.5,NA())</f>
        <v>#N/A</v>
      </c>
      <c r="Y787">
        <f>IF(Table13[[#This Row],[Category All]]="Category 2",Table13[[#This Row],[Base Abalone Value]]*0.8,NA())</f>
        <v>0.7330673333333334</v>
      </c>
      <c r="Z787" t="e">
        <f>IF(Table13[[#This Row],[Category All]]="Category 3",Table13[[#This Row],[Base Abalone Value]],NA())</f>
        <v>#N/A</v>
      </c>
      <c r="AA787" s="2" t="e">
        <f>IF(Table13[[#This Row],[Gender]]="M",Table13[[#This Row],[Whole_weight]],NA())</f>
        <v>#N/A</v>
      </c>
      <c r="AB787" s="2" t="e">
        <f>IF(Table13[[#This Row],[Gender]]="F",Table13[[#This Row],[Whole_weight]],NA())</f>
        <v>#N/A</v>
      </c>
      <c r="AC787" s="2">
        <f>IF(Table13[[#This Row],[Gender]]="I",Table13[[#This Row],[Whole_weight]],NA())</f>
        <v>0.26450000000000001</v>
      </c>
      <c r="AD787" s="2" t="e">
        <f>IF(Table13[[#This Row],[Gender]]="M",Table13[[#This Row],[Diameter]],NA())</f>
        <v>#N/A</v>
      </c>
      <c r="AE787" s="2" t="e">
        <f>IF(Table13[[#This Row],[Gender]]="F",Table13[[#This Row],[Diameter]],NA())</f>
        <v>#N/A</v>
      </c>
      <c r="AF787" s="2">
        <f>IF(Table13[[#This Row],[Gender]]="I",Table13[[#This Row],[Diameter]],NA())</f>
        <v>0.28499999999999998</v>
      </c>
    </row>
    <row r="788" spans="1:32" x14ac:dyDescent="0.2">
      <c r="A788">
        <v>2135</v>
      </c>
      <c r="B788" t="s">
        <v>0</v>
      </c>
      <c r="C788">
        <v>0.44</v>
      </c>
      <c r="D788">
        <v>0.33</v>
      </c>
      <c r="E788">
        <v>0.115</v>
      </c>
      <c r="F788">
        <v>0.40050000000000002</v>
      </c>
      <c r="G788">
        <v>0.14299999999999999</v>
      </c>
      <c r="H788">
        <v>0.113</v>
      </c>
      <c r="I788">
        <v>0.12</v>
      </c>
      <c r="J788">
        <v>8</v>
      </c>
      <c r="K788">
        <v>2</v>
      </c>
      <c r="L788" t="s">
        <v>32</v>
      </c>
      <c r="M788" t="s">
        <v>33</v>
      </c>
      <c r="N788" t="s">
        <v>34</v>
      </c>
      <c r="O788">
        <v>1</v>
      </c>
      <c r="P788" t="s">
        <v>4</v>
      </c>
      <c r="Q788">
        <v>22.1</v>
      </c>
      <c r="R788" t="str" cm="1">
        <f t="array" ref="R7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88" t="e">
        <f>IF(Table13[[#This Row],[Category All]]="Category 1", "Yes",NA())</f>
        <v>#N/A</v>
      </c>
      <c r="T788" t="str">
        <f>IF(Table13[[#This Row],[Category All]]="Category 2", "Yes",NA())</f>
        <v>Yes</v>
      </c>
      <c r="U788" t="e">
        <f>IF(Table13[[#This Row],[Category All]]="Category 3", "Yes",NA())</f>
        <v>#N/A</v>
      </c>
      <c r="V788">
        <f>SUM(1,(1/3)*(Table13[[#This Row],[Length]]-0.5),(1/3)*(Table13[[#This Row],[Diameter]]-0.4),(1/3)*(Table13[[#This Row],[Height]]-0.4)*Table13[[#This Row],[Whole_weight]]*0.5)</f>
        <v>0.93764291666666666</v>
      </c>
      <c r="W788" cm="1">
        <f t="array" ref="W7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0.75011433333333333</v>
      </c>
      <c r="X788" t="e">
        <f>IF(Table13[[#This Row],[Category All]]="Category 1",Table13[[#This Row],[Base Abalone Value]]*1.5,NA())</f>
        <v>#N/A</v>
      </c>
      <c r="Y788">
        <f>IF(Table13[[#This Row],[Category All]]="Category 2",Table13[[#This Row],[Base Abalone Value]]*0.8,NA())</f>
        <v>0.75011433333333333</v>
      </c>
      <c r="Z788" t="e">
        <f>IF(Table13[[#This Row],[Category All]]="Category 3",Table13[[#This Row],[Base Abalone Value]],NA())</f>
        <v>#N/A</v>
      </c>
      <c r="AA788" s="2" t="e">
        <f>IF(Table13[[#This Row],[Gender]]="M",Table13[[#This Row],[Whole_weight]],NA())</f>
        <v>#N/A</v>
      </c>
      <c r="AB788" s="2">
        <f>IF(Table13[[#This Row],[Gender]]="F",Table13[[#This Row],[Whole_weight]],NA())</f>
        <v>0.40050000000000002</v>
      </c>
      <c r="AC788" s="2" t="e">
        <f>IF(Table13[[#This Row],[Gender]]="I",Table13[[#This Row],[Whole_weight]],NA())</f>
        <v>#N/A</v>
      </c>
      <c r="AD788" s="2" t="e">
        <f>IF(Table13[[#This Row],[Gender]]="M",Table13[[#This Row],[Diameter]],NA())</f>
        <v>#N/A</v>
      </c>
      <c r="AE788" s="2">
        <f>IF(Table13[[#This Row],[Gender]]="F",Table13[[#This Row],[Diameter]],NA())</f>
        <v>0.33</v>
      </c>
      <c r="AF788" s="2" t="e">
        <f>IF(Table13[[#This Row],[Gender]]="I",Table13[[#This Row],[Diameter]],NA())</f>
        <v>#N/A</v>
      </c>
    </row>
    <row r="789" spans="1:32" x14ac:dyDescent="0.2">
      <c r="A789">
        <v>2140</v>
      </c>
      <c r="B789" t="s">
        <v>15</v>
      </c>
      <c r="C789">
        <v>0.68</v>
      </c>
      <c r="D789">
        <v>0.53</v>
      </c>
      <c r="E789">
        <v>0.20499999999999999</v>
      </c>
      <c r="F789">
        <v>1.496</v>
      </c>
      <c r="G789">
        <v>0.58250000000000002</v>
      </c>
      <c r="H789">
        <v>0.33700000000000002</v>
      </c>
      <c r="I789">
        <v>0.46500000000000002</v>
      </c>
      <c r="J789">
        <v>14</v>
      </c>
      <c r="K789">
        <v>2</v>
      </c>
      <c r="L789" t="s">
        <v>32</v>
      </c>
      <c r="M789" t="s">
        <v>33</v>
      </c>
      <c r="N789" t="s">
        <v>34</v>
      </c>
      <c r="O789">
        <v>3</v>
      </c>
      <c r="P789" t="s">
        <v>48</v>
      </c>
      <c r="Q789">
        <v>3.6</v>
      </c>
      <c r="R789" t="str" cm="1">
        <f t="array" ref="R7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89" t="e">
        <f>IF(Table13[[#This Row],[Category All]]="Category 1", "Yes",NA())</f>
        <v>#N/A</v>
      </c>
      <c r="T789" t="e">
        <f>IF(Table13[[#This Row],[Category All]]="Category 2", "Yes",NA())</f>
        <v>#N/A</v>
      </c>
      <c r="U789" t="str">
        <f>IF(Table13[[#This Row],[Category All]]="Category 3", "Yes",NA())</f>
        <v>Yes</v>
      </c>
      <c r="V789">
        <f>SUM(1,(1/3)*(Table13[[#This Row],[Length]]-0.5),(1/3)*(Table13[[#This Row],[Diameter]]-0.4),(1/3)*(Table13[[#This Row],[Height]]-0.4)*Table13[[#This Row],[Whole_weight]]*0.5)</f>
        <v>1.0547133333333334</v>
      </c>
      <c r="W789" cm="1">
        <f t="array" ref="W7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1.0547133333333334</v>
      </c>
      <c r="X789" t="e">
        <f>IF(Table13[[#This Row],[Category All]]="Category 1",Table13[[#This Row],[Base Abalone Value]]*1.5,NA())</f>
        <v>#N/A</v>
      </c>
      <c r="Y789" t="e">
        <f>IF(Table13[[#This Row],[Category All]]="Category 2",Table13[[#This Row],[Base Abalone Value]]*0.8,NA())</f>
        <v>#N/A</v>
      </c>
      <c r="Z789">
        <f>IF(Table13[[#This Row],[Category All]]="Category 3",Table13[[#This Row],[Base Abalone Value]],NA())</f>
        <v>1.0547133333333334</v>
      </c>
      <c r="AA789" s="2">
        <f>IF(Table13[[#This Row],[Gender]]="M",Table13[[#This Row],[Whole_weight]],NA())</f>
        <v>1.496</v>
      </c>
      <c r="AB789" s="2" t="e">
        <f>IF(Table13[[#This Row],[Gender]]="F",Table13[[#This Row],[Whole_weight]],NA())</f>
        <v>#N/A</v>
      </c>
      <c r="AC789" s="2" t="e">
        <f>IF(Table13[[#This Row],[Gender]]="I",Table13[[#This Row],[Whole_weight]],NA())</f>
        <v>#N/A</v>
      </c>
      <c r="AD789" s="2">
        <f>IF(Table13[[#This Row],[Gender]]="M",Table13[[#This Row],[Diameter]],NA())</f>
        <v>0.53</v>
      </c>
      <c r="AE789" s="2" t="e">
        <f>IF(Table13[[#This Row],[Gender]]="F",Table13[[#This Row],[Diameter]],NA())</f>
        <v>#N/A</v>
      </c>
      <c r="AF789" s="2" t="e">
        <f>IF(Table13[[#This Row],[Gender]]="I",Table13[[#This Row],[Diameter]],NA())</f>
        <v>#N/A</v>
      </c>
    </row>
    <row r="790" spans="1:32" x14ac:dyDescent="0.2">
      <c r="A790">
        <v>247</v>
      </c>
      <c r="B790" t="s">
        <v>11</v>
      </c>
      <c r="C790">
        <v>0.32</v>
      </c>
      <c r="D790">
        <v>0.245</v>
      </c>
      <c r="E790">
        <v>0.08</v>
      </c>
      <c r="F790">
        <v>0.1585</v>
      </c>
      <c r="G790">
        <v>6.3500000000000001E-2</v>
      </c>
      <c r="H790">
        <v>3.2500000000000001E-2</v>
      </c>
      <c r="I790">
        <v>0.05</v>
      </c>
      <c r="J790">
        <v>13</v>
      </c>
      <c r="K790">
        <v>15</v>
      </c>
      <c r="L790" t="s">
        <v>49</v>
      </c>
      <c r="M790" t="s">
        <v>50</v>
      </c>
      <c r="N790" t="s">
        <v>3</v>
      </c>
      <c r="O790">
        <v>10</v>
      </c>
      <c r="P790" t="s">
        <v>38</v>
      </c>
      <c r="Q790">
        <v>24.1</v>
      </c>
      <c r="R790" t="str" cm="1">
        <f t="array" ref="R7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90" t="e">
        <f>IF(Table13[[#This Row],[Category All]]="Category 1", "Yes",NA())</f>
        <v>#N/A</v>
      </c>
      <c r="T790" t="str">
        <f>IF(Table13[[#This Row],[Category All]]="Category 2", "Yes",NA())</f>
        <v>Yes</v>
      </c>
      <c r="U790" t="e">
        <f>IF(Table13[[#This Row],[Category All]]="Category 3", "Yes",NA())</f>
        <v>#N/A</v>
      </c>
      <c r="V790">
        <f>SUM(1,(1/3)*(Table13[[#This Row],[Length]]-0.5),(1/3)*(Table13[[#This Row],[Diameter]]-0.4),(1/3)*(Table13[[#This Row],[Height]]-0.4)*Table13[[#This Row],[Whole_weight]]*0.5)</f>
        <v>0.87988</v>
      </c>
      <c r="W790" cm="1">
        <f t="array" ref="W7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0.70390400000000009</v>
      </c>
      <c r="X790" t="e">
        <f>IF(Table13[[#This Row],[Category All]]="Category 1",Table13[[#This Row],[Base Abalone Value]]*1.5,NA())</f>
        <v>#N/A</v>
      </c>
      <c r="Y790">
        <f>IF(Table13[[#This Row],[Category All]]="Category 2",Table13[[#This Row],[Base Abalone Value]]*0.8,NA())</f>
        <v>0.70390400000000009</v>
      </c>
      <c r="Z790" t="e">
        <f>IF(Table13[[#This Row],[Category All]]="Category 3",Table13[[#This Row],[Base Abalone Value]],NA())</f>
        <v>#N/A</v>
      </c>
      <c r="AA790" s="2" t="e">
        <f>IF(Table13[[#This Row],[Gender]]="M",Table13[[#This Row],[Whole_weight]],NA())</f>
        <v>#N/A</v>
      </c>
      <c r="AB790" s="2" t="e">
        <f>IF(Table13[[#This Row],[Gender]]="F",Table13[[#This Row],[Whole_weight]],NA())</f>
        <v>#N/A</v>
      </c>
      <c r="AC790" s="2">
        <f>IF(Table13[[#This Row],[Gender]]="I",Table13[[#This Row],[Whole_weight]],NA())</f>
        <v>0.1585</v>
      </c>
      <c r="AD790" s="2" t="e">
        <f>IF(Table13[[#This Row],[Gender]]="M",Table13[[#This Row],[Diameter]],NA())</f>
        <v>#N/A</v>
      </c>
      <c r="AE790" s="2" t="e">
        <f>IF(Table13[[#This Row],[Gender]]="F",Table13[[#This Row],[Diameter]],NA())</f>
        <v>#N/A</v>
      </c>
      <c r="AF790" s="2">
        <f>IF(Table13[[#This Row],[Gender]]="I",Table13[[#This Row],[Diameter]],NA())</f>
        <v>0.245</v>
      </c>
    </row>
    <row r="791" spans="1:32" x14ac:dyDescent="0.2">
      <c r="A791">
        <v>3215</v>
      </c>
      <c r="B791" t="s">
        <v>0</v>
      </c>
      <c r="C791">
        <v>0.56999999999999995</v>
      </c>
      <c r="D791">
        <v>0.495</v>
      </c>
      <c r="E791">
        <v>0.16</v>
      </c>
      <c r="F791">
        <v>1.0914999999999999</v>
      </c>
      <c r="G791">
        <v>0.45200000000000001</v>
      </c>
      <c r="H791">
        <v>0.27500000000000002</v>
      </c>
      <c r="I791">
        <v>0.315</v>
      </c>
      <c r="J791">
        <v>14</v>
      </c>
      <c r="K791">
        <v>8</v>
      </c>
      <c r="L791" t="s">
        <v>29</v>
      </c>
      <c r="M791" t="s">
        <v>30</v>
      </c>
      <c r="N791" t="s">
        <v>31</v>
      </c>
      <c r="O791">
        <v>4</v>
      </c>
      <c r="P791" t="s">
        <v>10</v>
      </c>
      <c r="Q791">
        <v>6.1</v>
      </c>
      <c r="R791" t="str" cm="1">
        <f t="array" ref="R7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91" t="e">
        <f>IF(Table13[[#This Row],[Category All]]="Category 1", "Yes",NA())</f>
        <v>#N/A</v>
      </c>
      <c r="T791" t="e">
        <f>IF(Table13[[#This Row],[Category All]]="Category 2", "Yes",NA())</f>
        <v>#N/A</v>
      </c>
      <c r="U791" t="str">
        <f>IF(Table13[[#This Row],[Category All]]="Category 3", "Yes",NA())</f>
        <v>Yes</v>
      </c>
      <c r="V791">
        <f>SUM(1,(1/3)*(Table13[[#This Row],[Length]]-0.5),(1/3)*(Table13[[#This Row],[Diameter]]-0.4),(1/3)*(Table13[[#This Row],[Height]]-0.4)*Table13[[#This Row],[Whole_weight]]*0.5)</f>
        <v>1.0113400000000001</v>
      </c>
      <c r="W791" cm="1">
        <f t="array" ref="W7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1.0113400000000001</v>
      </c>
      <c r="X791" t="e">
        <f>IF(Table13[[#This Row],[Category All]]="Category 1",Table13[[#This Row],[Base Abalone Value]]*1.5,NA())</f>
        <v>#N/A</v>
      </c>
      <c r="Y791" t="e">
        <f>IF(Table13[[#This Row],[Category All]]="Category 2",Table13[[#This Row],[Base Abalone Value]]*0.8,NA())</f>
        <v>#N/A</v>
      </c>
      <c r="Z791">
        <f>IF(Table13[[#This Row],[Category All]]="Category 3",Table13[[#This Row],[Base Abalone Value]],NA())</f>
        <v>1.0113400000000001</v>
      </c>
      <c r="AA791" s="2" t="e">
        <f>IF(Table13[[#This Row],[Gender]]="M",Table13[[#This Row],[Whole_weight]],NA())</f>
        <v>#N/A</v>
      </c>
      <c r="AB791" s="2">
        <f>IF(Table13[[#This Row],[Gender]]="F",Table13[[#This Row],[Whole_weight]],NA())</f>
        <v>1.0914999999999999</v>
      </c>
      <c r="AC791" s="2" t="e">
        <f>IF(Table13[[#This Row],[Gender]]="I",Table13[[#This Row],[Whole_weight]],NA())</f>
        <v>#N/A</v>
      </c>
      <c r="AD791" s="2" t="e">
        <f>IF(Table13[[#This Row],[Gender]]="M",Table13[[#This Row],[Diameter]],NA())</f>
        <v>#N/A</v>
      </c>
      <c r="AE791" s="2">
        <f>IF(Table13[[#This Row],[Gender]]="F",Table13[[#This Row],[Diameter]],NA())</f>
        <v>0.495</v>
      </c>
      <c r="AF791" s="2" t="e">
        <f>IF(Table13[[#This Row],[Gender]]="I",Table13[[#This Row],[Diameter]],NA())</f>
        <v>#N/A</v>
      </c>
    </row>
    <row r="792" spans="1:32" x14ac:dyDescent="0.2">
      <c r="A792">
        <v>1414</v>
      </c>
      <c r="B792" t="s">
        <v>15</v>
      </c>
      <c r="C792">
        <v>0.67500000000000004</v>
      </c>
      <c r="D792">
        <v>0.54500000000000004</v>
      </c>
      <c r="E792">
        <v>0.185</v>
      </c>
      <c r="F792">
        <v>1.7375</v>
      </c>
      <c r="G792">
        <v>0.876</v>
      </c>
      <c r="H792">
        <v>0.3135</v>
      </c>
      <c r="I792">
        <v>0.46899999999999997</v>
      </c>
      <c r="J792">
        <v>13</v>
      </c>
      <c r="K792">
        <v>10</v>
      </c>
      <c r="L792" t="s">
        <v>16</v>
      </c>
      <c r="M792" t="s">
        <v>17</v>
      </c>
      <c r="N792" t="s">
        <v>18</v>
      </c>
      <c r="O792">
        <v>8</v>
      </c>
      <c r="P792" t="s">
        <v>19</v>
      </c>
      <c r="Q792">
        <v>12.3</v>
      </c>
      <c r="R792" t="str" cm="1">
        <f t="array" ref="R7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92" t="e">
        <f>IF(Table13[[#This Row],[Category All]]="Category 1", "Yes",NA())</f>
        <v>#N/A</v>
      </c>
      <c r="T792" t="e">
        <f>IF(Table13[[#This Row],[Category All]]="Category 2", "Yes",NA())</f>
        <v>#N/A</v>
      </c>
      <c r="U792" t="str">
        <f>IF(Table13[[#This Row],[Category All]]="Category 3", "Yes",NA())</f>
        <v>Yes</v>
      </c>
      <c r="V792">
        <f>SUM(1,(1/3)*(Table13[[#This Row],[Length]]-0.5),(1/3)*(Table13[[#This Row],[Diameter]]-0.4),(1/3)*(Table13[[#This Row],[Height]]-0.4)*Table13[[#This Row],[Whole_weight]]*0.5)</f>
        <v>1.04440625</v>
      </c>
      <c r="W792" cm="1">
        <f t="array" ref="W7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1.04440625</v>
      </c>
      <c r="X792" t="e">
        <f>IF(Table13[[#This Row],[Category All]]="Category 1",Table13[[#This Row],[Base Abalone Value]]*1.5,NA())</f>
        <v>#N/A</v>
      </c>
      <c r="Y792" t="e">
        <f>IF(Table13[[#This Row],[Category All]]="Category 2",Table13[[#This Row],[Base Abalone Value]]*0.8,NA())</f>
        <v>#N/A</v>
      </c>
      <c r="Z792">
        <f>IF(Table13[[#This Row],[Category All]]="Category 3",Table13[[#This Row],[Base Abalone Value]],NA())</f>
        <v>1.04440625</v>
      </c>
      <c r="AA792" s="2">
        <f>IF(Table13[[#This Row],[Gender]]="M",Table13[[#This Row],[Whole_weight]],NA())</f>
        <v>1.7375</v>
      </c>
      <c r="AB792" s="2" t="e">
        <f>IF(Table13[[#This Row],[Gender]]="F",Table13[[#This Row],[Whole_weight]],NA())</f>
        <v>#N/A</v>
      </c>
      <c r="AC792" s="2" t="e">
        <f>IF(Table13[[#This Row],[Gender]]="I",Table13[[#This Row],[Whole_weight]],NA())</f>
        <v>#N/A</v>
      </c>
      <c r="AD792" s="2">
        <f>IF(Table13[[#This Row],[Gender]]="M",Table13[[#This Row],[Diameter]],NA())</f>
        <v>0.54500000000000004</v>
      </c>
      <c r="AE792" s="2" t="e">
        <f>IF(Table13[[#This Row],[Gender]]="F",Table13[[#This Row],[Diameter]],NA())</f>
        <v>#N/A</v>
      </c>
      <c r="AF792" s="2" t="e">
        <f>IF(Table13[[#This Row],[Gender]]="I",Table13[[#This Row],[Diameter]],NA())</f>
        <v>#N/A</v>
      </c>
    </row>
    <row r="793" spans="1:32" x14ac:dyDescent="0.2">
      <c r="A793">
        <v>904</v>
      </c>
      <c r="B793" t="s">
        <v>11</v>
      </c>
      <c r="C793">
        <v>0.315</v>
      </c>
      <c r="D793">
        <v>0.23499999999999999</v>
      </c>
      <c r="E793">
        <v>7.4999999999999997E-2</v>
      </c>
      <c r="F793">
        <v>0.14849999999999999</v>
      </c>
      <c r="G793">
        <v>5.8500000000000003E-2</v>
      </c>
      <c r="H793">
        <v>3.7499999999999999E-2</v>
      </c>
      <c r="I793">
        <v>4.2500000000000003E-2</v>
      </c>
      <c r="J793">
        <v>6</v>
      </c>
      <c r="K793">
        <v>15</v>
      </c>
      <c r="L793" t="s">
        <v>49</v>
      </c>
      <c r="M793" t="s">
        <v>50</v>
      </c>
      <c r="N793" t="s">
        <v>3</v>
      </c>
      <c r="O793">
        <v>6</v>
      </c>
      <c r="P793" t="s">
        <v>47</v>
      </c>
      <c r="Q793">
        <v>14.1</v>
      </c>
      <c r="R793" t="str" cm="1">
        <f t="array" ref="R7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93" t="e">
        <f>IF(Table13[[#This Row],[Category All]]="Category 1", "Yes",NA())</f>
        <v>#N/A</v>
      </c>
      <c r="T793" t="str">
        <f>IF(Table13[[#This Row],[Category All]]="Category 2", "Yes",NA())</f>
        <v>Yes</v>
      </c>
      <c r="U793" t="e">
        <f>IF(Table13[[#This Row],[Category All]]="Category 3", "Yes",NA())</f>
        <v>#N/A</v>
      </c>
      <c r="V793">
        <f>SUM(1,(1/3)*(Table13[[#This Row],[Length]]-0.5),(1/3)*(Table13[[#This Row],[Diameter]]-0.4),(1/3)*(Table13[[#This Row],[Height]]-0.4)*Table13[[#This Row],[Whole_weight]]*0.5)</f>
        <v>0.87528958333333329</v>
      </c>
      <c r="W793" cm="1">
        <f t="array" ref="W7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0.7002316666666667</v>
      </c>
      <c r="X793" t="e">
        <f>IF(Table13[[#This Row],[Category All]]="Category 1",Table13[[#This Row],[Base Abalone Value]]*1.5,NA())</f>
        <v>#N/A</v>
      </c>
      <c r="Y793">
        <f>IF(Table13[[#This Row],[Category All]]="Category 2",Table13[[#This Row],[Base Abalone Value]]*0.8,NA())</f>
        <v>0.7002316666666667</v>
      </c>
      <c r="Z793" t="e">
        <f>IF(Table13[[#This Row],[Category All]]="Category 3",Table13[[#This Row],[Base Abalone Value]],NA())</f>
        <v>#N/A</v>
      </c>
      <c r="AA793" s="2" t="e">
        <f>IF(Table13[[#This Row],[Gender]]="M",Table13[[#This Row],[Whole_weight]],NA())</f>
        <v>#N/A</v>
      </c>
      <c r="AB793" s="2" t="e">
        <f>IF(Table13[[#This Row],[Gender]]="F",Table13[[#This Row],[Whole_weight]],NA())</f>
        <v>#N/A</v>
      </c>
      <c r="AC793" s="2">
        <f>IF(Table13[[#This Row],[Gender]]="I",Table13[[#This Row],[Whole_weight]],NA())</f>
        <v>0.14849999999999999</v>
      </c>
      <c r="AD793" s="2" t="e">
        <f>IF(Table13[[#This Row],[Gender]]="M",Table13[[#This Row],[Diameter]],NA())</f>
        <v>#N/A</v>
      </c>
      <c r="AE793" s="2" t="e">
        <f>IF(Table13[[#This Row],[Gender]]="F",Table13[[#This Row],[Diameter]],NA())</f>
        <v>#N/A</v>
      </c>
      <c r="AF793" s="2">
        <f>IF(Table13[[#This Row],[Gender]]="I",Table13[[#This Row],[Diameter]],NA())</f>
        <v>0.23499999999999999</v>
      </c>
    </row>
    <row r="794" spans="1:32" x14ac:dyDescent="0.2">
      <c r="A794">
        <v>3814</v>
      </c>
      <c r="B794" t="s">
        <v>11</v>
      </c>
      <c r="C794">
        <v>0.35</v>
      </c>
      <c r="D794">
        <v>0.26</v>
      </c>
      <c r="E794">
        <v>9.5000000000000001E-2</v>
      </c>
      <c r="F794">
        <v>0.221</v>
      </c>
      <c r="G794">
        <v>9.8500000000000004E-2</v>
      </c>
      <c r="H794">
        <v>4.2999999999999997E-2</v>
      </c>
      <c r="I794">
        <v>7.0000000000000007E-2</v>
      </c>
      <c r="J794">
        <v>8</v>
      </c>
      <c r="K794">
        <v>10</v>
      </c>
      <c r="L794" t="s">
        <v>16</v>
      </c>
      <c r="M794" t="s">
        <v>17</v>
      </c>
      <c r="N794" t="s">
        <v>18</v>
      </c>
      <c r="O794">
        <v>9</v>
      </c>
      <c r="P794" t="s">
        <v>46</v>
      </c>
      <c r="Q794">
        <v>1.9</v>
      </c>
      <c r="R794" t="str" cm="1">
        <f t="array" ref="R7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94" t="e">
        <f>IF(Table13[[#This Row],[Category All]]="Category 1", "Yes",NA())</f>
        <v>#N/A</v>
      </c>
      <c r="T794" t="str">
        <f>IF(Table13[[#This Row],[Category All]]="Category 2", "Yes",NA())</f>
        <v>Yes</v>
      </c>
      <c r="U794" t="e">
        <f>IF(Table13[[#This Row],[Category All]]="Category 3", "Yes",NA())</f>
        <v>#N/A</v>
      </c>
      <c r="V794">
        <f>SUM(1,(1/3)*(Table13[[#This Row],[Length]]-0.5),(1/3)*(Table13[[#This Row],[Diameter]]-0.4),(1/3)*(Table13[[#This Row],[Height]]-0.4)*Table13[[#This Row],[Whole_weight]]*0.5)</f>
        <v>0.89209916666666667</v>
      </c>
      <c r="W794" cm="1">
        <f t="array" ref="W7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0.71367933333333333</v>
      </c>
      <c r="X794" t="e">
        <f>IF(Table13[[#This Row],[Category All]]="Category 1",Table13[[#This Row],[Base Abalone Value]]*1.5,NA())</f>
        <v>#N/A</v>
      </c>
      <c r="Y794">
        <f>IF(Table13[[#This Row],[Category All]]="Category 2",Table13[[#This Row],[Base Abalone Value]]*0.8,NA())</f>
        <v>0.71367933333333333</v>
      </c>
      <c r="Z794" t="e">
        <f>IF(Table13[[#This Row],[Category All]]="Category 3",Table13[[#This Row],[Base Abalone Value]],NA())</f>
        <v>#N/A</v>
      </c>
      <c r="AA794" s="2" t="e">
        <f>IF(Table13[[#This Row],[Gender]]="M",Table13[[#This Row],[Whole_weight]],NA())</f>
        <v>#N/A</v>
      </c>
      <c r="AB794" s="2" t="e">
        <f>IF(Table13[[#This Row],[Gender]]="F",Table13[[#This Row],[Whole_weight]],NA())</f>
        <v>#N/A</v>
      </c>
      <c r="AC794" s="2">
        <f>IF(Table13[[#This Row],[Gender]]="I",Table13[[#This Row],[Whole_weight]],NA())</f>
        <v>0.221</v>
      </c>
      <c r="AD794" s="2" t="e">
        <f>IF(Table13[[#This Row],[Gender]]="M",Table13[[#This Row],[Diameter]],NA())</f>
        <v>#N/A</v>
      </c>
      <c r="AE794" s="2" t="e">
        <f>IF(Table13[[#This Row],[Gender]]="F",Table13[[#This Row],[Diameter]],NA())</f>
        <v>#N/A</v>
      </c>
      <c r="AF794" s="2">
        <f>IF(Table13[[#This Row],[Gender]]="I",Table13[[#This Row],[Diameter]],NA())</f>
        <v>0.26</v>
      </c>
    </row>
    <row r="795" spans="1:32" x14ac:dyDescent="0.2">
      <c r="A795">
        <v>4044</v>
      </c>
      <c r="B795" t="s">
        <v>0</v>
      </c>
      <c r="C795">
        <v>0.57999999999999996</v>
      </c>
      <c r="D795">
        <v>0.46</v>
      </c>
      <c r="E795">
        <v>0.13500000000000001</v>
      </c>
      <c r="F795">
        <v>0.92600000000000005</v>
      </c>
      <c r="G795">
        <v>0.40250000000000002</v>
      </c>
      <c r="H795">
        <v>0.20799999999999999</v>
      </c>
      <c r="I795">
        <v>0.27500000000000002</v>
      </c>
      <c r="J795">
        <v>8</v>
      </c>
      <c r="K795">
        <v>9</v>
      </c>
      <c r="L795" t="s">
        <v>20</v>
      </c>
      <c r="M795" t="s">
        <v>21</v>
      </c>
      <c r="N795" t="s">
        <v>22</v>
      </c>
      <c r="O795">
        <v>3</v>
      </c>
      <c r="P795" t="s">
        <v>48</v>
      </c>
      <c r="Q795">
        <v>3.6</v>
      </c>
      <c r="R795" t="str" cm="1">
        <f t="array" ref="R7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95" t="e">
        <f>IF(Table13[[#This Row],[Category All]]="Category 1", "Yes",NA())</f>
        <v>#N/A</v>
      </c>
      <c r="T795" t="e">
        <f>IF(Table13[[#This Row],[Category All]]="Category 2", "Yes",NA())</f>
        <v>#N/A</v>
      </c>
      <c r="U795" t="str">
        <f>IF(Table13[[#This Row],[Category All]]="Category 3", "Yes",NA())</f>
        <v>Yes</v>
      </c>
      <c r="V795">
        <f>SUM(1,(1/3)*(Table13[[#This Row],[Length]]-0.5),(1/3)*(Table13[[#This Row],[Diameter]]-0.4),(1/3)*(Table13[[#This Row],[Height]]-0.4)*Table13[[#This Row],[Whole_weight]]*0.5)</f>
        <v>1.0057683333333334</v>
      </c>
      <c r="W795" cm="1">
        <f t="array" ref="W7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1.0057683333333334</v>
      </c>
      <c r="X795" t="e">
        <f>IF(Table13[[#This Row],[Category All]]="Category 1",Table13[[#This Row],[Base Abalone Value]]*1.5,NA())</f>
        <v>#N/A</v>
      </c>
      <c r="Y795" t="e">
        <f>IF(Table13[[#This Row],[Category All]]="Category 2",Table13[[#This Row],[Base Abalone Value]]*0.8,NA())</f>
        <v>#N/A</v>
      </c>
      <c r="Z795">
        <f>IF(Table13[[#This Row],[Category All]]="Category 3",Table13[[#This Row],[Base Abalone Value]],NA())</f>
        <v>1.0057683333333334</v>
      </c>
      <c r="AA795" s="2" t="e">
        <f>IF(Table13[[#This Row],[Gender]]="M",Table13[[#This Row],[Whole_weight]],NA())</f>
        <v>#N/A</v>
      </c>
      <c r="AB795" s="2">
        <f>IF(Table13[[#This Row],[Gender]]="F",Table13[[#This Row],[Whole_weight]],NA())</f>
        <v>0.92600000000000005</v>
      </c>
      <c r="AC795" s="2" t="e">
        <f>IF(Table13[[#This Row],[Gender]]="I",Table13[[#This Row],[Whole_weight]],NA())</f>
        <v>#N/A</v>
      </c>
      <c r="AD795" s="2" t="e">
        <f>IF(Table13[[#This Row],[Gender]]="M",Table13[[#This Row],[Diameter]],NA())</f>
        <v>#N/A</v>
      </c>
      <c r="AE795" s="2">
        <f>IF(Table13[[#This Row],[Gender]]="F",Table13[[#This Row],[Diameter]],NA())</f>
        <v>0.46</v>
      </c>
      <c r="AF795" s="2" t="e">
        <f>IF(Table13[[#This Row],[Gender]]="I",Table13[[#This Row],[Diameter]],NA())</f>
        <v>#N/A</v>
      </c>
    </row>
    <row r="796" spans="1:32" x14ac:dyDescent="0.2">
      <c r="A796">
        <v>3365</v>
      </c>
      <c r="B796" t="s">
        <v>15</v>
      </c>
      <c r="C796">
        <v>0.33</v>
      </c>
      <c r="D796">
        <v>0.245</v>
      </c>
      <c r="E796">
        <v>8.5000000000000006E-2</v>
      </c>
      <c r="F796">
        <v>0.17100000000000001</v>
      </c>
      <c r="G796">
        <v>6.5500000000000003E-2</v>
      </c>
      <c r="H796">
        <v>3.6499999999999998E-2</v>
      </c>
      <c r="I796">
        <v>5.5E-2</v>
      </c>
      <c r="J796">
        <v>11</v>
      </c>
      <c r="K796">
        <v>8</v>
      </c>
      <c r="L796" t="s">
        <v>29</v>
      </c>
      <c r="M796" t="s">
        <v>30</v>
      </c>
      <c r="N796" t="s">
        <v>31</v>
      </c>
      <c r="O796">
        <v>4</v>
      </c>
      <c r="P796" t="s">
        <v>10</v>
      </c>
      <c r="Q796">
        <v>6.1</v>
      </c>
      <c r="R796" t="str" cm="1">
        <f t="array" ref="R7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96" t="e">
        <f>IF(Table13[[#This Row],[Category All]]="Category 1", "Yes",NA())</f>
        <v>#N/A</v>
      </c>
      <c r="T796" t="str">
        <f>IF(Table13[[#This Row],[Category All]]="Category 2", "Yes",NA())</f>
        <v>Yes</v>
      </c>
      <c r="U796" t="e">
        <f>IF(Table13[[#This Row],[Category All]]="Category 3", "Yes",NA())</f>
        <v>#N/A</v>
      </c>
      <c r="V796">
        <f>SUM(1,(1/3)*(Table13[[#This Row],[Length]]-0.5),(1/3)*(Table13[[#This Row],[Diameter]]-0.4),(1/3)*(Table13[[#This Row],[Height]]-0.4)*Table13[[#This Row],[Whole_weight]]*0.5)</f>
        <v>0.88268916666666675</v>
      </c>
      <c r="W796" cm="1">
        <f t="array" ref="W7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0.70615133333333346</v>
      </c>
      <c r="X796" t="e">
        <f>IF(Table13[[#This Row],[Category All]]="Category 1",Table13[[#This Row],[Base Abalone Value]]*1.5,NA())</f>
        <v>#N/A</v>
      </c>
      <c r="Y796">
        <f>IF(Table13[[#This Row],[Category All]]="Category 2",Table13[[#This Row],[Base Abalone Value]]*0.8,NA())</f>
        <v>0.70615133333333346</v>
      </c>
      <c r="Z796" t="e">
        <f>IF(Table13[[#This Row],[Category All]]="Category 3",Table13[[#This Row],[Base Abalone Value]],NA())</f>
        <v>#N/A</v>
      </c>
      <c r="AA796" s="2">
        <f>IF(Table13[[#This Row],[Gender]]="M",Table13[[#This Row],[Whole_weight]],NA())</f>
        <v>0.17100000000000001</v>
      </c>
      <c r="AB796" s="2" t="e">
        <f>IF(Table13[[#This Row],[Gender]]="F",Table13[[#This Row],[Whole_weight]],NA())</f>
        <v>#N/A</v>
      </c>
      <c r="AC796" s="2" t="e">
        <f>IF(Table13[[#This Row],[Gender]]="I",Table13[[#This Row],[Whole_weight]],NA())</f>
        <v>#N/A</v>
      </c>
      <c r="AD796" s="2">
        <f>IF(Table13[[#This Row],[Gender]]="M",Table13[[#This Row],[Diameter]],NA())</f>
        <v>0.245</v>
      </c>
      <c r="AE796" s="2" t="e">
        <f>IF(Table13[[#This Row],[Gender]]="F",Table13[[#This Row],[Diameter]],NA())</f>
        <v>#N/A</v>
      </c>
      <c r="AF796" s="2" t="e">
        <f>IF(Table13[[#This Row],[Gender]]="I",Table13[[#This Row],[Diameter]],NA())</f>
        <v>#N/A</v>
      </c>
    </row>
    <row r="797" spans="1:32" x14ac:dyDescent="0.2">
      <c r="A797">
        <v>3905</v>
      </c>
      <c r="B797" t="s">
        <v>15</v>
      </c>
      <c r="C797">
        <v>0.57499999999999996</v>
      </c>
      <c r="D797">
        <v>0.47</v>
      </c>
      <c r="E797">
        <v>0.16500000000000001</v>
      </c>
      <c r="F797">
        <v>0.85299999999999998</v>
      </c>
      <c r="G797">
        <v>0.29199999999999998</v>
      </c>
      <c r="H797">
        <v>0.17899999999999999</v>
      </c>
      <c r="I797">
        <v>0.35</v>
      </c>
      <c r="J797">
        <v>16</v>
      </c>
      <c r="K797">
        <v>3</v>
      </c>
      <c r="L797" t="s">
        <v>43</v>
      </c>
      <c r="M797" t="s">
        <v>44</v>
      </c>
      <c r="N797" t="s">
        <v>45</v>
      </c>
      <c r="O797">
        <v>7</v>
      </c>
      <c r="P797" t="s">
        <v>42</v>
      </c>
      <c r="Q797">
        <v>2.5</v>
      </c>
      <c r="R797" t="str" cm="1">
        <f t="array" ref="R7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97" t="e">
        <f>IF(Table13[[#This Row],[Category All]]="Category 1", "Yes",NA())</f>
        <v>#N/A</v>
      </c>
      <c r="T797" t="str">
        <f>IF(Table13[[#This Row],[Category All]]="Category 2", "Yes",NA())</f>
        <v>Yes</v>
      </c>
      <c r="U797" t="e">
        <f>IF(Table13[[#This Row],[Category All]]="Category 3", "Yes",NA())</f>
        <v>#N/A</v>
      </c>
      <c r="V797">
        <f>SUM(1,(1/3)*(Table13[[#This Row],[Length]]-0.5),(1/3)*(Table13[[#This Row],[Diameter]]-0.4),(1/3)*(Table13[[#This Row],[Height]]-0.4)*Table13[[#This Row],[Whole_weight]]*0.5)</f>
        <v>1.0149241666666666</v>
      </c>
      <c r="W797" cm="1">
        <f t="array" ref="W7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0.81193933333333335</v>
      </c>
      <c r="X797" t="e">
        <f>IF(Table13[[#This Row],[Category All]]="Category 1",Table13[[#This Row],[Base Abalone Value]]*1.5,NA())</f>
        <v>#N/A</v>
      </c>
      <c r="Y797">
        <f>IF(Table13[[#This Row],[Category All]]="Category 2",Table13[[#This Row],[Base Abalone Value]]*0.8,NA())</f>
        <v>0.81193933333333335</v>
      </c>
      <c r="Z797" t="e">
        <f>IF(Table13[[#This Row],[Category All]]="Category 3",Table13[[#This Row],[Base Abalone Value]],NA())</f>
        <v>#N/A</v>
      </c>
      <c r="AA797" s="2">
        <f>IF(Table13[[#This Row],[Gender]]="M",Table13[[#This Row],[Whole_weight]],NA())</f>
        <v>0.85299999999999998</v>
      </c>
      <c r="AB797" s="2" t="e">
        <f>IF(Table13[[#This Row],[Gender]]="F",Table13[[#This Row],[Whole_weight]],NA())</f>
        <v>#N/A</v>
      </c>
      <c r="AC797" s="2" t="e">
        <f>IF(Table13[[#This Row],[Gender]]="I",Table13[[#This Row],[Whole_weight]],NA())</f>
        <v>#N/A</v>
      </c>
      <c r="AD797" s="2">
        <f>IF(Table13[[#This Row],[Gender]]="M",Table13[[#This Row],[Diameter]],NA())</f>
        <v>0.47</v>
      </c>
      <c r="AE797" s="2" t="e">
        <f>IF(Table13[[#This Row],[Gender]]="F",Table13[[#This Row],[Diameter]],NA())</f>
        <v>#N/A</v>
      </c>
      <c r="AF797" s="2" t="e">
        <f>IF(Table13[[#This Row],[Gender]]="I",Table13[[#This Row],[Diameter]],NA())</f>
        <v>#N/A</v>
      </c>
    </row>
    <row r="798" spans="1:32" x14ac:dyDescent="0.2">
      <c r="A798">
        <v>696</v>
      </c>
      <c r="B798" t="s">
        <v>11</v>
      </c>
      <c r="C798">
        <v>0.315</v>
      </c>
      <c r="D798">
        <v>0.23</v>
      </c>
      <c r="E798">
        <v>0.09</v>
      </c>
      <c r="F798">
        <v>0.1285</v>
      </c>
      <c r="G798">
        <v>4.2999999999999997E-2</v>
      </c>
      <c r="H798">
        <v>0.04</v>
      </c>
      <c r="I798">
        <v>0.04</v>
      </c>
      <c r="J798">
        <v>7</v>
      </c>
      <c r="K798">
        <v>14</v>
      </c>
      <c r="L798" t="s">
        <v>23</v>
      </c>
      <c r="M798" t="s">
        <v>24</v>
      </c>
      <c r="N798" t="s">
        <v>25</v>
      </c>
      <c r="O798">
        <v>5</v>
      </c>
      <c r="P798" t="s">
        <v>14</v>
      </c>
      <c r="Q798">
        <v>12.8</v>
      </c>
      <c r="R798" t="str" cm="1">
        <f t="array" ref="R7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98" t="e">
        <f>IF(Table13[[#This Row],[Category All]]="Category 1", "Yes",NA())</f>
        <v>#N/A</v>
      </c>
      <c r="T798" t="str">
        <f>IF(Table13[[#This Row],[Category All]]="Category 2", "Yes",NA())</f>
        <v>Yes</v>
      </c>
      <c r="U798" t="e">
        <f>IF(Table13[[#This Row],[Category All]]="Category 3", "Yes",NA())</f>
        <v>#N/A</v>
      </c>
      <c r="V798">
        <f>SUM(1,(1/3)*(Table13[[#This Row],[Length]]-0.5),(1/3)*(Table13[[#This Row],[Diameter]]-0.4),(1/3)*(Table13[[#This Row],[Height]]-0.4)*Table13[[#This Row],[Whole_weight]]*0.5)</f>
        <v>0.87502750000000007</v>
      </c>
      <c r="W798" cm="1">
        <f t="array" ref="W7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0.70002200000000014</v>
      </c>
      <c r="X798" t="e">
        <f>IF(Table13[[#This Row],[Category All]]="Category 1",Table13[[#This Row],[Base Abalone Value]]*1.5,NA())</f>
        <v>#N/A</v>
      </c>
      <c r="Y798">
        <f>IF(Table13[[#This Row],[Category All]]="Category 2",Table13[[#This Row],[Base Abalone Value]]*0.8,NA())</f>
        <v>0.70002200000000014</v>
      </c>
      <c r="Z798" t="e">
        <f>IF(Table13[[#This Row],[Category All]]="Category 3",Table13[[#This Row],[Base Abalone Value]],NA())</f>
        <v>#N/A</v>
      </c>
      <c r="AA798" s="2" t="e">
        <f>IF(Table13[[#This Row],[Gender]]="M",Table13[[#This Row],[Whole_weight]],NA())</f>
        <v>#N/A</v>
      </c>
      <c r="AB798" s="2" t="e">
        <f>IF(Table13[[#This Row],[Gender]]="F",Table13[[#This Row],[Whole_weight]],NA())</f>
        <v>#N/A</v>
      </c>
      <c r="AC798" s="2">
        <f>IF(Table13[[#This Row],[Gender]]="I",Table13[[#This Row],[Whole_weight]],NA())</f>
        <v>0.1285</v>
      </c>
      <c r="AD798" s="2" t="e">
        <f>IF(Table13[[#This Row],[Gender]]="M",Table13[[#This Row],[Diameter]],NA())</f>
        <v>#N/A</v>
      </c>
      <c r="AE798" s="2" t="e">
        <f>IF(Table13[[#This Row],[Gender]]="F",Table13[[#This Row],[Diameter]],NA())</f>
        <v>#N/A</v>
      </c>
      <c r="AF798" s="2">
        <f>IF(Table13[[#This Row],[Gender]]="I",Table13[[#This Row],[Diameter]],NA())</f>
        <v>0.23</v>
      </c>
    </row>
    <row r="799" spans="1:32" x14ac:dyDescent="0.2">
      <c r="A799">
        <v>994</v>
      </c>
      <c r="B799" t="s">
        <v>15</v>
      </c>
      <c r="C799">
        <v>0.57999999999999996</v>
      </c>
      <c r="D799">
        <v>0.45500000000000002</v>
      </c>
      <c r="E799">
        <v>0.15</v>
      </c>
      <c r="F799">
        <v>1.012</v>
      </c>
      <c r="G799">
        <v>0.4985</v>
      </c>
      <c r="H799">
        <v>0.21149999999999999</v>
      </c>
      <c r="I799">
        <v>0.28349999999999997</v>
      </c>
      <c r="J799">
        <v>10</v>
      </c>
      <c r="K799">
        <v>11</v>
      </c>
      <c r="L799" t="s">
        <v>5</v>
      </c>
      <c r="M799" t="s">
        <v>6</v>
      </c>
      <c r="N799" t="s">
        <v>3</v>
      </c>
      <c r="O799">
        <v>6</v>
      </c>
      <c r="P799" t="s">
        <v>47</v>
      </c>
      <c r="Q799">
        <v>14.1</v>
      </c>
      <c r="R799" t="str" cm="1">
        <f t="array" ref="R7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99" t="e">
        <f>IF(Table13[[#This Row],[Category All]]="Category 1", "Yes",NA())</f>
        <v>#N/A</v>
      </c>
      <c r="T799" t="e">
        <f>IF(Table13[[#This Row],[Category All]]="Category 2", "Yes",NA())</f>
        <v>#N/A</v>
      </c>
      <c r="U799" t="str">
        <f>IF(Table13[[#This Row],[Category All]]="Category 3", "Yes",NA())</f>
        <v>Yes</v>
      </c>
      <c r="V799">
        <f>SUM(1,(1/3)*(Table13[[#This Row],[Length]]-0.5),(1/3)*(Table13[[#This Row],[Diameter]]-0.4),(1/3)*(Table13[[#This Row],[Height]]-0.4)*Table13[[#This Row],[Whole_weight]]*0.5)</f>
        <v>1.0028333333333332</v>
      </c>
      <c r="W799" cm="1">
        <f t="array" ref="W7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1.0028333333333332</v>
      </c>
      <c r="X799" t="e">
        <f>IF(Table13[[#This Row],[Category All]]="Category 1",Table13[[#This Row],[Base Abalone Value]]*1.5,NA())</f>
        <v>#N/A</v>
      </c>
      <c r="Y799" t="e">
        <f>IF(Table13[[#This Row],[Category All]]="Category 2",Table13[[#This Row],[Base Abalone Value]]*0.8,NA())</f>
        <v>#N/A</v>
      </c>
      <c r="Z799">
        <f>IF(Table13[[#This Row],[Category All]]="Category 3",Table13[[#This Row],[Base Abalone Value]],NA())</f>
        <v>1.0028333333333332</v>
      </c>
      <c r="AA799" s="2">
        <f>IF(Table13[[#This Row],[Gender]]="M",Table13[[#This Row],[Whole_weight]],NA())</f>
        <v>1.012</v>
      </c>
      <c r="AB799" s="2" t="e">
        <f>IF(Table13[[#This Row],[Gender]]="F",Table13[[#This Row],[Whole_weight]],NA())</f>
        <v>#N/A</v>
      </c>
      <c r="AC799" s="2" t="e">
        <f>IF(Table13[[#This Row],[Gender]]="I",Table13[[#This Row],[Whole_weight]],NA())</f>
        <v>#N/A</v>
      </c>
      <c r="AD799" s="2">
        <f>IF(Table13[[#This Row],[Gender]]="M",Table13[[#This Row],[Diameter]],NA())</f>
        <v>0.45500000000000002</v>
      </c>
      <c r="AE799" s="2" t="e">
        <f>IF(Table13[[#This Row],[Gender]]="F",Table13[[#This Row],[Diameter]],NA())</f>
        <v>#N/A</v>
      </c>
      <c r="AF799" s="2" t="e">
        <f>IF(Table13[[#This Row],[Gender]]="I",Table13[[#This Row],[Diameter]],NA())</f>
        <v>#N/A</v>
      </c>
    </row>
    <row r="800" spans="1:32" x14ac:dyDescent="0.2">
      <c r="A800">
        <v>260</v>
      </c>
      <c r="B800" t="s">
        <v>0</v>
      </c>
      <c r="C800">
        <v>0.59</v>
      </c>
      <c r="D800">
        <v>0.47499999999999998</v>
      </c>
      <c r="E800">
        <v>0.16</v>
      </c>
      <c r="F800">
        <v>1.1014999999999999</v>
      </c>
      <c r="G800">
        <v>0.47749999999999998</v>
      </c>
      <c r="H800">
        <v>0.2555</v>
      </c>
      <c r="I800">
        <v>0.29499999999999998</v>
      </c>
      <c r="J800">
        <v>13</v>
      </c>
      <c r="K800">
        <v>8</v>
      </c>
      <c r="L800" t="s">
        <v>29</v>
      </c>
      <c r="M800" t="s">
        <v>30</v>
      </c>
      <c r="N800" t="s">
        <v>31</v>
      </c>
      <c r="O800">
        <v>8</v>
      </c>
      <c r="P800" t="s">
        <v>19</v>
      </c>
      <c r="Q800">
        <v>12.3</v>
      </c>
      <c r="R800" t="str" cm="1">
        <f t="array" ref="R8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00" t="e">
        <f>IF(Table13[[#This Row],[Category All]]="Category 1", "Yes",NA())</f>
        <v>#N/A</v>
      </c>
      <c r="T800" t="e">
        <f>IF(Table13[[#This Row],[Category All]]="Category 2", "Yes",NA())</f>
        <v>#N/A</v>
      </c>
      <c r="U800" t="str">
        <f>IF(Table13[[#This Row],[Category All]]="Category 3", "Yes",NA())</f>
        <v>Yes</v>
      </c>
      <c r="V800">
        <f>SUM(1,(1/3)*(Table13[[#This Row],[Length]]-0.5),(1/3)*(Table13[[#This Row],[Diameter]]-0.4),(1/3)*(Table13[[#This Row],[Height]]-0.4)*Table13[[#This Row],[Whole_weight]]*0.5)</f>
        <v>1.0109399999999999</v>
      </c>
      <c r="W800" cm="1">
        <f t="array" ref="W8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1.0109399999999999</v>
      </c>
      <c r="X800" t="e">
        <f>IF(Table13[[#This Row],[Category All]]="Category 1",Table13[[#This Row],[Base Abalone Value]]*1.5,NA())</f>
        <v>#N/A</v>
      </c>
      <c r="Y800" t="e">
        <f>IF(Table13[[#This Row],[Category All]]="Category 2",Table13[[#This Row],[Base Abalone Value]]*0.8,NA())</f>
        <v>#N/A</v>
      </c>
      <c r="Z800">
        <f>IF(Table13[[#This Row],[Category All]]="Category 3",Table13[[#This Row],[Base Abalone Value]],NA())</f>
        <v>1.0109399999999999</v>
      </c>
      <c r="AA800" s="2" t="e">
        <f>IF(Table13[[#This Row],[Gender]]="M",Table13[[#This Row],[Whole_weight]],NA())</f>
        <v>#N/A</v>
      </c>
      <c r="AB800" s="2">
        <f>IF(Table13[[#This Row],[Gender]]="F",Table13[[#This Row],[Whole_weight]],NA())</f>
        <v>1.1014999999999999</v>
      </c>
      <c r="AC800" s="2" t="e">
        <f>IF(Table13[[#This Row],[Gender]]="I",Table13[[#This Row],[Whole_weight]],NA())</f>
        <v>#N/A</v>
      </c>
      <c r="AD800" s="2" t="e">
        <f>IF(Table13[[#This Row],[Gender]]="M",Table13[[#This Row],[Diameter]],NA())</f>
        <v>#N/A</v>
      </c>
      <c r="AE800" s="2">
        <f>IF(Table13[[#This Row],[Gender]]="F",Table13[[#This Row],[Diameter]],NA())</f>
        <v>0.47499999999999998</v>
      </c>
      <c r="AF800" s="2" t="e">
        <f>IF(Table13[[#This Row],[Gender]]="I",Table13[[#This Row],[Diameter]],NA())</f>
        <v>#N/A</v>
      </c>
    </row>
    <row r="801" spans="1:32" x14ac:dyDescent="0.2">
      <c r="A801">
        <v>1204</v>
      </c>
      <c r="B801" t="s">
        <v>0</v>
      </c>
      <c r="C801">
        <v>0.73</v>
      </c>
      <c r="D801">
        <v>0.57499999999999996</v>
      </c>
      <c r="E801">
        <v>0.185</v>
      </c>
      <c r="F801">
        <v>1.8794999999999999</v>
      </c>
      <c r="G801">
        <v>0.93100000000000005</v>
      </c>
      <c r="H801">
        <v>0.38</v>
      </c>
      <c r="I801">
        <v>0.48249999999999998</v>
      </c>
      <c r="J801">
        <v>12</v>
      </c>
      <c r="K801">
        <v>1</v>
      </c>
      <c r="L801" t="s">
        <v>8</v>
      </c>
      <c r="M801" t="s">
        <v>9</v>
      </c>
      <c r="N801" t="s">
        <v>3</v>
      </c>
      <c r="O801">
        <v>9</v>
      </c>
      <c r="P801" t="s">
        <v>46</v>
      </c>
      <c r="Q801">
        <v>1.9</v>
      </c>
      <c r="R801" t="str" cm="1">
        <f t="array" ref="R8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01" t="e">
        <f>IF(Table13[[#This Row],[Category All]]="Category 1", "Yes",NA())</f>
        <v>#N/A</v>
      </c>
      <c r="T801" t="e">
        <f>IF(Table13[[#This Row],[Category All]]="Category 2", "Yes",NA())</f>
        <v>#N/A</v>
      </c>
      <c r="U801" t="str">
        <f>IF(Table13[[#This Row],[Category All]]="Category 3", "Yes",NA())</f>
        <v>Yes</v>
      </c>
      <c r="V801">
        <f>SUM(1,(1/3)*(Table13[[#This Row],[Length]]-0.5),(1/3)*(Table13[[#This Row],[Diameter]]-0.4),(1/3)*(Table13[[#This Row],[Height]]-0.4)*Table13[[#This Row],[Whole_weight]]*0.5)</f>
        <v>1.0676512499999999</v>
      </c>
      <c r="W801" cm="1">
        <f t="array" ref="W8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1.0676512499999999</v>
      </c>
      <c r="X801" t="e">
        <f>IF(Table13[[#This Row],[Category All]]="Category 1",Table13[[#This Row],[Base Abalone Value]]*1.5,NA())</f>
        <v>#N/A</v>
      </c>
      <c r="Y801" t="e">
        <f>IF(Table13[[#This Row],[Category All]]="Category 2",Table13[[#This Row],[Base Abalone Value]]*0.8,NA())</f>
        <v>#N/A</v>
      </c>
      <c r="Z801">
        <f>IF(Table13[[#This Row],[Category All]]="Category 3",Table13[[#This Row],[Base Abalone Value]],NA())</f>
        <v>1.0676512499999999</v>
      </c>
      <c r="AA801" s="2" t="e">
        <f>IF(Table13[[#This Row],[Gender]]="M",Table13[[#This Row],[Whole_weight]],NA())</f>
        <v>#N/A</v>
      </c>
      <c r="AB801" s="2">
        <f>IF(Table13[[#This Row],[Gender]]="F",Table13[[#This Row],[Whole_weight]],NA())</f>
        <v>1.8794999999999999</v>
      </c>
      <c r="AC801" s="2" t="e">
        <f>IF(Table13[[#This Row],[Gender]]="I",Table13[[#This Row],[Whole_weight]],NA())</f>
        <v>#N/A</v>
      </c>
      <c r="AD801" s="2" t="e">
        <f>IF(Table13[[#This Row],[Gender]]="M",Table13[[#This Row],[Diameter]],NA())</f>
        <v>#N/A</v>
      </c>
      <c r="AE801" s="2">
        <f>IF(Table13[[#This Row],[Gender]]="F",Table13[[#This Row],[Diameter]],NA())</f>
        <v>0.57499999999999996</v>
      </c>
      <c r="AF801" s="2" t="e">
        <f>IF(Table13[[#This Row],[Gender]]="I",Table13[[#This Row],[Diameter]],NA())</f>
        <v>#N/A</v>
      </c>
    </row>
    <row r="802" spans="1:32" x14ac:dyDescent="0.2">
      <c r="A802">
        <v>321</v>
      </c>
      <c r="B802" t="s">
        <v>11</v>
      </c>
      <c r="C802">
        <v>0.26500000000000001</v>
      </c>
      <c r="D802">
        <v>0.21</v>
      </c>
      <c r="E802">
        <v>0.06</v>
      </c>
      <c r="F802">
        <v>9.6500000000000002E-2</v>
      </c>
      <c r="G802">
        <v>4.2500000000000003E-2</v>
      </c>
      <c r="H802">
        <v>2.1999999999999999E-2</v>
      </c>
      <c r="I802">
        <v>0.03</v>
      </c>
      <c r="J802">
        <v>5</v>
      </c>
      <c r="K802">
        <v>5</v>
      </c>
      <c r="L802" t="s">
        <v>26</v>
      </c>
      <c r="M802" t="s">
        <v>27</v>
      </c>
      <c r="N802" t="s">
        <v>28</v>
      </c>
      <c r="O802">
        <v>10</v>
      </c>
      <c r="P802" t="s">
        <v>38</v>
      </c>
      <c r="Q802">
        <v>24.1</v>
      </c>
      <c r="R802" t="str" cm="1">
        <f t="array" ref="R8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02" t="e">
        <f>IF(Table13[[#This Row],[Category All]]="Category 1", "Yes",NA())</f>
        <v>#N/A</v>
      </c>
      <c r="T802" t="str">
        <f>IF(Table13[[#This Row],[Category All]]="Category 2", "Yes",NA())</f>
        <v>Yes</v>
      </c>
      <c r="U802" t="e">
        <f>IF(Table13[[#This Row],[Category All]]="Category 3", "Yes",NA())</f>
        <v>#N/A</v>
      </c>
      <c r="V802">
        <f>SUM(1,(1/3)*(Table13[[#This Row],[Length]]-0.5),(1/3)*(Table13[[#This Row],[Diameter]]-0.4),(1/3)*(Table13[[#This Row],[Height]]-0.4)*Table13[[#This Row],[Whole_weight]]*0.5)</f>
        <v>0.85286499999999998</v>
      </c>
      <c r="W802" cm="1">
        <f t="array" ref="W8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0.68229200000000001</v>
      </c>
      <c r="X802" t="e">
        <f>IF(Table13[[#This Row],[Category All]]="Category 1",Table13[[#This Row],[Base Abalone Value]]*1.5,NA())</f>
        <v>#N/A</v>
      </c>
      <c r="Y802">
        <f>IF(Table13[[#This Row],[Category All]]="Category 2",Table13[[#This Row],[Base Abalone Value]]*0.8,NA())</f>
        <v>0.68229200000000001</v>
      </c>
      <c r="Z802" t="e">
        <f>IF(Table13[[#This Row],[Category All]]="Category 3",Table13[[#This Row],[Base Abalone Value]],NA())</f>
        <v>#N/A</v>
      </c>
      <c r="AA802" s="2" t="e">
        <f>IF(Table13[[#This Row],[Gender]]="M",Table13[[#This Row],[Whole_weight]],NA())</f>
        <v>#N/A</v>
      </c>
      <c r="AB802" s="2" t="e">
        <f>IF(Table13[[#This Row],[Gender]]="F",Table13[[#This Row],[Whole_weight]],NA())</f>
        <v>#N/A</v>
      </c>
      <c r="AC802" s="2">
        <f>IF(Table13[[#This Row],[Gender]]="I",Table13[[#This Row],[Whole_weight]],NA())</f>
        <v>9.6500000000000002E-2</v>
      </c>
      <c r="AD802" s="2" t="e">
        <f>IF(Table13[[#This Row],[Gender]]="M",Table13[[#This Row],[Diameter]],NA())</f>
        <v>#N/A</v>
      </c>
      <c r="AE802" s="2" t="e">
        <f>IF(Table13[[#This Row],[Gender]]="F",Table13[[#This Row],[Diameter]],NA())</f>
        <v>#N/A</v>
      </c>
      <c r="AF802" s="2">
        <f>IF(Table13[[#This Row],[Gender]]="I",Table13[[#This Row],[Diameter]],NA())</f>
        <v>0.21</v>
      </c>
    </row>
    <row r="803" spans="1:32" x14ac:dyDescent="0.2">
      <c r="A803">
        <v>554</v>
      </c>
      <c r="B803" t="s">
        <v>11</v>
      </c>
      <c r="C803">
        <v>0.48</v>
      </c>
      <c r="D803">
        <v>0.37</v>
      </c>
      <c r="E803">
        <v>0.12</v>
      </c>
      <c r="F803">
        <v>0.51400000000000001</v>
      </c>
      <c r="G803">
        <v>0.20749999999999999</v>
      </c>
      <c r="H803">
        <v>0.13100000000000001</v>
      </c>
      <c r="I803">
        <v>0.155</v>
      </c>
      <c r="J803">
        <v>13</v>
      </c>
      <c r="K803">
        <v>3</v>
      </c>
      <c r="L803" t="s">
        <v>43</v>
      </c>
      <c r="M803" t="s">
        <v>44</v>
      </c>
      <c r="N803" t="s">
        <v>45</v>
      </c>
      <c r="O803">
        <v>1</v>
      </c>
      <c r="P803" t="s">
        <v>4</v>
      </c>
      <c r="Q803">
        <v>22.1</v>
      </c>
      <c r="R803" t="str" cm="1">
        <f t="array" ref="R8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03" t="e">
        <f>IF(Table13[[#This Row],[Category All]]="Category 1", "Yes",NA())</f>
        <v>#N/A</v>
      </c>
      <c r="T803" t="str">
        <f>IF(Table13[[#This Row],[Category All]]="Category 2", "Yes",NA())</f>
        <v>Yes</v>
      </c>
      <c r="U803" t="e">
        <f>IF(Table13[[#This Row],[Category All]]="Category 3", "Yes",NA())</f>
        <v>#N/A</v>
      </c>
      <c r="V803">
        <f>SUM(1,(1/3)*(Table13[[#This Row],[Length]]-0.5),(1/3)*(Table13[[#This Row],[Diameter]]-0.4),(1/3)*(Table13[[#This Row],[Height]]-0.4)*Table13[[#This Row],[Whole_weight]]*0.5)</f>
        <v>0.95934666666666657</v>
      </c>
      <c r="W803" cm="1">
        <f t="array" ref="W8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0.76747733333333334</v>
      </c>
      <c r="X803" t="e">
        <f>IF(Table13[[#This Row],[Category All]]="Category 1",Table13[[#This Row],[Base Abalone Value]]*1.5,NA())</f>
        <v>#N/A</v>
      </c>
      <c r="Y803">
        <f>IF(Table13[[#This Row],[Category All]]="Category 2",Table13[[#This Row],[Base Abalone Value]]*0.8,NA())</f>
        <v>0.76747733333333334</v>
      </c>
      <c r="Z803" t="e">
        <f>IF(Table13[[#This Row],[Category All]]="Category 3",Table13[[#This Row],[Base Abalone Value]],NA())</f>
        <v>#N/A</v>
      </c>
      <c r="AA803" s="2" t="e">
        <f>IF(Table13[[#This Row],[Gender]]="M",Table13[[#This Row],[Whole_weight]],NA())</f>
        <v>#N/A</v>
      </c>
      <c r="AB803" s="2" t="e">
        <f>IF(Table13[[#This Row],[Gender]]="F",Table13[[#This Row],[Whole_weight]],NA())</f>
        <v>#N/A</v>
      </c>
      <c r="AC803" s="2">
        <f>IF(Table13[[#This Row],[Gender]]="I",Table13[[#This Row],[Whole_weight]],NA())</f>
        <v>0.51400000000000001</v>
      </c>
      <c r="AD803" s="2" t="e">
        <f>IF(Table13[[#This Row],[Gender]]="M",Table13[[#This Row],[Diameter]],NA())</f>
        <v>#N/A</v>
      </c>
      <c r="AE803" s="2" t="e">
        <f>IF(Table13[[#This Row],[Gender]]="F",Table13[[#This Row],[Diameter]],NA())</f>
        <v>#N/A</v>
      </c>
      <c r="AF803" s="2">
        <f>IF(Table13[[#This Row],[Gender]]="I",Table13[[#This Row],[Diameter]],NA())</f>
        <v>0.37</v>
      </c>
    </row>
    <row r="804" spans="1:32" x14ac:dyDescent="0.2">
      <c r="A804">
        <v>3644</v>
      </c>
      <c r="B804" t="s">
        <v>11</v>
      </c>
      <c r="C804">
        <v>0.47</v>
      </c>
      <c r="D804">
        <v>0.34499999999999997</v>
      </c>
      <c r="E804">
        <v>0.12</v>
      </c>
      <c r="F804">
        <v>0.36849999999999999</v>
      </c>
      <c r="G804">
        <v>0.1525</v>
      </c>
      <c r="H804">
        <v>6.1499999999999999E-2</v>
      </c>
      <c r="I804">
        <v>0.125</v>
      </c>
      <c r="J804">
        <v>8</v>
      </c>
      <c r="K804">
        <v>6</v>
      </c>
      <c r="L804" t="s">
        <v>39</v>
      </c>
      <c r="M804" t="s">
        <v>40</v>
      </c>
      <c r="N804" t="s">
        <v>41</v>
      </c>
      <c r="O804">
        <v>1</v>
      </c>
      <c r="P804" t="s">
        <v>4</v>
      </c>
      <c r="Q804">
        <v>22.1</v>
      </c>
      <c r="R804" t="str" cm="1">
        <f t="array" ref="R8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04" t="e">
        <f>IF(Table13[[#This Row],[Category All]]="Category 1", "Yes",NA())</f>
        <v>#N/A</v>
      </c>
      <c r="T804" t="str">
        <f>IF(Table13[[#This Row],[Category All]]="Category 2", "Yes",NA())</f>
        <v>Yes</v>
      </c>
      <c r="U804" t="e">
        <f>IF(Table13[[#This Row],[Category All]]="Category 3", "Yes",NA())</f>
        <v>#N/A</v>
      </c>
      <c r="V804">
        <f>SUM(1,(1/3)*(Table13[[#This Row],[Length]]-0.5),(1/3)*(Table13[[#This Row],[Diameter]]-0.4),(1/3)*(Table13[[#This Row],[Height]]-0.4)*Table13[[#This Row],[Whole_weight]]*0.5)</f>
        <v>0.95447000000000004</v>
      </c>
      <c r="W804" cm="1">
        <f t="array" ref="W8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0.76357600000000003</v>
      </c>
      <c r="X804" t="e">
        <f>IF(Table13[[#This Row],[Category All]]="Category 1",Table13[[#This Row],[Base Abalone Value]]*1.5,NA())</f>
        <v>#N/A</v>
      </c>
      <c r="Y804">
        <f>IF(Table13[[#This Row],[Category All]]="Category 2",Table13[[#This Row],[Base Abalone Value]]*0.8,NA())</f>
        <v>0.76357600000000003</v>
      </c>
      <c r="Z804" t="e">
        <f>IF(Table13[[#This Row],[Category All]]="Category 3",Table13[[#This Row],[Base Abalone Value]],NA())</f>
        <v>#N/A</v>
      </c>
      <c r="AA804" s="2" t="e">
        <f>IF(Table13[[#This Row],[Gender]]="M",Table13[[#This Row],[Whole_weight]],NA())</f>
        <v>#N/A</v>
      </c>
      <c r="AB804" s="2" t="e">
        <f>IF(Table13[[#This Row],[Gender]]="F",Table13[[#This Row],[Whole_weight]],NA())</f>
        <v>#N/A</v>
      </c>
      <c r="AC804" s="2">
        <f>IF(Table13[[#This Row],[Gender]]="I",Table13[[#This Row],[Whole_weight]],NA())</f>
        <v>0.36849999999999999</v>
      </c>
      <c r="AD804" s="2" t="e">
        <f>IF(Table13[[#This Row],[Gender]]="M",Table13[[#This Row],[Diameter]],NA())</f>
        <v>#N/A</v>
      </c>
      <c r="AE804" s="2" t="e">
        <f>IF(Table13[[#This Row],[Gender]]="F",Table13[[#This Row],[Diameter]],NA())</f>
        <v>#N/A</v>
      </c>
      <c r="AF804" s="2">
        <f>IF(Table13[[#This Row],[Gender]]="I",Table13[[#This Row],[Diameter]],NA())</f>
        <v>0.34499999999999997</v>
      </c>
    </row>
    <row r="805" spans="1:32" x14ac:dyDescent="0.2">
      <c r="A805">
        <v>3914</v>
      </c>
      <c r="B805" t="s">
        <v>11</v>
      </c>
      <c r="C805">
        <v>0.54</v>
      </c>
      <c r="D805">
        <v>0.4</v>
      </c>
      <c r="E805">
        <v>0.14499999999999999</v>
      </c>
      <c r="F805">
        <v>0.75700000000000001</v>
      </c>
      <c r="G805">
        <v>0.315</v>
      </c>
      <c r="H805">
        <v>0.18099999999999999</v>
      </c>
      <c r="I805">
        <v>0.215</v>
      </c>
      <c r="J805">
        <v>11</v>
      </c>
      <c r="K805">
        <v>8</v>
      </c>
      <c r="L805" t="s">
        <v>29</v>
      </c>
      <c r="M805" t="s">
        <v>30</v>
      </c>
      <c r="N805" t="s">
        <v>31</v>
      </c>
      <c r="O805">
        <v>8</v>
      </c>
      <c r="P805" t="s">
        <v>19</v>
      </c>
      <c r="Q805">
        <v>12.3</v>
      </c>
      <c r="R805" t="str" cm="1">
        <f t="array" ref="R8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05" t="e">
        <f>IF(Table13[[#This Row],[Category All]]="Category 1", "Yes",NA())</f>
        <v>#N/A</v>
      </c>
      <c r="T805" t="str">
        <f>IF(Table13[[#This Row],[Category All]]="Category 2", "Yes",NA())</f>
        <v>Yes</v>
      </c>
      <c r="U805" t="e">
        <f>IF(Table13[[#This Row],[Category All]]="Category 3", "Yes",NA())</f>
        <v>#N/A</v>
      </c>
      <c r="V805">
        <f>SUM(1,(1/3)*(Table13[[#This Row],[Length]]-0.5),(1/3)*(Table13[[#This Row],[Diameter]]-0.4),(1/3)*(Table13[[#This Row],[Height]]-0.4)*Table13[[#This Row],[Whole_weight]]*0.5)</f>
        <v>0.98116083333333337</v>
      </c>
      <c r="W805" cm="1">
        <f t="array" ref="W8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0.78492866666666672</v>
      </c>
      <c r="X805" t="e">
        <f>IF(Table13[[#This Row],[Category All]]="Category 1",Table13[[#This Row],[Base Abalone Value]]*1.5,NA())</f>
        <v>#N/A</v>
      </c>
      <c r="Y805">
        <f>IF(Table13[[#This Row],[Category All]]="Category 2",Table13[[#This Row],[Base Abalone Value]]*0.8,NA())</f>
        <v>0.78492866666666672</v>
      </c>
      <c r="Z805" t="e">
        <f>IF(Table13[[#This Row],[Category All]]="Category 3",Table13[[#This Row],[Base Abalone Value]],NA())</f>
        <v>#N/A</v>
      </c>
      <c r="AA805" s="2" t="e">
        <f>IF(Table13[[#This Row],[Gender]]="M",Table13[[#This Row],[Whole_weight]],NA())</f>
        <v>#N/A</v>
      </c>
      <c r="AB805" s="2" t="e">
        <f>IF(Table13[[#This Row],[Gender]]="F",Table13[[#This Row],[Whole_weight]],NA())</f>
        <v>#N/A</v>
      </c>
      <c r="AC805" s="2">
        <f>IF(Table13[[#This Row],[Gender]]="I",Table13[[#This Row],[Whole_weight]],NA())</f>
        <v>0.75700000000000001</v>
      </c>
      <c r="AD805" s="2" t="e">
        <f>IF(Table13[[#This Row],[Gender]]="M",Table13[[#This Row],[Diameter]],NA())</f>
        <v>#N/A</v>
      </c>
      <c r="AE805" s="2" t="e">
        <f>IF(Table13[[#This Row],[Gender]]="F",Table13[[#This Row],[Diameter]],NA())</f>
        <v>#N/A</v>
      </c>
      <c r="AF805" s="2">
        <f>IF(Table13[[#This Row],[Gender]]="I",Table13[[#This Row],[Diameter]],NA())</f>
        <v>0.4</v>
      </c>
    </row>
    <row r="806" spans="1:32" x14ac:dyDescent="0.2">
      <c r="A806">
        <v>1867</v>
      </c>
      <c r="B806" t="s">
        <v>11</v>
      </c>
      <c r="C806">
        <v>0.52</v>
      </c>
      <c r="D806">
        <v>0.38500000000000001</v>
      </c>
      <c r="E806">
        <v>0.115</v>
      </c>
      <c r="F806">
        <v>0.58099999999999996</v>
      </c>
      <c r="G806">
        <v>0.2555</v>
      </c>
      <c r="H806">
        <v>0.156</v>
      </c>
      <c r="I806">
        <v>0.14299999999999999</v>
      </c>
      <c r="J806">
        <v>10</v>
      </c>
      <c r="K806">
        <v>9</v>
      </c>
      <c r="L806" t="s">
        <v>20</v>
      </c>
      <c r="M806" t="s">
        <v>21</v>
      </c>
      <c r="N806" t="s">
        <v>22</v>
      </c>
      <c r="O806">
        <v>9</v>
      </c>
      <c r="P806" t="s">
        <v>46</v>
      </c>
      <c r="Q806">
        <v>1.9</v>
      </c>
      <c r="R806" t="str" cm="1">
        <f t="array" ref="R8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06" t="e">
        <f>IF(Table13[[#This Row],[Category All]]="Category 1", "Yes",NA())</f>
        <v>#N/A</v>
      </c>
      <c r="T806" t="str">
        <f>IF(Table13[[#This Row],[Category All]]="Category 2", "Yes",NA())</f>
        <v>Yes</v>
      </c>
      <c r="U806" t="e">
        <f>IF(Table13[[#This Row],[Category All]]="Category 3", "Yes",NA())</f>
        <v>#N/A</v>
      </c>
      <c r="V806">
        <f>SUM(1,(1/3)*(Table13[[#This Row],[Length]]-0.5),(1/3)*(Table13[[#This Row],[Diameter]]-0.4),(1/3)*(Table13[[#This Row],[Height]]-0.4)*Table13[[#This Row],[Whole_weight]]*0.5)</f>
        <v>0.97406916666666654</v>
      </c>
      <c r="W806" cm="1">
        <f t="array" ref="W8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0.7792553333333333</v>
      </c>
      <c r="X806" t="e">
        <f>IF(Table13[[#This Row],[Category All]]="Category 1",Table13[[#This Row],[Base Abalone Value]]*1.5,NA())</f>
        <v>#N/A</v>
      </c>
      <c r="Y806">
        <f>IF(Table13[[#This Row],[Category All]]="Category 2",Table13[[#This Row],[Base Abalone Value]]*0.8,NA())</f>
        <v>0.7792553333333333</v>
      </c>
      <c r="Z806" t="e">
        <f>IF(Table13[[#This Row],[Category All]]="Category 3",Table13[[#This Row],[Base Abalone Value]],NA())</f>
        <v>#N/A</v>
      </c>
      <c r="AA806" s="2" t="e">
        <f>IF(Table13[[#This Row],[Gender]]="M",Table13[[#This Row],[Whole_weight]],NA())</f>
        <v>#N/A</v>
      </c>
      <c r="AB806" s="2" t="e">
        <f>IF(Table13[[#This Row],[Gender]]="F",Table13[[#This Row],[Whole_weight]],NA())</f>
        <v>#N/A</v>
      </c>
      <c r="AC806" s="2">
        <f>IF(Table13[[#This Row],[Gender]]="I",Table13[[#This Row],[Whole_weight]],NA())</f>
        <v>0.58099999999999996</v>
      </c>
      <c r="AD806" s="2" t="e">
        <f>IF(Table13[[#This Row],[Gender]]="M",Table13[[#This Row],[Diameter]],NA())</f>
        <v>#N/A</v>
      </c>
      <c r="AE806" s="2" t="e">
        <f>IF(Table13[[#This Row],[Gender]]="F",Table13[[#This Row],[Diameter]],NA())</f>
        <v>#N/A</v>
      </c>
      <c r="AF806" s="2">
        <f>IF(Table13[[#This Row],[Gender]]="I",Table13[[#This Row],[Diameter]],NA())</f>
        <v>0.38500000000000001</v>
      </c>
    </row>
    <row r="807" spans="1:32" x14ac:dyDescent="0.2">
      <c r="A807">
        <v>1287</v>
      </c>
      <c r="B807" t="s">
        <v>11</v>
      </c>
      <c r="C807">
        <v>0.5</v>
      </c>
      <c r="D807">
        <v>0.39500000000000002</v>
      </c>
      <c r="E807">
        <v>0.14000000000000001</v>
      </c>
      <c r="F807">
        <v>0.62150000000000005</v>
      </c>
      <c r="G807">
        <v>0.29249999999999998</v>
      </c>
      <c r="H807">
        <v>0.1205</v>
      </c>
      <c r="I807">
        <v>0.19500000000000001</v>
      </c>
      <c r="J807">
        <v>9</v>
      </c>
      <c r="K807">
        <v>8</v>
      </c>
      <c r="L807" t="s">
        <v>29</v>
      </c>
      <c r="M807" t="s">
        <v>30</v>
      </c>
      <c r="N807" t="s">
        <v>31</v>
      </c>
      <c r="O807">
        <v>3</v>
      </c>
      <c r="P807" t="s">
        <v>48</v>
      </c>
      <c r="Q807">
        <v>3.6</v>
      </c>
      <c r="R807" t="str" cm="1">
        <f t="array" ref="R8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07" t="e">
        <f>IF(Table13[[#This Row],[Category All]]="Category 1", "Yes",NA())</f>
        <v>#N/A</v>
      </c>
      <c r="T807" t="str">
        <f>IF(Table13[[#This Row],[Category All]]="Category 2", "Yes",NA())</f>
        <v>Yes</v>
      </c>
      <c r="U807" t="e">
        <f>IF(Table13[[#This Row],[Category All]]="Category 3", "Yes",NA())</f>
        <v>#N/A</v>
      </c>
      <c r="V807">
        <f>SUM(1,(1/3)*(Table13[[#This Row],[Length]]-0.5),(1/3)*(Table13[[#This Row],[Diameter]]-0.4),(1/3)*(Table13[[#This Row],[Height]]-0.4)*Table13[[#This Row],[Whole_weight]]*0.5)</f>
        <v>0.97140166666666661</v>
      </c>
      <c r="W807" cm="1">
        <f t="array" ref="W8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0.77712133333333333</v>
      </c>
      <c r="X807" t="e">
        <f>IF(Table13[[#This Row],[Category All]]="Category 1",Table13[[#This Row],[Base Abalone Value]]*1.5,NA())</f>
        <v>#N/A</v>
      </c>
      <c r="Y807">
        <f>IF(Table13[[#This Row],[Category All]]="Category 2",Table13[[#This Row],[Base Abalone Value]]*0.8,NA())</f>
        <v>0.77712133333333333</v>
      </c>
      <c r="Z807" t="e">
        <f>IF(Table13[[#This Row],[Category All]]="Category 3",Table13[[#This Row],[Base Abalone Value]],NA())</f>
        <v>#N/A</v>
      </c>
      <c r="AA807" s="2" t="e">
        <f>IF(Table13[[#This Row],[Gender]]="M",Table13[[#This Row],[Whole_weight]],NA())</f>
        <v>#N/A</v>
      </c>
      <c r="AB807" s="2" t="e">
        <f>IF(Table13[[#This Row],[Gender]]="F",Table13[[#This Row],[Whole_weight]],NA())</f>
        <v>#N/A</v>
      </c>
      <c r="AC807" s="2">
        <f>IF(Table13[[#This Row],[Gender]]="I",Table13[[#This Row],[Whole_weight]],NA())</f>
        <v>0.62150000000000005</v>
      </c>
      <c r="AD807" s="2" t="e">
        <f>IF(Table13[[#This Row],[Gender]]="M",Table13[[#This Row],[Diameter]],NA())</f>
        <v>#N/A</v>
      </c>
      <c r="AE807" s="2" t="e">
        <f>IF(Table13[[#This Row],[Gender]]="F",Table13[[#This Row],[Diameter]],NA())</f>
        <v>#N/A</v>
      </c>
      <c r="AF807" s="2">
        <f>IF(Table13[[#This Row],[Gender]]="I",Table13[[#This Row],[Diameter]],NA())</f>
        <v>0.39500000000000002</v>
      </c>
    </row>
    <row r="808" spans="1:32" x14ac:dyDescent="0.2">
      <c r="A808">
        <v>3281</v>
      </c>
      <c r="B808" t="s">
        <v>15</v>
      </c>
      <c r="C808">
        <v>0.69</v>
      </c>
      <c r="D808">
        <v>0.54</v>
      </c>
      <c r="E808">
        <v>0.185</v>
      </c>
      <c r="F808">
        <v>1.6194999999999999</v>
      </c>
      <c r="G808">
        <v>0.53300000000000003</v>
      </c>
      <c r="H808">
        <v>0.35299999999999998</v>
      </c>
      <c r="I808">
        <v>0.55500000000000005</v>
      </c>
      <c r="J808">
        <v>24</v>
      </c>
      <c r="K808">
        <v>5</v>
      </c>
      <c r="L808" t="s">
        <v>26</v>
      </c>
      <c r="M808" t="s">
        <v>27</v>
      </c>
      <c r="N808" t="s">
        <v>28</v>
      </c>
      <c r="O808">
        <v>5</v>
      </c>
      <c r="P808" t="s">
        <v>14</v>
      </c>
      <c r="Q808">
        <v>12.8</v>
      </c>
      <c r="R808" t="str" cm="1">
        <f t="array" ref="R8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08" t="e">
        <f>IF(Table13[[#This Row],[Category All]]="Category 1", "Yes",NA())</f>
        <v>#N/A</v>
      </c>
      <c r="T808" t="str">
        <f>IF(Table13[[#This Row],[Category All]]="Category 2", "Yes",NA())</f>
        <v>Yes</v>
      </c>
      <c r="U808" t="e">
        <f>IF(Table13[[#This Row],[Category All]]="Category 3", "Yes",NA())</f>
        <v>#N/A</v>
      </c>
      <c r="V808">
        <f>SUM(1,(1/3)*(Table13[[#This Row],[Length]]-0.5),(1/3)*(Table13[[#This Row],[Diameter]]-0.4),(1/3)*(Table13[[#This Row],[Height]]-0.4)*Table13[[#This Row],[Whole_weight]]*0.5)</f>
        <v>1.0519679166666664</v>
      </c>
      <c r="W808" cm="1">
        <f t="array" ref="W8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0.8415743333333332</v>
      </c>
      <c r="X808" t="e">
        <f>IF(Table13[[#This Row],[Category All]]="Category 1",Table13[[#This Row],[Base Abalone Value]]*1.5,NA())</f>
        <v>#N/A</v>
      </c>
      <c r="Y808">
        <f>IF(Table13[[#This Row],[Category All]]="Category 2",Table13[[#This Row],[Base Abalone Value]]*0.8,NA())</f>
        <v>0.8415743333333332</v>
      </c>
      <c r="Z808" t="e">
        <f>IF(Table13[[#This Row],[Category All]]="Category 3",Table13[[#This Row],[Base Abalone Value]],NA())</f>
        <v>#N/A</v>
      </c>
      <c r="AA808" s="2">
        <f>IF(Table13[[#This Row],[Gender]]="M",Table13[[#This Row],[Whole_weight]],NA())</f>
        <v>1.6194999999999999</v>
      </c>
      <c r="AB808" s="2" t="e">
        <f>IF(Table13[[#This Row],[Gender]]="F",Table13[[#This Row],[Whole_weight]],NA())</f>
        <v>#N/A</v>
      </c>
      <c r="AC808" s="2" t="e">
        <f>IF(Table13[[#This Row],[Gender]]="I",Table13[[#This Row],[Whole_weight]],NA())</f>
        <v>#N/A</v>
      </c>
      <c r="AD808" s="2">
        <f>IF(Table13[[#This Row],[Gender]]="M",Table13[[#This Row],[Diameter]],NA())</f>
        <v>0.54</v>
      </c>
      <c r="AE808" s="2" t="e">
        <f>IF(Table13[[#This Row],[Gender]]="F",Table13[[#This Row],[Diameter]],NA())</f>
        <v>#N/A</v>
      </c>
      <c r="AF808" s="2" t="e">
        <f>IF(Table13[[#This Row],[Gender]]="I",Table13[[#This Row],[Diameter]],NA())</f>
        <v>#N/A</v>
      </c>
    </row>
    <row r="809" spans="1:32" x14ac:dyDescent="0.2">
      <c r="A809">
        <v>1856</v>
      </c>
      <c r="B809" t="s">
        <v>11</v>
      </c>
      <c r="C809">
        <v>0.5</v>
      </c>
      <c r="D809">
        <v>0.38</v>
      </c>
      <c r="E809">
        <v>0.11</v>
      </c>
      <c r="F809">
        <v>0.5605</v>
      </c>
      <c r="G809">
        <v>0.28000000000000003</v>
      </c>
      <c r="H809">
        <v>0.106</v>
      </c>
      <c r="I809">
        <v>0.15</v>
      </c>
      <c r="J809">
        <v>9</v>
      </c>
      <c r="K809">
        <v>7</v>
      </c>
      <c r="L809" t="s">
        <v>35</v>
      </c>
      <c r="M809" t="s">
        <v>36</v>
      </c>
      <c r="N809" t="s">
        <v>37</v>
      </c>
      <c r="O809">
        <v>10</v>
      </c>
      <c r="P809" t="s">
        <v>38</v>
      </c>
      <c r="Q809">
        <v>24.1</v>
      </c>
      <c r="R809" t="str" cm="1">
        <f t="array" ref="R8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09" t="e">
        <f>IF(Table13[[#This Row],[Category All]]="Category 1", "Yes",NA())</f>
        <v>#N/A</v>
      </c>
      <c r="T809" t="str">
        <f>IF(Table13[[#This Row],[Category All]]="Category 2", "Yes",NA())</f>
        <v>Yes</v>
      </c>
      <c r="U809" t="e">
        <f>IF(Table13[[#This Row],[Category All]]="Category 3", "Yes",NA())</f>
        <v>#N/A</v>
      </c>
      <c r="V809">
        <f>SUM(1,(1/3)*(Table13[[#This Row],[Length]]-0.5),(1/3)*(Table13[[#This Row],[Diameter]]-0.4),(1/3)*(Table13[[#This Row],[Height]]-0.4)*Table13[[#This Row],[Whole_weight]]*0.5)</f>
        <v>0.9662425</v>
      </c>
      <c r="W809" cm="1">
        <f t="array" ref="W8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0.77299400000000007</v>
      </c>
      <c r="X809" t="e">
        <f>IF(Table13[[#This Row],[Category All]]="Category 1",Table13[[#This Row],[Base Abalone Value]]*1.5,NA())</f>
        <v>#N/A</v>
      </c>
      <c r="Y809">
        <f>IF(Table13[[#This Row],[Category All]]="Category 2",Table13[[#This Row],[Base Abalone Value]]*0.8,NA())</f>
        <v>0.77299400000000007</v>
      </c>
      <c r="Z809" t="e">
        <f>IF(Table13[[#This Row],[Category All]]="Category 3",Table13[[#This Row],[Base Abalone Value]],NA())</f>
        <v>#N/A</v>
      </c>
      <c r="AA809" s="2" t="e">
        <f>IF(Table13[[#This Row],[Gender]]="M",Table13[[#This Row],[Whole_weight]],NA())</f>
        <v>#N/A</v>
      </c>
      <c r="AB809" s="2" t="e">
        <f>IF(Table13[[#This Row],[Gender]]="F",Table13[[#This Row],[Whole_weight]],NA())</f>
        <v>#N/A</v>
      </c>
      <c r="AC809" s="2">
        <f>IF(Table13[[#This Row],[Gender]]="I",Table13[[#This Row],[Whole_weight]],NA())</f>
        <v>0.5605</v>
      </c>
      <c r="AD809" s="2" t="e">
        <f>IF(Table13[[#This Row],[Gender]]="M",Table13[[#This Row],[Diameter]],NA())</f>
        <v>#N/A</v>
      </c>
      <c r="AE809" s="2" t="e">
        <f>IF(Table13[[#This Row],[Gender]]="F",Table13[[#This Row],[Diameter]],NA())</f>
        <v>#N/A</v>
      </c>
      <c r="AF809" s="2">
        <f>IF(Table13[[#This Row],[Gender]]="I",Table13[[#This Row],[Diameter]],NA())</f>
        <v>0.38</v>
      </c>
    </row>
    <row r="810" spans="1:32" x14ac:dyDescent="0.2">
      <c r="A810">
        <v>198</v>
      </c>
      <c r="B810" t="s">
        <v>15</v>
      </c>
      <c r="C810">
        <v>0.64</v>
      </c>
      <c r="D810">
        <v>0.5</v>
      </c>
      <c r="E810">
        <v>0.185</v>
      </c>
      <c r="F810">
        <v>1.3035000000000001</v>
      </c>
      <c r="G810">
        <v>0.44450000000000001</v>
      </c>
      <c r="H810">
        <v>0.26350000000000001</v>
      </c>
      <c r="I810">
        <v>0.46500000000000002</v>
      </c>
      <c r="J810">
        <v>16</v>
      </c>
      <c r="K810">
        <v>6</v>
      </c>
      <c r="L810" t="s">
        <v>39</v>
      </c>
      <c r="M810" t="s">
        <v>40</v>
      </c>
      <c r="N810" t="s">
        <v>41</v>
      </c>
      <c r="O810">
        <v>6</v>
      </c>
      <c r="P810" t="s">
        <v>47</v>
      </c>
      <c r="Q810">
        <v>14.1</v>
      </c>
      <c r="R810" t="str" cm="1">
        <f t="array" ref="R8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10" t="e">
        <f>IF(Table13[[#This Row],[Category All]]="Category 1", "Yes",NA())</f>
        <v>#N/A</v>
      </c>
      <c r="T810" t="str">
        <f>IF(Table13[[#This Row],[Category All]]="Category 2", "Yes",NA())</f>
        <v>Yes</v>
      </c>
      <c r="U810" t="e">
        <f>IF(Table13[[#This Row],[Category All]]="Category 3", "Yes",NA())</f>
        <v>#N/A</v>
      </c>
      <c r="V810">
        <f>SUM(1,(1/3)*(Table13[[#This Row],[Length]]-0.5),(1/3)*(Table13[[#This Row],[Diameter]]-0.4),(1/3)*(Table13[[#This Row],[Height]]-0.4)*Table13[[#This Row],[Whole_weight]]*0.5)</f>
        <v>1.03329125</v>
      </c>
      <c r="W810" cm="1">
        <f t="array" ref="W8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0.82663300000000006</v>
      </c>
      <c r="X810" t="e">
        <f>IF(Table13[[#This Row],[Category All]]="Category 1",Table13[[#This Row],[Base Abalone Value]]*1.5,NA())</f>
        <v>#N/A</v>
      </c>
      <c r="Y810">
        <f>IF(Table13[[#This Row],[Category All]]="Category 2",Table13[[#This Row],[Base Abalone Value]]*0.8,NA())</f>
        <v>0.82663300000000006</v>
      </c>
      <c r="Z810" t="e">
        <f>IF(Table13[[#This Row],[Category All]]="Category 3",Table13[[#This Row],[Base Abalone Value]],NA())</f>
        <v>#N/A</v>
      </c>
      <c r="AA810" s="2">
        <f>IF(Table13[[#This Row],[Gender]]="M",Table13[[#This Row],[Whole_weight]],NA())</f>
        <v>1.3035000000000001</v>
      </c>
      <c r="AB810" s="2" t="e">
        <f>IF(Table13[[#This Row],[Gender]]="F",Table13[[#This Row],[Whole_weight]],NA())</f>
        <v>#N/A</v>
      </c>
      <c r="AC810" s="2" t="e">
        <f>IF(Table13[[#This Row],[Gender]]="I",Table13[[#This Row],[Whole_weight]],NA())</f>
        <v>#N/A</v>
      </c>
      <c r="AD810" s="2">
        <f>IF(Table13[[#This Row],[Gender]]="M",Table13[[#This Row],[Diameter]],NA())</f>
        <v>0.5</v>
      </c>
      <c r="AE810" s="2" t="e">
        <f>IF(Table13[[#This Row],[Gender]]="F",Table13[[#This Row],[Diameter]],NA())</f>
        <v>#N/A</v>
      </c>
      <c r="AF810" s="2" t="e">
        <f>IF(Table13[[#This Row],[Gender]]="I",Table13[[#This Row],[Diameter]],NA())</f>
        <v>#N/A</v>
      </c>
    </row>
    <row r="811" spans="1:32" x14ac:dyDescent="0.2">
      <c r="A811">
        <v>1943</v>
      </c>
      <c r="B811" t="s">
        <v>15</v>
      </c>
      <c r="C811">
        <v>0.63</v>
      </c>
      <c r="D811">
        <v>0.49</v>
      </c>
      <c r="E811">
        <v>0.155</v>
      </c>
      <c r="F811">
        <v>1.2524999999999999</v>
      </c>
      <c r="G811">
        <v>0.63</v>
      </c>
      <c r="H811">
        <v>0.246</v>
      </c>
      <c r="I811">
        <v>0.28899999999999998</v>
      </c>
      <c r="J811">
        <v>9</v>
      </c>
      <c r="K811">
        <v>1</v>
      </c>
      <c r="L811" t="s">
        <v>8</v>
      </c>
      <c r="M811" t="s">
        <v>9</v>
      </c>
      <c r="N811" t="s">
        <v>3</v>
      </c>
      <c r="O811">
        <v>4</v>
      </c>
      <c r="P811" t="s">
        <v>10</v>
      </c>
      <c r="Q811">
        <v>6.1</v>
      </c>
      <c r="R811" t="str" cm="1">
        <f t="array" ref="R8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11" t="e">
        <f>IF(Table13[[#This Row],[Category All]]="Category 1", "Yes",NA())</f>
        <v>#N/A</v>
      </c>
      <c r="T811" t="e">
        <f>IF(Table13[[#This Row],[Category All]]="Category 2", "Yes",NA())</f>
        <v>#N/A</v>
      </c>
      <c r="U811" t="str">
        <f>IF(Table13[[#This Row],[Category All]]="Category 3", "Yes",NA())</f>
        <v>Yes</v>
      </c>
      <c r="V811">
        <f>SUM(1,(1/3)*(Table13[[#This Row],[Length]]-0.5),(1/3)*(Table13[[#This Row],[Diameter]]-0.4),(1/3)*(Table13[[#This Row],[Height]]-0.4)*Table13[[#This Row],[Whole_weight]]*0.5)</f>
        <v>1.0221895833333334</v>
      </c>
      <c r="W811" cm="1">
        <f t="array" ref="W8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1.0221895833333334</v>
      </c>
      <c r="X811" t="e">
        <f>IF(Table13[[#This Row],[Category All]]="Category 1",Table13[[#This Row],[Base Abalone Value]]*1.5,NA())</f>
        <v>#N/A</v>
      </c>
      <c r="Y811" t="e">
        <f>IF(Table13[[#This Row],[Category All]]="Category 2",Table13[[#This Row],[Base Abalone Value]]*0.8,NA())</f>
        <v>#N/A</v>
      </c>
      <c r="Z811">
        <f>IF(Table13[[#This Row],[Category All]]="Category 3",Table13[[#This Row],[Base Abalone Value]],NA())</f>
        <v>1.0221895833333334</v>
      </c>
      <c r="AA811" s="2">
        <f>IF(Table13[[#This Row],[Gender]]="M",Table13[[#This Row],[Whole_weight]],NA())</f>
        <v>1.2524999999999999</v>
      </c>
      <c r="AB811" s="2" t="e">
        <f>IF(Table13[[#This Row],[Gender]]="F",Table13[[#This Row],[Whole_weight]],NA())</f>
        <v>#N/A</v>
      </c>
      <c r="AC811" s="2" t="e">
        <f>IF(Table13[[#This Row],[Gender]]="I",Table13[[#This Row],[Whole_weight]],NA())</f>
        <v>#N/A</v>
      </c>
      <c r="AD811" s="2">
        <f>IF(Table13[[#This Row],[Gender]]="M",Table13[[#This Row],[Diameter]],NA())</f>
        <v>0.49</v>
      </c>
      <c r="AE811" s="2" t="e">
        <f>IF(Table13[[#This Row],[Gender]]="F",Table13[[#This Row],[Diameter]],NA())</f>
        <v>#N/A</v>
      </c>
      <c r="AF811" s="2" t="e">
        <f>IF(Table13[[#This Row],[Gender]]="I",Table13[[#This Row],[Diameter]],NA())</f>
        <v>#N/A</v>
      </c>
    </row>
    <row r="812" spans="1:32" x14ac:dyDescent="0.2">
      <c r="A812">
        <v>2688</v>
      </c>
      <c r="B812" t="s">
        <v>15</v>
      </c>
      <c r="C812">
        <v>0.63</v>
      </c>
      <c r="D812">
        <v>0.51</v>
      </c>
      <c r="E812">
        <v>0.17499999999999999</v>
      </c>
      <c r="F812">
        <v>1.3414999999999999</v>
      </c>
      <c r="G812">
        <v>0.65749999999999997</v>
      </c>
      <c r="H812">
        <v>0.26200000000000001</v>
      </c>
      <c r="I812">
        <v>0.375</v>
      </c>
      <c r="J812">
        <v>10</v>
      </c>
      <c r="K812">
        <v>10</v>
      </c>
      <c r="L812" t="s">
        <v>16</v>
      </c>
      <c r="M812" t="s">
        <v>17</v>
      </c>
      <c r="N812" t="s">
        <v>18</v>
      </c>
      <c r="O812">
        <v>8</v>
      </c>
      <c r="P812" t="s">
        <v>19</v>
      </c>
      <c r="Q812">
        <v>12.3</v>
      </c>
      <c r="R812" t="str" cm="1">
        <f t="array" ref="R8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12" t="e">
        <f>IF(Table13[[#This Row],[Category All]]="Category 1", "Yes",NA())</f>
        <v>#N/A</v>
      </c>
      <c r="T812" t="e">
        <f>IF(Table13[[#This Row],[Category All]]="Category 2", "Yes",NA())</f>
        <v>#N/A</v>
      </c>
      <c r="U812" t="str">
        <f>IF(Table13[[#This Row],[Category All]]="Category 3", "Yes",NA())</f>
        <v>Yes</v>
      </c>
      <c r="V812">
        <f>SUM(1,(1/3)*(Table13[[#This Row],[Length]]-0.5),(1/3)*(Table13[[#This Row],[Diameter]]-0.4),(1/3)*(Table13[[#This Row],[Height]]-0.4)*Table13[[#This Row],[Whole_weight]]*0.5)</f>
        <v>1.0296937500000001</v>
      </c>
      <c r="W812" cm="1">
        <f t="array" ref="W8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1.0296937500000001</v>
      </c>
      <c r="X812" t="e">
        <f>IF(Table13[[#This Row],[Category All]]="Category 1",Table13[[#This Row],[Base Abalone Value]]*1.5,NA())</f>
        <v>#N/A</v>
      </c>
      <c r="Y812" t="e">
        <f>IF(Table13[[#This Row],[Category All]]="Category 2",Table13[[#This Row],[Base Abalone Value]]*0.8,NA())</f>
        <v>#N/A</v>
      </c>
      <c r="Z812">
        <f>IF(Table13[[#This Row],[Category All]]="Category 3",Table13[[#This Row],[Base Abalone Value]],NA())</f>
        <v>1.0296937500000001</v>
      </c>
      <c r="AA812" s="2">
        <f>IF(Table13[[#This Row],[Gender]]="M",Table13[[#This Row],[Whole_weight]],NA())</f>
        <v>1.3414999999999999</v>
      </c>
      <c r="AB812" s="2" t="e">
        <f>IF(Table13[[#This Row],[Gender]]="F",Table13[[#This Row],[Whole_weight]],NA())</f>
        <v>#N/A</v>
      </c>
      <c r="AC812" s="2" t="e">
        <f>IF(Table13[[#This Row],[Gender]]="I",Table13[[#This Row],[Whole_weight]],NA())</f>
        <v>#N/A</v>
      </c>
      <c r="AD812" s="2">
        <f>IF(Table13[[#This Row],[Gender]]="M",Table13[[#This Row],[Diameter]],NA())</f>
        <v>0.51</v>
      </c>
      <c r="AE812" s="2" t="e">
        <f>IF(Table13[[#This Row],[Gender]]="F",Table13[[#This Row],[Diameter]],NA())</f>
        <v>#N/A</v>
      </c>
      <c r="AF812" s="2" t="e">
        <f>IF(Table13[[#This Row],[Gender]]="I",Table13[[#This Row],[Diameter]],NA())</f>
        <v>#N/A</v>
      </c>
    </row>
    <row r="813" spans="1:32" x14ac:dyDescent="0.2">
      <c r="A813">
        <v>3482</v>
      </c>
      <c r="B813" t="s">
        <v>11</v>
      </c>
      <c r="C813">
        <v>0.46500000000000002</v>
      </c>
      <c r="D813">
        <v>0.34499999999999997</v>
      </c>
      <c r="E813">
        <v>0.105</v>
      </c>
      <c r="F813">
        <v>0.40150000000000002</v>
      </c>
      <c r="G813">
        <v>0.24199999999999999</v>
      </c>
      <c r="H813">
        <v>3.4500000000000003E-2</v>
      </c>
      <c r="I813">
        <v>0.109</v>
      </c>
      <c r="J813">
        <v>6</v>
      </c>
      <c r="K813">
        <v>2</v>
      </c>
      <c r="L813" t="s">
        <v>32</v>
      </c>
      <c r="M813" t="s">
        <v>33</v>
      </c>
      <c r="N813" t="s">
        <v>34</v>
      </c>
      <c r="O813">
        <v>2</v>
      </c>
      <c r="P813" t="s">
        <v>7</v>
      </c>
      <c r="Q813">
        <v>18</v>
      </c>
      <c r="R813" t="str" cm="1">
        <f t="array" ref="R8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13" t="e">
        <f>IF(Table13[[#This Row],[Category All]]="Category 1", "Yes",NA())</f>
        <v>#N/A</v>
      </c>
      <c r="T813" t="str">
        <f>IF(Table13[[#This Row],[Category All]]="Category 2", "Yes",NA())</f>
        <v>Yes</v>
      </c>
      <c r="U813" t="e">
        <f>IF(Table13[[#This Row],[Category All]]="Category 3", "Yes",NA())</f>
        <v>#N/A</v>
      </c>
      <c r="V813">
        <f>SUM(1,(1/3)*(Table13[[#This Row],[Length]]-0.5),(1/3)*(Table13[[#This Row],[Diameter]]-0.4),(1/3)*(Table13[[#This Row],[Height]]-0.4)*Table13[[#This Row],[Whole_weight]]*0.5)</f>
        <v>0.95025958333333327</v>
      </c>
      <c r="W813" cm="1">
        <f t="array" ref="W8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0.76020766666666661</v>
      </c>
      <c r="X813" t="e">
        <f>IF(Table13[[#This Row],[Category All]]="Category 1",Table13[[#This Row],[Base Abalone Value]]*1.5,NA())</f>
        <v>#N/A</v>
      </c>
      <c r="Y813">
        <f>IF(Table13[[#This Row],[Category All]]="Category 2",Table13[[#This Row],[Base Abalone Value]]*0.8,NA())</f>
        <v>0.76020766666666661</v>
      </c>
      <c r="Z813" t="e">
        <f>IF(Table13[[#This Row],[Category All]]="Category 3",Table13[[#This Row],[Base Abalone Value]],NA())</f>
        <v>#N/A</v>
      </c>
      <c r="AA813" s="2" t="e">
        <f>IF(Table13[[#This Row],[Gender]]="M",Table13[[#This Row],[Whole_weight]],NA())</f>
        <v>#N/A</v>
      </c>
      <c r="AB813" s="2" t="e">
        <f>IF(Table13[[#This Row],[Gender]]="F",Table13[[#This Row],[Whole_weight]],NA())</f>
        <v>#N/A</v>
      </c>
      <c r="AC813" s="2">
        <f>IF(Table13[[#This Row],[Gender]]="I",Table13[[#This Row],[Whole_weight]],NA())</f>
        <v>0.40150000000000002</v>
      </c>
      <c r="AD813" s="2" t="e">
        <f>IF(Table13[[#This Row],[Gender]]="M",Table13[[#This Row],[Diameter]],NA())</f>
        <v>#N/A</v>
      </c>
      <c r="AE813" s="2" t="e">
        <f>IF(Table13[[#This Row],[Gender]]="F",Table13[[#This Row],[Diameter]],NA())</f>
        <v>#N/A</v>
      </c>
      <c r="AF813" s="2">
        <f>IF(Table13[[#This Row],[Gender]]="I",Table13[[#This Row],[Diameter]],NA())</f>
        <v>0.34499999999999997</v>
      </c>
    </row>
    <row r="814" spans="1:32" x14ac:dyDescent="0.2">
      <c r="A814">
        <v>4110</v>
      </c>
      <c r="B814" t="s">
        <v>15</v>
      </c>
      <c r="C814">
        <v>0.48</v>
      </c>
      <c r="D814">
        <v>0.36499999999999999</v>
      </c>
      <c r="E814">
        <v>0.13</v>
      </c>
      <c r="F814">
        <v>0.53049999999999997</v>
      </c>
      <c r="G814">
        <v>0.24049999999999999</v>
      </c>
      <c r="H814">
        <v>0.127</v>
      </c>
      <c r="I814">
        <v>0.13900000000000001</v>
      </c>
      <c r="J814">
        <v>8</v>
      </c>
      <c r="K814">
        <v>2</v>
      </c>
      <c r="L814" t="s">
        <v>32</v>
      </c>
      <c r="M814" t="s">
        <v>33</v>
      </c>
      <c r="N814" t="s">
        <v>34</v>
      </c>
      <c r="O814">
        <v>4</v>
      </c>
      <c r="P814" t="s">
        <v>10</v>
      </c>
      <c r="Q814">
        <v>6.1</v>
      </c>
      <c r="R814" t="str" cm="1">
        <f t="array" ref="R8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14" t="e">
        <f>IF(Table13[[#This Row],[Category All]]="Category 1", "Yes",NA())</f>
        <v>#N/A</v>
      </c>
      <c r="T814" t="str">
        <f>IF(Table13[[#This Row],[Category All]]="Category 2", "Yes",NA())</f>
        <v>Yes</v>
      </c>
      <c r="U814" t="e">
        <f>IF(Table13[[#This Row],[Category All]]="Category 3", "Yes",NA())</f>
        <v>#N/A</v>
      </c>
      <c r="V814">
        <f>SUM(1,(1/3)*(Table13[[#This Row],[Length]]-0.5),(1/3)*(Table13[[#This Row],[Diameter]]-0.4),(1/3)*(Table13[[#This Row],[Height]]-0.4)*Table13[[#This Row],[Whole_weight]]*0.5)</f>
        <v>0.95779416666666661</v>
      </c>
      <c r="W814" cm="1">
        <f t="array" ref="W8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0.76623533333333338</v>
      </c>
      <c r="X814" t="e">
        <f>IF(Table13[[#This Row],[Category All]]="Category 1",Table13[[#This Row],[Base Abalone Value]]*1.5,NA())</f>
        <v>#N/A</v>
      </c>
      <c r="Y814">
        <f>IF(Table13[[#This Row],[Category All]]="Category 2",Table13[[#This Row],[Base Abalone Value]]*0.8,NA())</f>
        <v>0.76623533333333338</v>
      </c>
      <c r="Z814" t="e">
        <f>IF(Table13[[#This Row],[Category All]]="Category 3",Table13[[#This Row],[Base Abalone Value]],NA())</f>
        <v>#N/A</v>
      </c>
      <c r="AA814" s="2">
        <f>IF(Table13[[#This Row],[Gender]]="M",Table13[[#This Row],[Whole_weight]],NA())</f>
        <v>0.53049999999999997</v>
      </c>
      <c r="AB814" s="2" t="e">
        <f>IF(Table13[[#This Row],[Gender]]="F",Table13[[#This Row],[Whole_weight]],NA())</f>
        <v>#N/A</v>
      </c>
      <c r="AC814" s="2" t="e">
        <f>IF(Table13[[#This Row],[Gender]]="I",Table13[[#This Row],[Whole_weight]],NA())</f>
        <v>#N/A</v>
      </c>
      <c r="AD814" s="2">
        <f>IF(Table13[[#This Row],[Gender]]="M",Table13[[#This Row],[Diameter]],NA())</f>
        <v>0.36499999999999999</v>
      </c>
      <c r="AE814" s="2" t="e">
        <f>IF(Table13[[#This Row],[Gender]]="F",Table13[[#This Row],[Diameter]],NA())</f>
        <v>#N/A</v>
      </c>
      <c r="AF814" s="2" t="e">
        <f>IF(Table13[[#This Row],[Gender]]="I",Table13[[#This Row],[Diameter]],NA())</f>
        <v>#N/A</v>
      </c>
    </row>
    <row r="815" spans="1:32" x14ac:dyDescent="0.2">
      <c r="A815">
        <v>2773</v>
      </c>
      <c r="B815" t="s">
        <v>15</v>
      </c>
      <c r="C815">
        <v>0.57999999999999996</v>
      </c>
      <c r="D815">
        <v>0.44</v>
      </c>
      <c r="E815">
        <v>0.17499999999999999</v>
      </c>
      <c r="F815">
        <v>1.2255</v>
      </c>
      <c r="G815">
        <v>0.54049999999999998</v>
      </c>
      <c r="H815">
        <v>0.27050000000000002</v>
      </c>
      <c r="I815">
        <v>0.32650000000000001</v>
      </c>
      <c r="J815">
        <v>10</v>
      </c>
      <c r="K815">
        <v>14</v>
      </c>
      <c r="L815" t="s">
        <v>23</v>
      </c>
      <c r="M815" t="s">
        <v>24</v>
      </c>
      <c r="N815" t="s">
        <v>25</v>
      </c>
      <c r="O815">
        <v>9</v>
      </c>
      <c r="P815" t="s">
        <v>46</v>
      </c>
      <c r="Q815">
        <v>1.9</v>
      </c>
      <c r="R815" t="str" cm="1">
        <f t="array" ref="R8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15" t="e">
        <f>IF(Table13[[#This Row],[Category All]]="Category 1", "Yes",NA())</f>
        <v>#N/A</v>
      </c>
      <c r="T815" t="e">
        <f>IF(Table13[[#This Row],[Category All]]="Category 2", "Yes",NA())</f>
        <v>#N/A</v>
      </c>
      <c r="U815" t="str">
        <f>IF(Table13[[#This Row],[Category All]]="Category 3", "Yes",NA())</f>
        <v>Yes</v>
      </c>
      <c r="V815">
        <f>SUM(1,(1/3)*(Table13[[#This Row],[Length]]-0.5),(1/3)*(Table13[[#This Row],[Diameter]]-0.4),(1/3)*(Table13[[#This Row],[Height]]-0.4)*Table13[[#This Row],[Whole_weight]]*0.5)</f>
        <v>0.99404375</v>
      </c>
      <c r="W815" cm="1">
        <f t="array" ref="W8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0.99404375</v>
      </c>
      <c r="X815" t="e">
        <f>IF(Table13[[#This Row],[Category All]]="Category 1",Table13[[#This Row],[Base Abalone Value]]*1.5,NA())</f>
        <v>#N/A</v>
      </c>
      <c r="Y815" t="e">
        <f>IF(Table13[[#This Row],[Category All]]="Category 2",Table13[[#This Row],[Base Abalone Value]]*0.8,NA())</f>
        <v>#N/A</v>
      </c>
      <c r="Z815">
        <f>IF(Table13[[#This Row],[Category All]]="Category 3",Table13[[#This Row],[Base Abalone Value]],NA())</f>
        <v>0.99404375</v>
      </c>
      <c r="AA815" s="2">
        <f>IF(Table13[[#This Row],[Gender]]="M",Table13[[#This Row],[Whole_weight]],NA())</f>
        <v>1.2255</v>
      </c>
      <c r="AB815" s="2" t="e">
        <f>IF(Table13[[#This Row],[Gender]]="F",Table13[[#This Row],[Whole_weight]],NA())</f>
        <v>#N/A</v>
      </c>
      <c r="AC815" s="2" t="e">
        <f>IF(Table13[[#This Row],[Gender]]="I",Table13[[#This Row],[Whole_weight]],NA())</f>
        <v>#N/A</v>
      </c>
      <c r="AD815" s="2">
        <f>IF(Table13[[#This Row],[Gender]]="M",Table13[[#This Row],[Diameter]],NA())</f>
        <v>0.44</v>
      </c>
      <c r="AE815" s="2" t="e">
        <f>IF(Table13[[#This Row],[Gender]]="F",Table13[[#This Row],[Diameter]],NA())</f>
        <v>#N/A</v>
      </c>
      <c r="AF815" s="2" t="e">
        <f>IF(Table13[[#This Row],[Gender]]="I",Table13[[#This Row],[Diameter]],NA())</f>
        <v>#N/A</v>
      </c>
    </row>
    <row r="816" spans="1:32" x14ac:dyDescent="0.2">
      <c r="A816">
        <v>3525</v>
      </c>
      <c r="B816" t="s">
        <v>11</v>
      </c>
      <c r="C816">
        <v>0.32</v>
      </c>
      <c r="D816">
        <v>0.24</v>
      </c>
      <c r="E816">
        <v>8.5000000000000006E-2</v>
      </c>
      <c r="F816">
        <v>0.13100000000000001</v>
      </c>
      <c r="G816">
        <v>6.1499999999999999E-2</v>
      </c>
      <c r="H816">
        <v>2.6499999999999999E-2</v>
      </c>
      <c r="I816">
        <v>3.7999999999999999E-2</v>
      </c>
      <c r="J816">
        <v>6</v>
      </c>
      <c r="K816">
        <v>10</v>
      </c>
      <c r="L816" t="s">
        <v>16</v>
      </c>
      <c r="M816" t="s">
        <v>17</v>
      </c>
      <c r="N816" t="s">
        <v>18</v>
      </c>
      <c r="O816">
        <v>8</v>
      </c>
      <c r="P816" t="s">
        <v>19</v>
      </c>
      <c r="Q816">
        <v>12.3</v>
      </c>
      <c r="R816" t="str" cm="1">
        <f t="array" ref="R8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16" t="e">
        <f>IF(Table13[[#This Row],[Category All]]="Category 1", "Yes",NA())</f>
        <v>#N/A</v>
      </c>
      <c r="T816" t="str">
        <f>IF(Table13[[#This Row],[Category All]]="Category 2", "Yes",NA())</f>
        <v>Yes</v>
      </c>
      <c r="U816" t="e">
        <f>IF(Table13[[#This Row],[Category All]]="Category 3", "Yes",NA())</f>
        <v>#N/A</v>
      </c>
      <c r="V816">
        <f>SUM(1,(1/3)*(Table13[[#This Row],[Length]]-0.5),(1/3)*(Table13[[#This Row],[Diameter]]-0.4),(1/3)*(Table13[[#This Row],[Height]]-0.4)*Table13[[#This Row],[Whole_weight]]*0.5)</f>
        <v>0.87978916666666662</v>
      </c>
      <c r="W816" cm="1">
        <f t="array" ref="W8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0.70383133333333336</v>
      </c>
      <c r="X816" t="e">
        <f>IF(Table13[[#This Row],[Category All]]="Category 1",Table13[[#This Row],[Base Abalone Value]]*1.5,NA())</f>
        <v>#N/A</v>
      </c>
      <c r="Y816">
        <f>IF(Table13[[#This Row],[Category All]]="Category 2",Table13[[#This Row],[Base Abalone Value]]*0.8,NA())</f>
        <v>0.70383133333333336</v>
      </c>
      <c r="Z816" t="e">
        <f>IF(Table13[[#This Row],[Category All]]="Category 3",Table13[[#This Row],[Base Abalone Value]],NA())</f>
        <v>#N/A</v>
      </c>
      <c r="AA816" s="2" t="e">
        <f>IF(Table13[[#This Row],[Gender]]="M",Table13[[#This Row],[Whole_weight]],NA())</f>
        <v>#N/A</v>
      </c>
      <c r="AB816" s="2" t="e">
        <f>IF(Table13[[#This Row],[Gender]]="F",Table13[[#This Row],[Whole_weight]],NA())</f>
        <v>#N/A</v>
      </c>
      <c r="AC816" s="2">
        <f>IF(Table13[[#This Row],[Gender]]="I",Table13[[#This Row],[Whole_weight]],NA())</f>
        <v>0.13100000000000001</v>
      </c>
      <c r="AD816" s="2" t="e">
        <f>IF(Table13[[#This Row],[Gender]]="M",Table13[[#This Row],[Diameter]],NA())</f>
        <v>#N/A</v>
      </c>
      <c r="AE816" s="2" t="e">
        <f>IF(Table13[[#This Row],[Gender]]="F",Table13[[#This Row],[Diameter]],NA())</f>
        <v>#N/A</v>
      </c>
      <c r="AF816" s="2">
        <f>IF(Table13[[#This Row],[Gender]]="I",Table13[[#This Row],[Diameter]],NA())</f>
        <v>0.24</v>
      </c>
    </row>
    <row r="817" spans="1:32" x14ac:dyDescent="0.2">
      <c r="A817">
        <v>927</v>
      </c>
      <c r="B817" t="s">
        <v>11</v>
      </c>
      <c r="C817">
        <v>0.43</v>
      </c>
      <c r="D817">
        <v>0.32500000000000001</v>
      </c>
      <c r="E817">
        <v>0.09</v>
      </c>
      <c r="F817">
        <v>0.42499999999999999</v>
      </c>
      <c r="G817">
        <v>0.217</v>
      </c>
      <c r="H817">
        <v>8.6999999999999994E-2</v>
      </c>
      <c r="I817">
        <v>9.5000000000000001E-2</v>
      </c>
      <c r="J817">
        <v>7</v>
      </c>
      <c r="K817">
        <v>2</v>
      </c>
      <c r="L817" t="s">
        <v>32</v>
      </c>
      <c r="M817" t="s">
        <v>33</v>
      </c>
      <c r="N817" t="s">
        <v>34</v>
      </c>
      <c r="O817">
        <v>9</v>
      </c>
      <c r="P817" t="s">
        <v>46</v>
      </c>
      <c r="Q817">
        <v>1.9</v>
      </c>
      <c r="R817" t="str" cm="1">
        <f t="array" ref="R8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17" t="e">
        <f>IF(Table13[[#This Row],[Category All]]="Category 1", "Yes",NA())</f>
        <v>#N/A</v>
      </c>
      <c r="T817" t="str">
        <f>IF(Table13[[#This Row],[Category All]]="Category 2", "Yes",NA())</f>
        <v>Yes</v>
      </c>
      <c r="U817" t="e">
        <f>IF(Table13[[#This Row],[Category All]]="Category 3", "Yes",NA())</f>
        <v>#N/A</v>
      </c>
      <c r="V817">
        <f>SUM(1,(1/3)*(Table13[[#This Row],[Length]]-0.5),(1/3)*(Table13[[#This Row],[Diameter]]-0.4),(1/3)*(Table13[[#This Row],[Height]]-0.4)*Table13[[#This Row],[Whole_weight]]*0.5)</f>
        <v>0.92970833333333336</v>
      </c>
      <c r="W817" cm="1">
        <f t="array" ref="W8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0.74376666666666669</v>
      </c>
      <c r="X817" t="e">
        <f>IF(Table13[[#This Row],[Category All]]="Category 1",Table13[[#This Row],[Base Abalone Value]]*1.5,NA())</f>
        <v>#N/A</v>
      </c>
      <c r="Y817">
        <f>IF(Table13[[#This Row],[Category All]]="Category 2",Table13[[#This Row],[Base Abalone Value]]*0.8,NA())</f>
        <v>0.74376666666666669</v>
      </c>
      <c r="Z817" t="e">
        <f>IF(Table13[[#This Row],[Category All]]="Category 3",Table13[[#This Row],[Base Abalone Value]],NA())</f>
        <v>#N/A</v>
      </c>
      <c r="AA817" s="2" t="e">
        <f>IF(Table13[[#This Row],[Gender]]="M",Table13[[#This Row],[Whole_weight]],NA())</f>
        <v>#N/A</v>
      </c>
      <c r="AB817" s="2" t="e">
        <f>IF(Table13[[#This Row],[Gender]]="F",Table13[[#This Row],[Whole_weight]],NA())</f>
        <v>#N/A</v>
      </c>
      <c r="AC817" s="2">
        <f>IF(Table13[[#This Row],[Gender]]="I",Table13[[#This Row],[Whole_weight]],NA())</f>
        <v>0.42499999999999999</v>
      </c>
      <c r="AD817" s="2" t="e">
        <f>IF(Table13[[#This Row],[Gender]]="M",Table13[[#This Row],[Diameter]],NA())</f>
        <v>#N/A</v>
      </c>
      <c r="AE817" s="2" t="e">
        <f>IF(Table13[[#This Row],[Gender]]="F",Table13[[#This Row],[Diameter]],NA())</f>
        <v>#N/A</v>
      </c>
      <c r="AF817" s="2">
        <f>IF(Table13[[#This Row],[Gender]]="I",Table13[[#This Row],[Diameter]],NA())</f>
        <v>0.32500000000000001</v>
      </c>
    </row>
    <row r="818" spans="1:32" x14ac:dyDescent="0.2">
      <c r="A818">
        <v>1293</v>
      </c>
      <c r="B818" t="s">
        <v>11</v>
      </c>
      <c r="C818">
        <v>0.51500000000000001</v>
      </c>
      <c r="D818">
        <v>0.4</v>
      </c>
      <c r="E818">
        <v>0.13500000000000001</v>
      </c>
      <c r="F818">
        <v>0.69650000000000001</v>
      </c>
      <c r="G818">
        <v>0.32</v>
      </c>
      <c r="H818">
        <v>0.1255</v>
      </c>
      <c r="I818">
        <v>0.17499999999999999</v>
      </c>
      <c r="J818">
        <v>9</v>
      </c>
      <c r="K818">
        <v>6</v>
      </c>
      <c r="L818" t="s">
        <v>39</v>
      </c>
      <c r="M818" t="s">
        <v>40</v>
      </c>
      <c r="N818" t="s">
        <v>41</v>
      </c>
      <c r="O818">
        <v>10</v>
      </c>
      <c r="P818" t="s">
        <v>38</v>
      </c>
      <c r="Q818">
        <v>24.1</v>
      </c>
      <c r="R818" t="str" cm="1">
        <f t="array" ref="R8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18" t="e">
        <f>IF(Table13[[#This Row],[Category All]]="Category 1", "Yes",NA())</f>
        <v>#N/A</v>
      </c>
      <c r="T818" t="str">
        <f>IF(Table13[[#This Row],[Category All]]="Category 2", "Yes",NA())</f>
        <v>Yes</v>
      </c>
      <c r="U818" t="e">
        <f>IF(Table13[[#This Row],[Category All]]="Category 3", "Yes",NA())</f>
        <v>#N/A</v>
      </c>
      <c r="V818">
        <f>SUM(1,(1/3)*(Table13[[#This Row],[Length]]-0.5),(1/3)*(Table13[[#This Row],[Diameter]]-0.4),(1/3)*(Table13[[#This Row],[Height]]-0.4)*Table13[[#This Row],[Whole_weight]]*0.5)</f>
        <v>0.97423791666666659</v>
      </c>
      <c r="W818" cm="1">
        <f t="array" ref="W8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0.7793903333333333</v>
      </c>
      <c r="X818" t="e">
        <f>IF(Table13[[#This Row],[Category All]]="Category 1",Table13[[#This Row],[Base Abalone Value]]*1.5,NA())</f>
        <v>#N/A</v>
      </c>
      <c r="Y818">
        <f>IF(Table13[[#This Row],[Category All]]="Category 2",Table13[[#This Row],[Base Abalone Value]]*0.8,NA())</f>
        <v>0.7793903333333333</v>
      </c>
      <c r="Z818" t="e">
        <f>IF(Table13[[#This Row],[Category All]]="Category 3",Table13[[#This Row],[Base Abalone Value]],NA())</f>
        <v>#N/A</v>
      </c>
      <c r="AA818" s="2" t="e">
        <f>IF(Table13[[#This Row],[Gender]]="M",Table13[[#This Row],[Whole_weight]],NA())</f>
        <v>#N/A</v>
      </c>
      <c r="AB818" s="2" t="e">
        <f>IF(Table13[[#This Row],[Gender]]="F",Table13[[#This Row],[Whole_weight]],NA())</f>
        <v>#N/A</v>
      </c>
      <c r="AC818" s="2">
        <f>IF(Table13[[#This Row],[Gender]]="I",Table13[[#This Row],[Whole_weight]],NA())</f>
        <v>0.69650000000000001</v>
      </c>
      <c r="AD818" s="2" t="e">
        <f>IF(Table13[[#This Row],[Gender]]="M",Table13[[#This Row],[Diameter]],NA())</f>
        <v>#N/A</v>
      </c>
      <c r="AE818" s="2" t="e">
        <f>IF(Table13[[#This Row],[Gender]]="F",Table13[[#This Row],[Diameter]],NA())</f>
        <v>#N/A</v>
      </c>
      <c r="AF818" s="2">
        <f>IF(Table13[[#This Row],[Gender]]="I",Table13[[#This Row],[Diameter]],NA())</f>
        <v>0.4</v>
      </c>
    </row>
    <row r="819" spans="1:32" x14ac:dyDescent="0.2">
      <c r="A819">
        <v>4143</v>
      </c>
      <c r="B819" t="s">
        <v>15</v>
      </c>
      <c r="C819">
        <v>0.65500000000000003</v>
      </c>
      <c r="D819">
        <v>0.52500000000000002</v>
      </c>
      <c r="E819">
        <v>0.18</v>
      </c>
      <c r="F819">
        <v>1.4019999999999999</v>
      </c>
      <c r="G819">
        <v>0.624</v>
      </c>
      <c r="H819">
        <v>0.29349999999999998</v>
      </c>
      <c r="I819">
        <v>0.36499999999999999</v>
      </c>
      <c r="J819">
        <v>13</v>
      </c>
      <c r="K819">
        <v>7</v>
      </c>
      <c r="L819" t="s">
        <v>35</v>
      </c>
      <c r="M819" t="s">
        <v>36</v>
      </c>
      <c r="N819" t="s">
        <v>37</v>
      </c>
      <c r="O819">
        <v>3</v>
      </c>
      <c r="P819" t="s">
        <v>48</v>
      </c>
      <c r="Q819">
        <v>3.6</v>
      </c>
      <c r="R819" t="str" cm="1">
        <f t="array" ref="R8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19" t="e">
        <f>IF(Table13[[#This Row],[Category All]]="Category 1", "Yes",NA())</f>
        <v>#N/A</v>
      </c>
      <c r="T819" t="e">
        <f>IF(Table13[[#This Row],[Category All]]="Category 2", "Yes",NA())</f>
        <v>#N/A</v>
      </c>
      <c r="U819" t="str">
        <f>IF(Table13[[#This Row],[Category All]]="Category 3", "Yes",NA())</f>
        <v>Yes</v>
      </c>
      <c r="V819">
        <f>SUM(1,(1/3)*(Table13[[#This Row],[Length]]-0.5),(1/3)*(Table13[[#This Row],[Diameter]]-0.4),(1/3)*(Table13[[#This Row],[Height]]-0.4)*Table13[[#This Row],[Whole_weight]]*0.5)</f>
        <v>1.0419266666666669</v>
      </c>
      <c r="W819" cm="1">
        <f t="array" ref="W8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1.0419266666666669</v>
      </c>
      <c r="X819" t="e">
        <f>IF(Table13[[#This Row],[Category All]]="Category 1",Table13[[#This Row],[Base Abalone Value]]*1.5,NA())</f>
        <v>#N/A</v>
      </c>
      <c r="Y819" t="e">
        <f>IF(Table13[[#This Row],[Category All]]="Category 2",Table13[[#This Row],[Base Abalone Value]]*0.8,NA())</f>
        <v>#N/A</v>
      </c>
      <c r="Z819">
        <f>IF(Table13[[#This Row],[Category All]]="Category 3",Table13[[#This Row],[Base Abalone Value]],NA())</f>
        <v>1.0419266666666669</v>
      </c>
      <c r="AA819" s="2">
        <f>IF(Table13[[#This Row],[Gender]]="M",Table13[[#This Row],[Whole_weight]],NA())</f>
        <v>1.4019999999999999</v>
      </c>
      <c r="AB819" s="2" t="e">
        <f>IF(Table13[[#This Row],[Gender]]="F",Table13[[#This Row],[Whole_weight]],NA())</f>
        <v>#N/A</v>
      </c>
      <c r="AC819" s="2" t="e">
        <f>IF(Table13[[#This Row],[Gender]]="I",Table13[[#This Row],[Whole_weight]],NA())</f>
        <v>#N/A</v>
      </c>
      <c r="AD819" s="2">
        <f>IF(Table13[[#This Row],[Gender]]="M",Table13[[#This Row],[Diameter]],NA())</f>
        <v>0.52500000000000002</v>
      </c>
      <c r="AE819" s="2" t="e">
        <f>IF(Table13[[#This Row],[Gender]]="F",Table13[[#This Row],[Diameter]],NA())</f>
        <v>#N/A</v>
      </c>
      <c r="AF819" s="2" t="e">
        <f>IF(Table13[[#This Row],[Gender]]="I",Table13[[#This Row],[Diameter]],NA())</f>
        <v>#N/A</v>
      </c>
    </row>
    <row r="820" spans="1:32" x14ac:dyDescent="0.2">
      <c r="A820">
        <v>3529</v>
      </c>
      <c r="B820" t="s">
        <v>11</v>
      </c>
      <c r="C820">
        <v>0.35</v>
      </c>
      <c r="D820">
        <v>0.26500000000000001</v>
      </c>
      <c r="E820">
        <v>8.5000000000000006E-2</v>
      </c>
      <c r="F820">
        <v>0.17349999999999999</v>
      </c>
      <c r="G820">
        <v>7.7499999999999999E-2</v>
      </c>
      <c r="H820">
        <v>3.4000000000000002E-2</v>
      </c>
      <c r="I820">
        <v>5.6000000000000001E-2</v>
      </c>
      <c r="J820">
        <v>6</v>
      </c>
      <c r="K820">
        <v>9</v>
      </c>
      <c r="L820" t="s">
        <v>20</v>
      </c>
      <c r="M820" t="s">
        <v>21</v>
      </c>
      <c r="N820" t="s">
        <v>22</v>
      </c>
      <c r="O820">
        <v>10</v>
      </c>
      <c r="P820" t="s">
        <v>38</v>
      </c>
      <c r="Q820">
        <v>24.1</v>
      </c>
      <c r="R820" t="str" cm="1">
        <f t="array" ref="R8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20" t="e">
        <f>IF(Table13[[#This Row],[Category All]]="Category 1", "Yes",NA())</f>
        <v>#N/A</v>
      </c>
      <c r="T820" t="str">
        <f>IF(Table13[[#This Row],[Category All]]="Category 2", "Yes",NA())</f>
        <v>Yes</v>
      </c>
      <c r="U820" t="e">
        <f>IF(Table13[[#This Row],[Category All]]="Category 3", "Yes",NA())</f>
        <v>#N/A</v>
      </c>
      <c r="V820">
        <f>SUM(1,(1/3)*(Table13[[#This Row],[Length]]-0.5),(1/3)*(Table13[[#This Row],[Diameter]]-0.4),(1/3)*(Table13[[#This Row],[Height]]-0.4)*Table13[[#This Row],[Whole_weight]]*0.5)</f>
        <v>0.89589124999999992</v>
      </c>
      <c r="W820" cm="1">
        <f t="array" ref="W8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0.71671299999999993</v>
      </c>
      <c r="X820" t="e">
        <f>IF(Table13[[#This Row],[Category All]]="Category 1",Table13[[#This Row],[Base Abalone Value]]*1.5,NA())</f>
        <v>#N/A</v>
      </c>
      <c r="Y820">
        <f>IF(Table13[[#This Row],[Category All]]="Category 2",Table13[[#This Row],[Base Abalone Value]]*0.8,NA())</f>
        <v>0.71671299999999993</v>
      </c>
      <c r="Z820" t="e">
        <f>IF(Table13[[#This Row],[Category All]]="Category 3",Table13[[#This Row],[Base Abalone Value]],NA())</f>
        <v>#N/A</v>
      </c>
      <c r="AA820" s="2" t="e">
        <f>IF(Table13[[#This Row],[Gender]]="M",Table13[[#This Row],[Whole_weight]],NA())</f>
        <v>#N/A</v>
      </c>
      <c r="AB820" s="2" t="e">
        <f>IF(Table13[[#This Row],[Gender]]="F",Table13[[#This Row],[Whole_weight]],NA())</f>
        <v>#N/A</v>
      </c>
      <c r="AC820" s="2">
        <f>IF(Table13[[#This Row],[Gender]]="I",Table13[[#This Row],[Whole_weight]],NA())</f>
        <v>0.17349999999999999</v>
      </c>
      <c r="AD820" s="2" t="e">
        <f>IF(Table13[[#This Row],[Gender]]="M",Table13[[#This Row],[Diameter]],NA())</f>
        <v>#N/A</v>
      </c>
      <c r="AE820" s="2" t="e">
        <f>IF(Table13[[#This Row],[Gender]]="F",Table13[[#This Row],[Diameter]],NA())</f>
        <v>#N/A</v>
      </c>
      <c r="AF820" s="2">
        <f>IF(Table13[[#This Row],[Gender]]="I",Table13[[#This Row],[Diameter]],NA())</f>
        <v>0.26500000000000001</v>
      </c>
    </row>
    <row r="821" spans="1:32" x14ac:dyDescent="0.2">
      <c r="A821">
        <v>3992</v>
      </c>
      <c r="B821" t="s">
        <v>15</v>
      </c>
      <c r="C821">
        <v>0.68500000000000005</v>
      </c>
      <c r="D821">
        <v>0.51</v>
      </c>
      <c r="E821">
        <v>0.18</v>
      </c>
      <c r="F821">
        <v>1.4544999999999999</v>
      </c>
      <c r="G821">
        <v>0.63149999999999995</v>
      </c>
      <c r="H821">
        <v>0.3105</v>
      </c>
      <c r="I821">
        <v>0.3725</v>
      </c>
      <c r="J821">
        <v>9</v>
      </c>
      <c r="K821">
        <v>2</v>
      </c>
      <c r="L821" t="s">
        <v>32</v>
      </c>
      <c r="M821" t="s">
        <v>33</v>
      </c>
      <c r="N821" t="s">
        <v>34</v>
      </c>
      <c r="O821">
        <v>2</v>
      </c>
      <c r="P821" t="s">
        <v>7</v>
      </c>
      <c r="Q821">
        <v>18</v>
      </c>
      <c r="R821" t="str" cm="1">
        <f t="array" ref="R8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21" t="e">
        <f>IF(Table13[[#This Row],[Category All]]="Category 1", "Yes",NA())</f>
        <v>#N/A</v>
      </c>
      <c r="T821" t="e">
        <f>IF(Table13[[#This Row],[Category All]]="Category 2", "Yes",NA())</f>
        <v>#N/A</v>
      </c>
      <c r="U821" t="str">
        <f>IF(Table13[[#This Row],[Category All]]="Category 3", "Yes",NA())</f>
        <v>Yes</v>
      </c>
      <c r="V821">
        <f>SUM(1,(1/3)*(Table13[[#This Row],[Length]]-0.5),(1/3)*(Table13[[#This Row],[Diameter]]-0.4),(1/3)*(Table13[[#This Row],[Height]]-0.4)*Table13[[#This Row],[Whole_weight]]*0.5)</f>
        <v>1.0450016666666668</v>
      </c>
      <c r="W821" cm="1">
        <f t="array" ref="W8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1.0450016666666668</v>
      </c>
      <c r="X821" t="e">
        <f>IF(Table13[[#This Row],[Category All]]="Category 1",Table13[[#This Row],[Base Abalone Value]]*1.5,NA())</f>
        <v>#N/A</v>
      </c>
      <c r="Y821" t="e">
        <f>IF(Table13[[#This Row],[Category All]]="Category 2",Table13[[#This Row],[Base Abalone Value]]*0.8,NA())</f>
        <v>#N/A</v>
      </c>
      <c r="Z821">
        <f>IF(Table13[[#This Row],[Category All]]="Category 3",Table13[[#This Row],[Base Abalone Value]],NA())</f>
        <v>1.0450016666666668</v>
      </c>
      <c r="AA821" s="2">
        <f>IF(Table13[[#This Row],[Gender]]="M",Table13[[#This Row],[Whole_weight]],NA())</f>
        <v>1.4544999999999999</v>
      </c>
      <c r="AB821" s="2" t="e">
        <f>IF(Table13[[#This Row],[Gender]]="F",Table13[[#This Row],[Whole_weight]],NA())</f>
        <v>#N/A</v>
      </c>
      <c r="AC821" s="2" t="e">
        <f>IF(Table13[[#This Row],[Gender]]="I",Table13[[#This Row],[Whole_weight]],NA())</f>
        <v>#N/A</v>
      </c>
      <c r="AD821" s="2">
        <f>IF(Table13[[#This Row],[Gender]]="M",Table13[[#This Row],[Diameter]],NA())</f>
        <v>0.51</v>
      </c>
      <c r="AE821" s="2" t="e">
        <f>IF(Table13[[#This Row],[Gender]]="F",Table13[[#This Row],[Diameter]],NA())</f>
        <v>#N/A</v>
      </c>
      <c r="AF821" s="2" t="e">
        <f>IF(Table13[[#This Row],[Gender]]="I",Table13[[#This Row],[Diameter]],NA())</f>
        <v>#N/A</v>
      </c>
    </row>
    <row r="822" spans="1:32" x14ac:dyDescent="0.2">
      <c r="A822">
        <v>967</v>
      </c>
      <c r="B822" t="s">
        <v>11</v>
      </c>
      <c r="C822">
        <v>0.51</v>
      </c>
      <c r="D822">
        <v>0.375</v>
      </c>
      <c r="E822">
        <v>0.1</v>
      </c>
      <c r="F822">
        <v>0.57850000000000001</v>
      </c>
      <c r="G822">
        <v>0.23799999999999999</v>
      </c>
      <c r="H822">
        <v>0.1225</v>
      </c>
      <c r="I822">
        <v>0.17499999999999999</v>
      </c>
      <c r="J822">
        <v>7</v>
      </c>
      <c r="K822">
        <v>11</v>
      </c>
      <c r="L822" t="s">
        <v>5</v>
      </c>
      <c r="M822" t="s">
        <v>6</v>
      </c>
      <c r="N822" t="s">
        <v>3</v>
      </c>
      <c r="O822">
        <v>7</v>
      </c>
      <c r="P822" t="s">
        <v>42</v>
      </c>
      <c r="Q822">
        <v>2.5</v>
      </c>
      <c r="R822" t="str" cm="1">
        <f t="array" ref="R8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22" t="e">
        <f>IF(Table13[[#This Row],[Category All]]="Category 1", "Yes",NA())</f>
        <v>#N/A</v>
      </c>
      <c r="T822" t="str">
        <f>IF(Table13[[#This Row],[Category All]]="Category 2", "Yes",NA())</f>
        <v>Yes</v>
      </c>
      <c r="U822" t="e">
        <f>IF(Table13[[#This Row],[Category All]]="Category 3", "Yes",NA())</f>
        <v>#N/A</v>
      </c>
      <c r="V822">
        <f>SUM(1,(1/3)*(Table13[[#This Row],[Length]]-0.5),(1/3)*(Table13[[#This Row],[Diameter]]-0.4),(1/3)*(Table13[[#This Row],[Height]]-0.4)*Table13[[#This Row],[Whole_weight]]*0.5)</f>
        <v>0.96607500000000013</v>
      </c>
      <c r="W822" cm="1">
        <f t="array" ref="W8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0.7728600000000001</v>
      </c>
      <c r="X822" t="e">
        <f>IF(Table13[[#This Row],[Category All]]="Category 1",Table13[[#This Row],[Base Abalone Value]]*1.5,NA())</f>
        <v>#N/A</v>
      </c>
      <c r="Y822">
        <f>IF(Table13[[#This Row],[Category All]]="Category 2",Table13[[#This Row],[Base Abalone Value]]*0.8,NA())</f>
        <v>0.7728600000000001</v>
      </c>
      <c r="Z822" t="e">
        <f>IF(Table13[[#This Row],[Category All]]="Category 3",Table13[[#This Row],[Base Abalone Value]],NA())</f>
        <v>#N/A</v>
      </c>
      <c r="AA822" s="2" t="e">
        <f>IF(Table13[[#This Row],[Gender]]="M",Table13[[#This Row],[Whole_weight]],NA())</f>
        <v>#N/A</v>
      </c>
      <c r="AB822" s="2" t="e">
        <f>IF(Table13[[#This Row],[Gender]]="F",Table13[[#This Row],[Whole_weight]],NA())</f>
        <v>#N/A</v>
      </c>
      <c r="AC822" s="2">
        <f>IF(Table13[[#This Row],[Gender]]="I",Table13[[#This Row],[Whole_weight]],NA())</f>
        <v>0.57850000000000001</v>
      </c>
      <c r="AD822" s="2" t="e">
        <f>IF(Table13[[#This Row],[Gender]]="M",Table13[[#This Row],[Diameter]],NA())</f>
        <v>#N/A</v>
      </c>
      <c r="AE822" s="2" t="e">
        <f>IF(Table13[[#This Row],[Gender]]="F",Table13[[#This Row],[Diameter]],NA())</f>
        <v>#N/A</v>
      </c>
      <c r="AF822" s="2">
        <f>IF(Table13[[#This Row],[Gender]]="I",Table13[[#This Row],[Diameter]],NA())</f>
        <v>0.375</v>
      </c>
    </row>
    <row r="823" spans="1:32" x14ac:dyDescent="0.2">
      <c r="A823">
        <v>592</v>
      </c>
      <c r="B823" t="s">
        <v>0</v>
      </c>
      <c r="C823">
        <v>0.37</v>
      </c>
      <c r="D823">
        <v>0.28999999999999998</v>
      </c>
      <c r="E823">
        <v>0.115</v>
      </c>
      <c r="F823">
        <v>0.25</v>
      </c>
      <c r="G823">
        <v>0.111</v>
      </c>
      <c r="H823">
        <v>5.7000000000000002E-2</v>
      </c>
      <c r="I823">
        <v>7.4999999999999997E-2</v>
      </c>
      <c r="J823">
        <v>9</v>
      </c>
      <c r="K823">
        <v>2</v>
      </c>
      <c r="L823" t="s">
        <v>32</v>
      </c>
      <c r="M823" t="s">
        <v>33</v>
      </c>
      <c r="N823" t="s">
        <v>34</v>
      </c>
      <c r="O823">
        <v>7</v>
      </c>
      <c r="P823" t="s">
        <v>42</v>
      </c>
      <c r="Q823">
        <v>2.5</v>
      </c>
      <c r="R823" t="str" cm="1">
        <f t="array" ref="R8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23" t="e">
        <f>IF(Table13[[#This Row],[Category All]]="Category 1", "Yes",NA())</f>
        <v>#N/A</v>
      </c>
      <c r="T823" t="str">
        <f>IF(Table13[[#This Row],[Category All]]="Category 2", "Yes",NA())</f>
        <v>Yes</v>
      </c>
      <c r="U823" t="e">
        <f>IF(Table13[[#This Row],[Category All]]="Category 3", "Yes",NA())</f>
        <v>#N/A</v>
      </c>
      <c r="V823">
        <f>SUM(1,(1/3)*(Table13[[#This Row],[Length]]-0.5),(1/3)*(Table13[[#This Row],[Diameter]]-0.4),(1/3)*(Table13[[#This Row],[Height]]-0.4)*Table13[[#This Row],[Whole_weight]]*0.5)</f>
        <v>0.90812499999999996</v>
      </c>
      <c r="W823" cm="1">
        <f t="array" ref="W8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0.72650000000000003</v>
      </c>
      <c r="X823" t="e">
        <f>IF(Table13[[#This Row],[Category All]]="Category 1",Table13[[#This Row],[Base Abalone Value]]*1.5,NA())</f>
        <v>#N/A</v>
      </c>
      <c r="Y823">
        <f>IF(Table13[[#This Row],[Category All]]="Category 2",Table13[[#This Row],[Base Abalone Value]]*0.8,NA())</f>
        <v>0.72650000000000003</v>
      </c>
      <c r="Z823" t="e">
        <f>IF(Table13[[#This Row],[Category All]]="Category 3",Table13[[#This Row],[Base Abalone Value]],NA())</f>
        <v>#N/A</v>
      </c>
      <c r="AA823" s="2" t="e">
        <f>IF(Table13[[#This Row],[Gender]]="M",Table13[[#This Row],[Whole_weight]],NA())</f>
        <v>#N/A</v>
      </c>
      <c r="AB823" s="2">
        <f>IF(Table13[[#This Row],[Gender]]="F",Table13[[#This Row],[Whole_weight]],NA())</f>
        <v>0.25</v>
      </c>
      <c r="AC823" s="2" t="e">
        <f>IF(Table13[[#This Row],[Gender]]="I",Table13[[#This Row],[Whole_weight]],NA())</f>
        <v>#N/A</v>
      </c>
      <c r="AD823" s="2" t="e">
        <f>IF(Table13[[#This Row],[Gender]]="M",Table13[[#This Row],[Diameter]],NA())</f>
        <v>#N/A</v>
      </c>
      <c r="AE823" s="2">
        <f>IF(Table13[[#This Row],[Gender]]="F",Table13[[#This Row],[Diameter]],NA())</f>
        <v>0.28999999999999998</v>
      </c>
      <c r="AF823" s="2" t="e">
        <f>IF(Table13[[#This Row],[Gender]]="I",Table13[[#This Row],[Diameter]],NA())</f>
        <v>#N/A</v>
      </c>
    </row>
    <row r="824" spans="1:32" x14ac:dyDescent="0.2">
      <c r="A824">
        <v>4168</v>
      </c>
      <c r="B824" t="s">
        <v>15</v>
      </c>
      <c r="C824">
        <v>0.5</v>
      </c>
      <c r="D824">
        <v>0.38</v>
      </c>
      <c r="E824">
        <v>0.125</v>
      </c>
      <c r="F824">
        <v>0.57699999999999996</v>
      </c>
      <c r="G824">
        <v>0.26900000000000002</v>
      </c>
      <c r="H824">
        <v>0.1265</v>
      </c>
      <c r="I824">
        <v>0.1535</v>
      </c>
      <c r="J824">
        <v>9</v>
      </c>
      <c r="K824">
        <v>7</v>
      </c>
      <c r="L824" t="s">
        <v>35</v>
      </c>
      <c r="M824" t="s">
        <v>36</v>
      </c>
      <c r="N824" t="s">
        <v>37</v>
      </c>
      <c r="O824">
        <v>3</v>
      </c>
      <c r="P824" t="s">
        <v>48</v>
      </c>
      <c r="Q824">
        <v>3.6</v>
      </c>
      <c r="R824" t="str" cm="1">
        <f t="array" ref="R8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24" t="e">
        <f>IF(Table13[[#This Row],[Category All]]="Category 1", "Yes",NA())</f>
        <v>#N/A</v>
      </c>
      <c r="T824" t="str">
        <f>IF(Table13[[#This Row],[Category All]]="Category 2", "Yes",NA())</f>
        <v>Yes</v>
      </c>
      <c r="U824" t="e">
        <f>IF(Table13[[#This Row],[Category All]]="Category 3", "Yes",NA())</f>
        <v>#N/A</v>
      </c>
      <c r="V824">
        <f>SUM(1,(1/3)*(Table13[[#This Row],[Length]]-0.5),(1/3)*(Table13[[#This Row],[Diameter]]-0.4),(1/3)*(Table13[[#This Row],[Height]]-0.4)*Table13[[#This Row],[Whole_weight]]*0.5)</f>
        <v>0.9668874999999999</v>
      </c>
      <c r="W824" cm="1">
        <f t="array" ref="W8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0.77350999999999992</v>
      </c>
      <c r="X824" t="e">
        <f>IF(Table13[[#This Row],[Category All]]="Category 1",Table13[[#This Row],[Base Abalone Value]]*1.5,NA())</f>
        <v>#N/A</v>
      </c>
      <c r="Y824">
        <f>IF(Table13[[#This Row],[Category All]]="Category 2",Table13[[#This Row],[Base Abalone Value]]*0.8,NA())</f>
        <v>0.77350999999999992</v>
      </c>
      <c r="Z824" t="e">
        <f>IF(Table13[[#This Row],[Category All]]="Category 3",Table13[[#This Row],[Base Abalone Value]],NA())</f>
        <v>#N/A</v>
      </c>
      <c r="AA824" s="2">
        <f>IF(Table13[[#This Row],[Gender]]="M",Table13[[#This Row],[Whole_weight]],NA())</f>
        <v>0.57699999999999996</v>
      </c>
      <c r="AB824" s="2" t="e">
        <f>IF(Table13[[#This Row],[Gender]]="F",Table13[[#This Row],[Whole_weight]],NA())</f>
        <v>#N/A</v>
      </c>
      <c r="AC824" s="2" t="e">
        <f>IF(Table13[[#This Row],[Gender]]="I",Table13[[#This Row],[Whole_weight]],NA())</f>
        <v>#N/A</v>
      </c>
      <c r="AD824" s="2">
        <f>IF(Table13[[#This Row],[Gender]]="M",Table13[[#This Row],[Diameter]],NA())</f>
        <v>0.38</v>
      </c>
      <c r="AE824" s="2" t="e">
        <f>IF(Table13[[#This Row],[Gender]]="F",Table13[[#This Row],[Diameter]],NA())</f>
        <v>#N/A</v>
      </c>
      <c r="AF824" s="2" t="e">
        <f>IF(Table13[[#This Row],[Gender]]="I",Table13[[#This Row],[Diameter]],NA())</f>
        <v>#N/A</v>
      </c>
    </row>
    <row r="825" spans="1:32" x14ac:dyDescent="0.2">
      <c r="A825">
        <v>2692</v>
      </c>
      <c r="B825" t="s">
        <v>0</v>
      </c>
      <c r="C825">
        <v>0.64500000000000002</v>
      </c>
      <c r="D825">
        <v>0.52</v>
      </c>
      <c r="E825">
        <v>0.18</v>
      </c>
      <c r="F825">
        <v>1.2849999999999999</v>
      </c>
      <c r="G825">
        <v>0.57750000000000001</v>
      </c>
      <c r="H825">
        <v>0.35199999999999998</v>
      </c>
      <c r="I825">
        <v>0.317</v>
      </c>
      <c r="J825">
        <v>9</v>
      </c>
      <c r="K825">
        <v>10</v>
      </c>
      <c r="L825" t="s">
        <v>16</v>
      </c>
      <c r="M825" t="s">
        <v>17</v>
      </c>
      <c r="N825" t="s">
        <v>18</v>
      </c>
      <c r="O825">
        <v>5</v>
      </c>
      <c r="P825" t="s">
        <v>14</v>
      </c>
      <c r="Q825">
        <v>12.8</v>
      </c>
      <c r="R825" t="str" cm="1">
        <f t="array" ref="R8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25" t="e">
        <f>IF(Table13[[#This Row],[Category All]]="Category 1", "Yes",NA())</f>
        <v>#N/A</v>
      </c>
      <c r="T825" t="e">
        <f>IF(Table13[[#This Row],[Category All]]="Category 2", "Yes",NA())</f>
        <v>#N/A</v>
      </c>
      <c r="U825" t="str">
        <f>IF(Table13[[#This Row],[Category All]]="Category 3", "Yes",NA())</f>
        <v>Yes</v>
      </c>
      <c r="V825">
        <f>SUM(1,(1/3)*(Table13[[#This Row],[Length]]-0.5),(1/3)*(Table13[[#This Row],[Diameter]]-0.4),(1/3)*(Table13[[#This Row],[Height]]-0.4)*Table13[[#This Row],[Whole_weight]]*0.5)</f>
        <v>1.0412166666666667</v>
      </c>
      <c r="W825" cm="1">
        <f t="array" ref="W8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1.0412166666666667</v>
      </c>
      <c r="X825" t="e">
        <f>IF(Table13[[#This Row],[Category All]]="Category 1",Table13[[#This Row],[Base Abalone Value]]*1.5,NA())</f>
        <v>#N/A</v>
      </c>
      <c r="Y825" t="e">
        <f>IF(Table13[[#This Row],[Category All]]="Category 2",Table13[[#This Row],[Base Abalone Value]]*0.8,NA())</f>
        <v>#N/A</v>
      </c>
      <c r="Z825">
        <f>IF(Table13[[#This Row],[Category All]]="Category 3",Table13[[#This Row],[Base Abalone Value]],NA())</f>
        <v>1.0412166666666667</v>
      </c>
      <c r="AA825" s="2" t="e">
        <f>IF(Table13[[#This Row],[Gender]]="M",Table13[[#This Row],[Whole_weight]],NA())</f>
        <v>#N/A</v>
      </c>
      <c r="AB825" s="2">
        <f>IF(Table13[[#This Row],[Gender]]="F",Table13[[#This Row],[Whole_weight]],NA())</f>
        <v>1.2849999999999999</v>
      </c>
      <c r="AC825" s="2" t="e">
        <f>IF(Table13[[#This Row],[Gender]]="I",Table13[[#This Row],[Whole_weight]],NA())</f>
        <v>#N/A</v>
      </c>
      <c r="AD825" s="2" t="e">
        <f>IF(Table13[[#This Row],[Gender]]="M",Table13[[#This Row],[Diameter]],NA())</f>
        <v>#N/A</v>
      </c>
      <c r="AE825" s="2">
        <f>IF(Table13[[#This Row],[Gender]]="F",Table13[[#This Row],[Diameter]],NA())</f>
        <v>0.52</v>
      </c>
      <c r="AF825" s="2" t="e">
        <f>IF(Table13[[#This Row],[Gender]]="I",Table13[[#This Row],[Diameter]],NA())</f>
        <v>#N/A</v>
      </c>
    </row>
    <row r="826" spans="1:32" x14ac:dyDescent="0.2">
      <c r="A826">
        <v>467</v>
      </c>
      <c r="B826" t="s">
        <v>0</v>
      </c>
      <c r="C826">
        <v>0.67</v>
      </c>
      <c r="D826">
        <v>0.55000000000000004</v>
      </c>
      <c r="E826">
        <v>0.19</v>
      </c>
      <c r="F826">
        <v>1.3905000000000001</v>
      </c>
      <c r="G826">
        <v>0.54249999999999998</v>
      </c>
      <c r="H826">
        <v>0.30349999999999999</v>
      </c>
      <c r="I826">
        <v>0.4</v>
      </c>
      <c r="J826">
        <v>12</v>
      </c>
      <c r="K826">
        <v>14</v>
      </c>
      <c r="L826" t="s">
        <v>23</v>
      </c>
      <c r="M826" t="s">
        <v>24</v>
      </c>
      <c r="N826" t="s">
        <v>25</v>
      </c>
      <c r="O826">
        <v>4</v>
      </c>
      <c r="P826" t="s">
        <v>10</v>
      </c>
      <c r="Q826">
        <v>6.1</v>
      </c>
      <c r="R826" t="str" cm="1">
        <f t="array" ref="R8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26" t="e">
        <f>IF(Table13[[#This Row],[Category All]]="Category 1", "Yes",NA())</f>
        <v>#N/A</v>
      </c>
      <c r="T826" t="e">
        <f>IF(Table13[[#This Row],[Category All]]="Category 2", "Yes",NA())</f>
        <v>#N/A</v>
      </c>
      <c r="U826" t="str">
        <f>IF(Table13[[#This Row],[Category All]]="Category 3", "Yes",NA())</f>
        <v>Yes</v>
      </c>
      <c r="V826">
        <f>SUM(1,(1/3)*(Table13[[#This Row],[Length]]-0.5),(1/3)*(Table13[[#This Row],[Diameter]]-0.4),(1/3)*(Table13[[#This Row],[Height]]-0.4)*Table13[[#This Row],[Whole_weight]]*0.5)</f>
        <v>1.0579991666666666</v>
      </c>
      <c r="W826" cm="1">
        <f t="array" ref="W8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1.0579991666666666</v>
      </c>
      <c r="X826" t="e">
        <f>IF(Table13[[#This Row],[Category All]]="Category 1",Table13[[#This Row],[Base Abalone Value]]*1.5,NA())</f>
        <v>#N/A</v>
      </c>
      <c r="Y826" t="e">
        <f>IF(Table13[[#This Row],[Category All]]="Category 2",Table13[[#This Row],[Base Abalone Value]]*0.8,NA())</f>
        <v>#N/A</v>
      </c>
      <c r="Z826">
        <f>IF(Table13[[#This Row],[Category All]]="Category 3",Table13[[#This Row],[Base Abalone Value]],NA())</f>
        <v>1.0579991666666666</v>
      </c>
      <c r="AA826" s="2" t="e">
        <f>IF(Table13[[#This Row],[Gender]]="M",Table13[[#This Row],[Whole_weight]],NA())</f>
        <v>#N/A</v>
      </c>
      <c r="AB826" s="2">
        <f>IF(Table13[[#This Row],[Gender]]="F",Table13[[#This Row],[Whole_weight]],NA())</f>
        <v>1.3905000000000001</v>
      </c>
      <c r="AC826" s="2" t="e">
        <f>IF(Table13[[#This Row],[Gender]]="I",Table13[[#This Row],[Whole_weight]],NA())</f>
        <v>#N/A</v>
      </c>
      <c r="AD826" s="2" t="e">
        <f>IF(Table13[[#This Row],[Gender]]="M",Table13[[#This Row],[Diameter]],NA())</f>
        <v>#N/A</v>
      </c>
      <c r="AE826" s="2">
        <f>IF(Table13[[#This Row],[Gender]]="F",Table13[[#This Row],[Diameter]],NA())</f>
        <v>0.55000000000000004</v>
      </c>
      <c r="AF826" s="2" t="e">
        <f>IF(Table13[[#This Row],[Gender]]="I",Table13[[#This Row],[Diameter]],NA())</f>
        <v>#N/A</v>
      </c>
    </row>
    <row r="827" spans="1:32" x14ac:dyDescent="0.2">
      <c r="A827">
        <v>3047</v>
      </c>
      <c r="B827" t="s">
        <v>15</v>
      </c>
      <c r="C827">
        <v>0.58499999999999996</v>
      </c>
      <c r="D827">
        <v>0.45</v>
      </c>
      <c r="E827">
        <v>0.17499999999999999</v>
      </c>
      <c r="F827">
        <v>1.1274999999999999</v>
      </c>
      <c r="G827">
        <v>0.49249999999999999</v>
      </c>
      <c r="H827">
        <v>0.26200000000000001</v>
      </c>
      <c r="I827">
        <v>0.33500000000000002</v>
      </c>
      <c r="J827">
        <v>11</v>
      </c>
      <c r="K827">
        <v>13</v>
      </c>
      <c r="L827" t="s">
        <v>12</v>
      </c>
      <c r="M827" t="s">
        <v>13</v>
      </c>
      <c r="N827" t="s">
        <v>3</v>
      </c>
      <c r="O827">
        <v>10</v>
      </c>
      <c r="P827" t="s">
        <v>38</v>
      </c>
      <c r="Q827">
        <v>24.1</v>
      </c>
      <c r="R827" t="str" cm="1">
        <f t="array" ref="R8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27" t="e">
        <f>IF(Table13[[#This Row],[Category All]]="Category 1", "Yes",NA())</f>
        <v>#N/A</v>
      </c>
      <c r="T827" t="e">
        <f>IF(Table13[[#This Row],[Category All]]="Category 2", "Yes",NA())</f>
        <v>#N/A</v>
      </c>
      <c r="U827" t="str">
        <f>IF(Table13[[#This Row],[Category All]]="Category 3", "Yes",NA())</f>
        <v>Yes</v>
      </c>
      <c r="V827">
        <f>SUM(1,(1/3)*(Table13[[#This Row],[Length]]-0.5),(1/3)*(Table13[[#This Row],[Diameter]]-0.4),(1/3)*(Table13[[#This Row],[Height]]-0.4)*Table13[[#This Row],[Whole_weight]]*0.5)</f>
        <v>1.0027187499999999</v>
      </c>
      <c r="W827" cm="1">
        <f t="array" ref="W8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1.0027187499999999</v>
      </c>
      <c r="X827" t="e">
        <f>IF(Table13[[#This Row],[Category All]]="Category 1",Table13[[#This Row],[Base Abalone Value]]*1.5,NA())</f>
        <v>#N/A</v>
      </c>
      <c r="Y827" t="e">
        <f>IF(Table13[[#This Row],[Category All]]="Category 2",Table13[[#This Row],[Base Abalone Value]]*0.8,NA())</f>
        <v>#N/A</v>
      </c>
      <c r="Z827">
        <f>IF(Table13[[#This Row],[Category All]]="Category 3",Table13[[#This Row],[Base Abalone Value]],NA())</f>
        <v>1.0027187499999999</v>
      </c>
      <c r="AA827" s="2">
        <f>IF(Table13[[#This Row],[Gender]]="M",Table13[[#This Row],[Whole_weight]],NA())</f>
        <v>1.1274999999999999</v>
      </c>
      <c r="AB827" s="2" t="e">
        <f>IF(Table13[[#This Row],[Gender]]="F",Table13[[#This Row],[Whole_weight]],NA())</f>
        <v>#N/A</v>
      </c>
      <c r="AC827" s="2" t="e">
        <f>IF(Table13[[#This Row],[Gender]]="I",Table13[[#This Row],[Whole_weight]],NA())</f>
        <v>#N/A</v>
      </c>
      <c r="AD827" s="2">
        <f>IF(Table13[[#This Row],[Gender]]="M",Table13[[#This Row],[Diameter]],NA())</f>
        <v>0.45</v>
      </c>
      <c r="AE827" s="2" t="e">
        <f>IF(Table13[[#This Row],[Gender]]="F",Table13[[#This Row],[Diameter]],NA())</f>
        <v>#N/A</v>
      </c>
      <c r="AF827" s="2" t="e">
        <f>IF(Table13[[#This Row],[Gender]]="I",Table13[[#This Row],[Diameter]],NA())</f>
        <v>#N/A</v>
      </c>
    </row>
    <row r="828" spans="1:32" x14ac:dyDescent="0.2">
      <c r="A828">
        <v>3110</v>
      </c>
      <c r="B828" t="s">
        <v>11</v>
      </c>
      <c r="C828">
        <v>0.38</v>
      </c>
      <c r="D828">
        <v>0.28999999999999998</v>
      </c>
      <c r="E828">
        <v>8.5000000000000006E-2</v>
      </c>
      <c r="F828">
        <v>0.22850000000000001</v>
      </c>
      <c r="G828">
        <v>8.7999999999999995E-2</v>
      </c>
      <c r="H828">
        <v>4.65E-2</v>
      </c>
      <c r="I828">
        <v>7.4999999999999997E-2</v>
      </c>
      <c r="J828">
        <v>7</v>
      </c>
      <c r="K828">
        <v>14</v>
      </c>
      <c r="L828" t="s">
        <v>23</v>
      </c>
      <c r="M828" t="s">
        <v>24</v>
      </c>
      <c r="N828" t="s">
        <v>25</v>
      </c>
      <c r="O828">
        <v>8</v>
      </c>
      <c r="P828" t="s">
        <v>19</v>
      </c>
      <c r="Q828">
        <v>12.3</v>
      </c>
      <c r="R828" t="str" cm="1">
        <f t="array" ref="R8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28" t="e">
        <f>IF(Table13[[#This Row],[Category All]]="Category 1", "Yes",NA())</f>
        <v>#N/A</v>
      </c>
      <c r="T828" t="str">
        <f>IF(Table13[[#This Row],[Category All]]="Category 2", "Yes",NA())</f>
        <v>Yes</v>
      </c>
      <c r="U828" t="e">
        <f>IF(Table13[[#This Row],[Category All]]="Category 3", "Yes",NA())</f>
        <v>#N/A</v>
      </c>
      <c r="V828">
        <f>SUM(1,(1/3)*(Table13[[#This Row],[Length]]-0.5),(1/3)*(Table13[[#This Row],[Diameter]]-0.4),(1/3)*(Table13[[#This Row],[Height]]-0.4)*Table13[[#This Row],[Whole_weight]]*0.5)</f>
        <v>0.9113370833333333</v>
      </c>
      <c r="W828" cm="1">
        <f t="array" ref="W8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0.72906966666666673</v>
      </c>
      <c r="X828" t="e">
        <f>IF(Table13[[#This Row],[Category All]]="Category 1",Table13[[#This Row],[Base Abalone Value]]*1.5,NA())</f>
        <v>#N/A</v>
      </c>
      <c r="Y828">
        <f>IF(Table13[[#This Row],[Category All]]="Category 2",Table13[[#This Row],[Base Abalone Value]]*0.8,NA())</f>
        <v>0.72906966666666673</v>
      </c>
      <c r="Z828" t="e">
        <f>IF(Table13[[#This Row],[Category All]]="Category 3",Table13[[#This Row],[Base Abalone Value]],NA())</f>
        <v>#N/A</v>
      </c>
      <c r="AA828" s="2" t="e">
        <f>IF(Table13[[#This Row],[Gender]]="M",Table13[[#This Row],[Whole_weight]],NA())</f>
        <v>#N/A</v>
      </c>
      <c r="AB828" s="2" t="e">
        <f>IF(Table13[[#This Row],[Gender]]="F",Table13[[#This Row],[Whole_weight]],NA())</f>
        <v>#N/A</v>
      </c>
      <c r="AC828" s="2">
        <f>IF(Table13[[#This Row],[Gender]]="I",Table13[[#This Row],[Whole_weight]],NA())</f>
        <v>0.22850000000000001</v>
      </c>
      <c r="AD828" s="2" t="e">
        <f>IF(Table13[[#This Row],[Gender]]="M",Table13[[#This Row],[Diameter]],NA())</f>
        <v>#N/A</v>
      </c>
      <c r="AE828" s="2" t="e">
        <f>IF(Table13[[#This Row],[Gender]]="F",Table13[[#This Row],[Diameter]],NA())</f>
        <v>#N/A</v>
      </c>
      <c r="AF828" s="2">
        <f>IF(Table13[[#This Row],[Gender]]="I",Table13[[#This Row],[Diameter]],NA())</f>
        <v>0.28999999999999998</v>
      </c>
    </row>
    <row r="829" spans="1:32" x14ac:dyDescent="0.2">
      <c r="A829">
        <v>1643</v>
      </c>
      <c r="B829" t="s">
        <v>15</v>
      </c>
      <c r="C829">
        <v>0.57499999999999996</v>
      </c>
      <c r="D829">
        <v>0.44</v>
      </c>
      <c r="E829">
        <v>0.16</v>
      </c>
      <c r="F829">
        <v>0.96150000000000002</v>
      </c>
      <c r="G829">
        <v>0.48299999999999998</v>
      </c>
      <c r="H829">
        <v>0.16600000000000001</v>
      </c>
      <c r="I829">
        <v>0.27500000000000002</v>
      </c>
      <c r="J829">
        <v>13</v>
      </c>
      <c r="K829">
        <v>2</v>
      </c>
      <c r="L829" t="s">
        <v>32</v>
      </c>
      <c r="M829" t="s">
        <v>33</v>
      </c>
      <c r="N829" t="s">
        <v>34</v>
      </c>
      <c r="O829">
        <v>4</v>
      </c>
      <c r="P829" t="s">
        <v>10</v>
      </c>
      <c r="Q829">
        <v>6.1</v>
      </c>
      <c r="R829" t="str" cm="1">
        <f t="array" ref="R8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29" t="e">
        <f>IF(Table13[[#This Row],[Category All]]="Category 1", "Yes",NA())</f>
        <v>#N/A</v>
      </c>
      <c r="T829" t="e">
        <f>IF(Table13[[#This Row],[Category All]]="Category 2", "Yes",NA())</f>
        <v>#N/A</v>
      </c>
      <c r="U829" t="str">
        <f>IF(Table13[[#This Row],[Category All]]="Category 3", "Yes",NA())</f>
        <v>Yes</v>
      </c>
      <c r="V829">
        <f>SUM(1,(1/3)*(Table13[[#This Row],[Length]]-0.5),(1/3)*(Table13[[#This Row],[Diameter]]-0.4),(1/3)*(Table13[[#This Row],[Height]]-0.4)*Table13[[#This Row],[Whole_weight]]*0.5)</f>
        <v>0.99987333333333328</v>
      </c>
      <c r="W829" cm="1">
        <f t="array" ref="W8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0.99987333333333328</v>
      </c>
      <c r="X829" t="e">
        <f>IF(Table13[[#This Row],[Category All]]="Category 1",Table13[[#This Row],[Base Abalone Value]]*1.5,NA())</f>
        <v>#N/A</v>
      </c>
      <c r="Y829" t="e">
        <f>IF(Table13[[#This Row],[Category All]]="Category 2",Table13[[#This Row],[Base Abalone Value]]*0.8,NA())</f>
        <v>#N/A</v>
      </c>
      <c r="Z829">
        <f>IF(Table13[[#This Row],[Category All]]="Category 3",Table13[[#This Row],[Base Abalone Value]],NA())</f>
        <v>0.99987333333333328</v>
      </c>
      <c r="AA829" s="2">
        <f>IF(Table13[[#This Row],[Gender]]="M",Table13[[#This Row],[Whole_weight]],NA())</f>
        <v>0.96150000000000002</v>
      </c>
      <c r="AB829" s="2" t="e">
        <f>IF(Table13[[#This Row],[Gender]]="F",Table13[[#This Row],[Whole_weight]],NA())</f>
        <v>#N/A</v>
      </c>
      <c r="AC829" s="2" t="e">
        <f>IF(Table13[[#This Row],[Gender]]="I",Table13[[#This Row],[Whole_weight]],NA())</f>
        <v>#N/A</v>
      </c>
      <c r="AD829" s="2">
        <f>IF(Table13[[#This Row],[Gender]]="M",Table13[[#This Row],[Diameter]],NA())</f>
        <v>0.44</v>
      </c>
      <c r="AE829" s="2" t="e">
        <f>IF(Table13[[#This Row],[Gender]]="F",Table13[[#This Row],[Diameter]],NA())</f>
        <v>#N/A</v>
      </c>
      <c r="AF829" s="2" t="e">
        <f>IF(Table13[[#This Row],[Gender]]="I",Table13[[#This Row],[Diameter]],NA())</f>
        <v>#N/A</v>
      </c>
    </row>
    <row r="830" spans="1:32" x14ac:dyDescent="0.2">
      <c r="A830">
        <v>288</v>
      </c>
      <c r="B830" t="s">
        <v>0</v>
      </c>
      <c r="C830">
        <v>0.495</v>
      </c>
      <c r="D830">
        <v>0.4</v>
      </c>
      <c r="E830">
        <v>0.155</v>
      </c>
      <c r="F830">
        <v>0.64449999999999996</v>
      </c>
      <c r="G830">
        <v>0.24199999999999999</v>
      </c>
      <c r="H830">
        <v>0.13250000000000001</v>
      </c>
      <c r="I830">
        <v>0.20499999999999999</v>
      </c>
      <c r="J830">
        <v>17</v>
      </c>
      <c r="K830">
        <v>8</v>
      </c>
      <c r="L830" t="s">
        <v>29</v>
      </c>
      <c r="M830" t="s">
        <v>30</v>
      </c>
      <c r="N830" t="s">
        <v>31</v>
      </c>
      <c r="O830">
        <v>4</v>
      </c>
      <c r="P830" t="s">
        <v>10</v>
      </c>
      <c r="Q830">
        <v>6.1</v>
      </c>
      <c r="R830" t="str" cm="1">
        <f t="array" ref="R8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0" t="e">
        <f>IF(Table13[[#This Row],[Category All]]="Category 1", "Yes",NA())</f>
        <v>#N/A</v>
      </c>
      <c r="T830" t="str">
        <f>IF(Table13[[#This Row],[Category All]]="Category 2", "Yes",NA())</f>
        <v>Yes</v>
      </c>
      <c r="U830" t="e">
        <f>IF(Table13[[#This Row],[Category All]]="Category 3", "Yes",NA())</f>
        <v>#N/A</v>
      </c>
      <c r="V830">
        <f>SUM(1,(1/3)*(Table13[[#This Row],[Length]]-0.5),(1/3)*(Table13[[#This Row],[Diameter]]-0.4),(1/3)*(Table13[[#This Row],[Height]]-0.4)*Table13[[#This Row],[Whole_weight]]*0.5)</f>
        <v>0.97201624999999992</v>
      </c>
      <c r="W830" cm="1">
        <f t="array" ref="W8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0.777613</v>
      </c>
      <c r="X830" t="e">
        <f>IF(Table13[[#This Row],[Category All]]="Category 1",Table13[[#This Row],[Base Abalone Value]]*1.5,NA())</f>
        <v>#N/A</v>
      </c>
      <c r="Y830">
        <f>IF(Table13[[#This Row],[Category All]]="Category 2",Table13[[#This Row],[Base Abalone Value]]*0.8,NA())</f>
        <v>0.777613</v>
      </c>
      <c r="Z830" t="e">
        <f>IF(Table13[[#This Row],[Category All]]="Category 3",Table13[[#This Row],[Base Abalone Value]],NA())</f>
        <v>#N/A</v>
      </c>
      <c r="AA830" s="2" t="e">
        <f>IF(Table13[[#This Row],[Gender]]="M",Table13[[#This Row],[Whole_weight]],NA())</f>
        <v>#N/A</v>
      </c>
      <c r="AB830" s="2">
        <f>IF(Table13[[#This Row],[Gender]]="F",Table13[[#This Row],[Whole_weight]],NA())</f>
        <v>0.64449999999999996</v>
      </c>
      <c r="AC830" s="2" t="e">
        <f>IF(Table13[[#This Row],[Gender]]="I",Table13[[#This Row],[Whole_weight]],NA())</f>
        <v>#N/A</v>
      </c>
      <c r="AD830" s="2" t="e">
        <f>IF(Table13[[#This Row],[Gender]]="M",Table13[[#This Row],[Diameter]],NA())</f>
        <v>#N/A</v>
      </c>
      <c r="AE830" s="2">
        <f>IF(Table13[[#This Row],[Gender]]="F",Table13[[#This Row],[Diameter]],NA())</f>
        <v>0.4</v>
      </c>
      <c r="AF830" s="2" t="e">
        <f>IF(Table13[[#This Row],[Gender]]="I",Table13[[#This Row],[Diameter]],NA())</f>
        <v>#N/A</v>
      </c>
    </row>
    <row r="831" spans="1:32" x14ac:dyDescent="0.2">
      <c r="A831">
        <v>188</v>
      </c>
      <c r="B831" t="s">
        <v>0</v>
      </c>
      <c r="C831">
        <v>0.63</v>
      </c>
      <c r="D831">
        <v>0.5</v>
      </c>
      <c r="E831">
        <v>0.185</v>
      </c>
      <c r="F831">
        <v>1.383</v>
      </c>
      <c r="G831">
        <v>0.54</v>
      </c>
      <c r="H831">
        <v>0.33150000000000002</v>
      </c>
      <c r="I831">
        <v>0.38</v>
      </c>
      <c r="J831">
        <v>10</v>
      </c>
      <c r="K831">
        <v>14</v>
      </c>
      <c r="L831" t="s">
        <v>23</v>
      </c>
      <c r="M831" t="s">
        <v>24</v>
      </c>
      <c r="N831" t="s">
        <v>25</v>
      </c>
      <c r="O831">
        <v>5</v>
      </c>
      <c r="P831" t="s">
        <v>14</v>
      </c>
      <c r="Q831">
        <v>12.8</v>
      </c>
      <c r="R831" t="str" cm="1">
        <f t="array" ref="R8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31" t="e">
        <f>IF(Table13[[#This Row],[Category All]]="Category 1", "Yes",NA())</f>
        <v>#N/A</v>
      </c>
      <c r="T831" t="e">
        <f>IF(Table13[[#This Row],[Category All]]="Category 2", "Yes",NA())</f>
        <v>#N/A</v>
      </c>
      <c r="U831" t="str">
        <f>IF(Table13[[#This Row],[Category All]]="Category 3", "Yes",NA())</f>
        <v>Yes</v>
      </c>
      <c r="V831">
        <f>SUM(1,(1/3)*(Table13[[#This Row],[Length]]-0.5),(1/3)*(Table13[[#This Row],[Diameter]]-0.4),(1/3)*(Table13[[#This Row],[Height]]-0.4)*Table13[[#This Row],[Whole_weight]]*0.5)</f>
        <v>1.0271091666666667</v>
      </c>
      <c r="W831" cm="1">
        <f t="array" ref="W8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1.0271091666666667</v>
      </c>
      <c r="X831" t="e">
        <f>IF(Table13[[#This Row],[Category All]]="Category 1",Table13[[#This Row],[Base Abalone Value]]*1.5,NA())</f>
        <v>#N/A</v>
      </c>
      <c r="Y831" t="e">
        <f>IF(Table13[[#This Row],[Category All]]="Category 2",Table13[[#This Row],[Base Abalone Value]]*0.8,NA())</f>
        <v>#N/A</v>
      </c>
      <c r="Z831">
        <f>IF(Table13[[#This Row],[Category All]]="Category 3",Table13[[#This Row],[Base Abalone Value]],NA())</f>
        <v>1.0271091666666667</v>
      </c>
      <c r="AA831" s="2" t="e">
        <f>IF(Table13[[#This Row],[Gender]]="M",Table13[[#This Row],[Whole_weight]],NA())</f>
        <v>#N/A</v>
      </c>
      <c r="AB831" s="2">
        <f>IF(Table13[[#This Row],[Gender]]="F",Table13[[#This Row],[Whole_weight]],NA())</f>
        <v>1.383</v>
      </c>
      <c r="AC831" s="2" t="e">
        <f>IF(Table13[[#This Row],[Gender]]="I",Table13[[#This Row],[Whole_weight]],NA())</f>
        <v>#N/A</v>
      </c>
      <c r="AD831" s="2" t="e">
        <f>IF(Table13[[#This Row],[Gender]]="M",Table13[[#This Row],[Diameter]],NA())</f>
        <v>#N/A</v>
      </c>
      <c r="AE831" s="2">
        <f>IF(Table13[[#This Row],[Gender]]="F",Table13[[#This Row],[Diameter]],NA())</f>
        <v>0.5</v>
      </c>
      <c r="AF831" s="2" t="e">
        <f>IF(Table13[[#This Row],[Gender]]="I",Table13[[#This Row],[Diameter]],NA())</f>
        <v>#N/A</v>
      </c>
    </row>
    <row r="832" spans="1:32" x14ac:dyDescent="0.2">
      <c r="A832">
        <v>2462</v>
      </c>
      <c r="B832" t="s">
        <v>0</v>
      </c>
      <c r="C832">
        <v>0.5</v>
      </c>
      <c r="D832">
        <v>0.38500000000000001</v>
      </c>
      <c r="E832">
        <v>0.13</v>
      </c>
      <c r="F832">
        <v>0.76800000000000002</v>
      </c>
      <c r="G832">
        <v>0.26250000000000001</v>
      </c>
      <c r="H832">
        <v>9.5000000000000001E-2</v>
      </c>
      <c r="I832">
        <v>0.27</v>
      </c>
      <c r="J832">
        <v>13</v>
      </c>
      <c r="K832">
        <v>6</v>
      </c>
      <c r="L832" t="s">
        <v>39</v>
      </c>
      <c r="M832" t="s">
        <v>40</v>
      </c>
      <c r="N832" t="s">
        <v>41</v>
      </c>
      <c r="O832">
        <v>6</v>
      </c>
      <c r="P832" t="s">
        <v>47</v>
      </c>
      <c r="Q832">
        <v>14.1</v>
      </c>
      <c r="R832" t="str" cm="1">
        <f t="array" ref="R8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2" t="e">
        <f>IF(Table13[[#This Row],[Category All]]="Category 1", "Yes",NA())</f>
        <v>#N/A</v>
      </c>
      <c r="T832" t="str">
        <f>IF(Table13[[#This Row],[Category All]]="Category 2", "Yes",NA())</f>
        <v>Yes</v>
      </c>
      <c r="U832" t="e">
        <f>IF(Table13[[#This Row],[Category All]]="Category 3", "Yes",NA())</f>
        <v>#N/A</v>
      </c>
      <c r="V832">
        <f>SUM(1,(1/3)*(Table13[[#This Row],[Length]]-0.5),(1/3)*(Table13[[#This Row],[Diameter]]-0.4),(1/3)*(Table13[[#This Row],[Height]]-0.4)*Table13[[#This Row],[Whole_weight]]*0.5)</f>
        <v>0.96043999999999996</v>
      </c>
      <c r="W832" cm="1">
        <f t="array" ref="W8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0.76835200000000003</v>
      </c>
      <c r="X832" t="e">
        <f>IF(Table13[[#This Row],[Category All]]="Category 1",Table13[[#This Row],[Base Abalone Value]]*1.5,NA())</f>
        <v>#N/A</v>
      </c>
      <c r="Y832">
        <f>IF(Table13[[#This Row],[Category All]]="Category 2",Table13[[#This Row],[Base Abalone Value]]*0.8,NA())</f>
        <v>0.76835200000000003</v>
      </c>
      <c r="Z832" t="e">
        <f>IF(Table13[[#This Row],[Category All]]="Category 3",Table13[[#This Row],[Base Abalone Value]],NA())</f>
        <v>#N/A</v>
      </c>
      <c r="AA832" s="2" t="e">
        <f>IF(Table13[[#This Row],[Gender]]="M",Table13[[#This Row],[Whole_weight]],NA())</f>
        <v>#N/A</v>
      </c>
      <c r="AB832" s="2">
        <f>IF(Table13[[#This Row],[Gender]]="F",Table13[[#This Row],[Whole_weight]],NA())</f>
        <v>0.76800000000000002</v>
      </c>
      <c r="AC832" s="2" t="e">
        <f>IF(Table13[[#This Row],[Gender]]="I",Table13[[#This Row],[Whole_weight]],NA())</f>
        <v>#N/A</v>
      </c>
      <c r="AD832" s="2" t="e">
        <f>IF(Table13[[#This Row],[Gender]]="M",Table13[[#This Row],[Diameter]],NA())</f>
        <v>#N/A</v>
      </c>
      <c r="AE832" s="2">
        <f>IF(Table13[[#This Row],[Gender]]="F",Table13[[#This Row],[Diameter]],NA())</f>
        <v>0.38500000000000001</v>
      </c>
      <c r="AF832" s="2" t="e">
        <f>IF(Table13[[#This Row],[Gender]]="I",Table13[[#This Row],[Diameter]],NA())</f>
        <v>#N/A</v>
      </c>
    </row>
    <row r="833" spans="1:32" x14ac:dyDescent="0.2">
      <c r="A833">
        <v>1591</v>
      </c>
      <c r="B833" t="s">
        <v>11</v>
      </c>
      <c r="C833">
        <v>0.52</v>
      </c>
      <c r="D833">
        <v>0.39</v>
      </c>
      <c r="E833">
        <v>0.13</v>
      </c>
      <c r="F833">
        <v>0.55449999999999999</v>
      </c>
      <c r="G833">
        <v>0.23549999999999999</v>
      </c>
      <c r="H833">
        <v>0.1095</v>
      </c>
      <c r="I833">
        <v>0.1895</v>
      </c>
      <c r="J833">
        <v>7</v>
      </c>
      <c r="K833">
        <v>12</v>
      </c>
      <c r="L833" t="s">
        <v>1</v>
      </c>
      <c r="M833" t="s">
        <v>2</v>
      </c>
      <c r="N833" t="s">
        <v>3</v>
      </c>
      <c r="O833">
        <v>6</v>
      </c>
      <c r="P833" t="s">
        <v>47</v>
      </c>
      <c r="Q833">
        <v>14.1</v>
      </c>
      <c r="R833" t="str" cm="1">
        <f t="array" ref="R8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3" t="e">
        <f>IF(Table13[[#This Row],[Category All]]="Category 1", "Yes",NA())</f>
        <v>#N/A</v>
      </c>
      <c r="T833" t="str">
        <f>IF(Table13[[#This Row],[Category All]]="Category 2", "Yes",NA())</f>
        <v>Yes</v>
      </c>
      <c r="U833" t="e">
        <f>IF(Table13[[#This Row],[Category All]]="Category 3", "Yes",NA())</f>
        <v>#N/A</v>
      </c>
      <c r="V833">
        <f>SUM(1,(1/3)*(Table13[[#This Row],[Length]]-0.5),(1/3)*(Table13[[#This Row],[Diameter]]-0.4),(1/3)*(Table13[[#This Row],[Height]]-0.4)*Table13[[#This Row],[Whole_weight]]*0.5)</f>
        <v>0.97838083333333314</v>
      </c>
      <c r="W833" cm="1">
        <f t="array" ref="W8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0.7827046666666666</v>
      </c>
      <c r="X833" t="e">
        <f>IF(Table13[[#This Row],[Category All]]="Category 1",Table13[[#This Row],[Base Abalone Value]]*1.5,NA())</f>
        <v>#N/A</v>
      </c>
      <c r="Y833">
        <f>IF(Table13[[#This Row],[Category All]]="Category 2",Table13[[#This Row],[Base Abalone Value]]*0.8,NA())</f>
        <v>0.7827046666666666</v>
      </c>
      <c r="Z833" t="e">
        <f>IF(Table13[[#This Row],[Category All]]="Category 3",Table13[[#This Row],[Base Abalone Value]],NA())</f>
        <v>#N/A</v>
      </c>
      <c r="AA833" s="2" t="e">
        <f>IF(Table13[[#This Row],[Gender]]="M",Table13[[#This Row],[Whole_weight]],NA())</f>
        <v>#N/A</v>
      </c>
      <c r="AB833" s="2" t="e">
        <f>IF(Table13[[#This Row],[Gender]]="F",Table13[[#This Row],[Whole_weight]],NA())</f>
        <v>#N/A</v>
      </c>
      <c r="AC833" s="2">
        <f>IF(Table13[[#This Row],[Gender]]="I",Table13[[#This Row],[Whole_weight]],NA())</f>
        <v>0.55449999999999999</v>
      </c>
      <c r="AD833" s="2" t="e">
        <f>IF(Table13[[#This Row],[Gender]]="M",Table13[[#This Row],[Diameter]],NA())</f>
        <v>#N/A</v>
      </c>
      <c r="AE833" s="2" t="e">
        <f>IF(Table13[[#This Row],[Gender]]="F",Table13[[#This Row],[Diameter]],NA())</f>
        <v>#N/A</v>
      </c>
      <c r="AF833" s="2">
        <f>IF(Table13[[#This Row],[Gender]]="I",Table13[[#This Row],[Diameter]],NA())</f>
        <v>0.39</v>
      </c>
    </row>
    <row r="834" spans="1:32" x14ac:dyDescent="0.2">
      <c r="A834">
        <v>938</v>
      </c>
      <c r="B834" t="s">
        <v>11</v>
      </c>
      <c r="C834">
        <v>0.45500000000000002</v>
      </c>
      <c r="D834">
        <v>0.35499999999999998</v>
      </c>
      <c r="E834">
        <v>0.125</v>
      </c>
      <c r="F834">
        <v>0.53249999999999997</v>
      </c>
      <c r="G834">
        <v>0.22500000000000001</v>
      </c>
      <c r="H834">
        <v>0.126</v>
      </c>
      <c r="I834">
        <v>0.14649999999999999</v>
      </c>
      <c r="J834">
        <v>7</v>
      </c>
      <c r="K834">
        <v>14</v>
      </c>
      <c r="L834" t="s">
        <v>23</v>
      </c>
      <c r="M834" t="s">
        <v>24</v>
      </c>
      <c r="N834" t="s">
        <v>25</v>
      </c>
      <c r="O834">
        <v>6</v>
      </c>
      <c r="P834" t="s">
        <v>47</v>
      </c>
      <c r="Q834">
        <v>14.1</v>
      </c>
      <c r="R834" t="str" cm="1">
        <f t="array" ref="R8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4" t="e">
        <f>IF(Table13[[#This Row],[Category All]]="Category 1", "Yes",NA())</f>
        <v>#N/A</v>
      </c>
      <c r="T834" t="str">
        <f>IF(Table13[[#This Row],[Category All]]="Category 2", "Yes",NA())</f>
        <v>Yes</v>
      </c>
      <c r="U834" t="e">
        <f>IF(Table13[[#This Row],[Category All]]="Category 3", "Yes",NA())</f>
        <v>#N/A</v>
      </c>
      <c r="V834">
        <f>SUM(1,(1/3)*(Table13[[#This Row],[Length]]-0.5),(1/3)*(Table13[[#This Row],[Diameter]]-0.4),(1/3)*(Table13[[#This Row],[Height]]-0.4)*Table13[[#This Row],[Whole_weight]]*0.5)</f>
        <v>0.94559375000000001</v>
      </c>
      <c r="W834" cm="1">
        <f t="array" ref="W8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0.75647500000000001</v>
      </c>
      <c r="X834" t="e">
        <f>IF(Table13[[#This Row],[Category All]]="Category 1",Table13[[#This Row],[Base Abalone Value]]*1.5,NA())</f>
        <v>#N/A</v>
      </c>
      <c r="Y834">
        <f>IF(Table13[[#This Row],[Category All]]="Category 2",Table13[[#This Row],[Base Abalone Value]]*0.8,NA())</f>
        <v>0.75647500000000001</v>
      </c>
      <c r="Z834" t="e">
        <f>IF(Table13[[#This Row],[Category All]]="Category 3",Table13[[#This Row],[Base Abalone Value]],NA())</f>
        <v>#N/A</v>
      </c>
      <c r="AA834" s="2" t="e">
        <f>IF(Table13[[#This Row],[Gender]]="M",Table13[[#This Row],[Whole_weight]],NA())</f>
        <v>#N/A</v>
      </c>
      <c r="AB834" s="2" t="e">
        <f>IF(Table13[[#This Row],[Gender]]="F",Table13[[#This Row],[Whole_weight]],NA())</f>
        <v>#N/A</v>
      </c>
      <c r="AC834" s="2">
        <f>IF(Table13[[#This Row],[Gender]]="I",Table13[[#This Row],[Whole_weight]],NA())</f>
        <v>0.53249999999999997</v>
      </c>
      <c r="AD834" s="2" t="e">
        <f>IF(Table13[[#This Row],[Gender]]="M",Table13[[#This Row],[Diameter]],NA())</f>
        <v>#N/A</v>
      </c>
      <c r="AE834" s="2" t="e">
        <f>IF(Table13[[#This Row],[Gender]]="F",Table13[[#This Row],[Diameter]],NA())</f>
        <v>#N/A</v>
      </c>
      <c r="AF834" s="2">
        <f>IF(Table13[[#This Row],[Gender]]="I",Table13[[#This Row],[Diameter]],NA())</f>
        <v>0.35499999999999998</v>
      </c>
    </row>
    <row r="835" spans="1:32" x14ac:dyDescent="0.2">
      <c r="A835">
        <v>2063</v>
      </c>
      <c r="B835" t="s">
        <v>15</v>
      </c>
      <c r="C835">
        <v>0.505</v>
      </c>
      <c r="D835">
        <v>0.38500000000000001</v>
      </c>
      <c r="E835">
        <v>0.13</v>
      </c>
      <c r="F835">
        <v>0.64349999999999996</v>
      </c>
      <c r="G835">
        <v>0.3135</v>
      </c>
      <c r="H835">
        <v>0.14899999999999999</v>
      </c>
      <c r="I835">
        <v>0.1515</v>
      </c>
      <c r="J835">
        <v>7</v>
      </c>
      <c r="K835">
        <v>6</v>
      </c>
      <c r="L835" t="s">
        <v>39</v>
      </c>
      <c r="M835" t="s">
        <v>40</v>
      </c>
      <c r="N835" t="s">
        <v>41</v>
      </c>
      <c r="O835">
        <v>7</v>
      </c>
      <c r="P835" t="s">
        <v>42</v>
      </c>
      <c r="Q835">
        <v>2.5</v>
      </c>
      <c r="R835" t="str" cm="1">
        <f t="array" ref="R8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5" t="e">
        <f>IF(Table13[[#This Row],[Category All]]="Category 1", "Yes",NA())</f>
        <v>#N/A</v>
      </c>
      <c r="T835" t="str">
        <f>IF(Table13[[#This Row],[Category All]]="Category 2", "Yes",NA())</f>
        <v>Yes</v>
      </c>
      <c r="U835" t="e">
        <f>IF(Table13[[#This Row],[Category All]]="Category 3", "Yes",NA())</f>
        <v>#N/A</v>
      </c>
      <c r="V835">
        <f>SUM(1,(1/3)*(Table13[[#This Row],[Length]]-0.5),(1/3)*(Table13[[#This Row],[Diameter]]-0.4),(1/3)*(Table13[[#This Row],[Height]]-0.4)*Table13[[#This Row],[Whole_weight]]*0.5)</f>
        <v>0.96770916666666673</v>
      </c>
      <c r="W835" cm="1">
        <f t="array" ref="W8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0.77416733333333343</v>
      </c>
      <c r="X835" t="e">
        <f>IF(Table13[[#This Row],[Category All]]="Category 1",Table13[[#This Row],[Base Abalone Value]]*1.5,NA())</f>
        <v>#N/A</v>
      </c>
      <c r="Y835">
        <f>IF(Table13[[#This Row],[Category All]]="Category 2",Table13[[#This Row],[Base Abalone Value]]*0.8,NA())</f>
        <v>0.77416733333333343</v>
      </c>
      <c r="Z835" t="e">
        <f>IF(Table13[[#This Row],[Category All]]="Category 3",Table13[[#This Row],[Base Abalone Value]],NA())</f>
        <v>#N/A</v>
      </c>
      <c r="AA835" s="2">
        <f>IF(Table13[[#This Row],[Gender]]="M",Table13[[#This Row],[Whole_weight]],NA())</f>
        <v>0.64349999999999996</v>
      </c>
      <c r="AB835" s="2" t="e">
        <f>IF(Table13[[#This Row],[Gender]]="F",Table13[[#This Row],[Whole_weight]],NA())</f>
        <v>#N/A</v>
      </c>
      <c r="AC835" s="2" t="e">
        <f>IF(Table13[[#This Row],[Gender]]="I",Table13[[#This Row],[Whole_weight]],NA())</f>
        <v>#N/A</v>
      </c>
      <c r="AD835" s="2">
        <f>IF(Table13[[#This Row],[Gender]]="M",Table13[[#This Row],[Diameter]],NA())</f>
        <v>0.38500000000000001</v>
      </c>
      <c r="AE835" s="2" t="e">
        <f>IF(Table13[[#This Row],[Gender]]="F",Table13[[#This Row],[Diameter]],NA())</f>
        <v>#N/A</v>
      </c>
      <c r="AF835" s="2" t="e">
        <f>IF(Table13[[#This Row],[Gender]]="I",Table13[[#This Row],[Diameter]],NA())</f>
        <v>#N/A</v>
      </c>
    </row>
    <row r="836" spans="1:32" x14ac:dyDescent="0.2">
      <c r="A836">
        <v>381</v>
      </c>
      <c r="B836" t="s">
        <v>15</v>
      </c>
      <c r="C836">
        <v>0.60499999999999998</v>
      </c>
      <c r="D836">
        <v>0.47</v>
      </c>
      <c r="E836">
        <v>0.18</v>
      </c>
      <c r="F836">
        <v>1.1405000000000001</v>
      </c>
      <c r="G836">
        <v>0.3755</v>
      </c>
      <c r="H836">
        <v>0.28050000000000003</v>
      </c>
      <c r="I836">
        <v>0.38500000000000001</v>
      </c>
      <c r="J836">
        <v>15</v>
      </c>
      <c r="K836">
        <v>6</v>
      </c>
      <c r="L836" t="s">
        <v>39</v>
      </c>
      <c r="M836" t="s">
        <v>40</v>
      </c>
      <c r="N836" t="s">
        <v>41</v>
      </c>
      <c r="O836">
        <v>9</v>
      </c>
      <c r="P836" t="s">
        <v>46</v>
      </c>
      <c r="Q836">
        <v>1.9</v>
      </c>
      <c r="R836" t="str" cm="1">
        <f t="array" ref="R8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6" t="e">
        <f>IF(Table13[[#This Row],[Category All]]="Category 1", "Yes",NA())</f>
        <v>#N/A</v>
      </c>
      <c r="T836" t="str">
        <f>IF(Table13[[#This Row],[Category All]]="Category 2", "Yes",NA())</f>
        <v>Yes</v>
      </c>
      <c r="U836" t="e">
        <f>IF(Table13[[#This Row],[Category All]]="Category 3", "Yes",NA())</f>
        <v>#N/A</v>
      </c>
      <c r="V836">
        <f>SUM(1,(1/3)*(Table13[[#This Row],[Length]]-0.5),(1/3)*(Table13[[#This Row],[Diameter]]-0.4),(1/3)*(Table13[[#This Row],[Height]]-0.4)*Table13[[#This Row],[Whole_weight]]*0.5)</f>
        <v>1.0165149999999998</v>
      </c>
      <c r="W836" cm="1">
        <f t="array" ref="W8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0.81321199999999993</v>
      </c>
      <c r="X836" t="e">
        <f>IF(Table13[[#This Row],[Category All]]="Category 1",Table13[[#This Row],[Base Abalone Value]]*1.5,NA())</f>
        <v>#N/A</v>
      </c>
      <c r="Y836">
        <f>IF(Table13[[#This Row],[Category All]]="Category 2",Table13[[#This Row],[Base Abalone Value]]*0.8,NA())</f>
        <v>0.81321199999999993</v>
      </c>
      <c r="Z836" t="e">
        <f>IF(Table13[[#This Row],[Category All]]="Category 3",Table13[[#This Row],[Base Abalone Value]],NA())</f>
        <v>#N/A</v>
      </c>
      <c r="AA836" s="2">
        <f>IF(Table13[[#This Row],[Gender]]="M",Table13[[#This Row],[Whole_weight]],NA())</f>
        <v>1.1405000000000001</v>
      </c>
      <c r="AB836" s="2" t="e">
        <f>IF(Table13[[#This Row],[Gender]]="F",Table13[[#This Row],[Whole_weight]],NA())</f>
        <v>#N/A</v>
      </c>
      <c r="AC836" s="2" t="e">
        <f>IF(Table13[[#This Row],[Gender]]="I",Table13[[#This Row],[Whole_weight]],NA())</f>
        <v>#N/A</v>
      </c>
      <c r="AD836" s="2">
        <f>IF(Table13[[#This Row],[Gender]]="M",Table13[[#This Row],[Diameter]],NA())</f>
        <v>0.47</v>
      </c>
      <c r="AE836" s="2" t="e">
        <f>IF(Table13[[#This Row],[Gender]]="F",Table13[[#This Row],[Diameter]],NA())</f>
        <v>#N/A</v>
      </c>
      <c r="AF836" s="2" t="e">
        <f>IF(Table13[[#This Row],[Gender]]="I",Table13[[#This Row],[Diameter]],NA())</f>
        <v>#N/A</v>
      </c>
    </row>
    <row r="837" spans="1:32" x14ac:dyDescent="0.2">
      <c r="A837">
        <v>3204</v>
      </c>
      <c r="B837" t="s">
        <v>0</v>
      </c>
      <c r="C837">
        <v>0.63500000000000001</v>
      </c>
      <c r="D837">
        <v>0.505</v>
      </c>
      <c r="E837">
        <v>0.185</v>
      </c>
      <c r="F837">
        <v>1.3035000000000001</v>
      </c>
      <c r="G837">
        <v>0.501</v>
      </c>
      <c r="H837">
        <v>0.29499999999999998</v>
      </c>
      <c r="I837">
        <v>0.41</v>
      </c>
      <c r="J837">
        <v>17</v>
      </c>
      <c r="K837">
        <v>5</v>
      </c>
      <c r="L837" t="s">
        <v>26</v>
      </c>
      <c r="M837" t="s">
        <v>27</v>
      </c>
      <c r="N837" t="s">
        <v>28</v>
      </c>
      <c r="O837">
        <v>4</v>
      </c>
      <c r="P837" t="s">
        <v>10</v>
      </c>
      <c r="Q837">
        <v>6.1</v>
      </c>
      <c r="R837" t="str" cm="1">
        <f t="array" ref="R8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37" t="e">
        <f>IF(Table13[[#This Row],[Category All]]="Category 1", "Yes",NA())</f>
        <v>#N/A</v>
      </c>
      <c r="T837" t="e">
        <f>IF(Table13[[#This Row],[Category All]]="Category 2", "Yes",NA())</f>
        <v>#N/A</v>
      </c>
      <c r="U837" t="str">
        <f>IF(Table13[[#This Row],[Category All]]="Category 3", "Yes",NA())</f>
        <v>Yes</v>
      </c>
      <c r="V837">
        <f>SUM(1,(1/3)*(Table13[[#This Row],[Length]]-0.5),(1/3)*(Table13[[#This Row],[Diameter]]-0.4),(1/3)*(Table13[[#This Row],[Height]]-0.4)*Table13[[#This Row],[Whole_weight]]*0.5)</f>
        <v>1.0332912499999998</v>
      </c>
      <c r="W837" cm="1">
        <f t="array" ref="W8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1.0332912499999998</v>
      </c>
      <c r="X837" t="e">
        <f>IF(Table13[[#This Row],[Category All]]="Category 1",Table13[[#This Row],[Base Abalone Value]]*1.5,NA())</f>
        <v>#N/A</v>
      </c>
      <c r="Y837" t="e">
        <f>IF(Table13[[#This Row],[Category All]]="Category 2",Table13[[#This Row],[Base Abalone Value]]*0.8,NA())</f>
        <v>#N/A</v>
      </c>
      <c r="Z837">
        <f>IF(Table13[[#This Row],[Category All]]="Category 3",Table13[[#This Row],[Base Abalone Value]],NA())</f>
        <v>1.0332912499999998</v>
      </c>
      <c r="AA837" s="2" t="e">
        <f>IF(Table13[[#This Row],[Gender]]="M",Table13[[#This Row],[Whole_weight]],NA())</f>
        <v>#N/A</v>
      </c>
      <c r="AB837" s="2">
        <f>IF(Table13[[#This Row],[Gender]]="F",Table13[[#This Row],[Whole_weight]],NA())</f>
        <v>1.3035000000000001</v>
      </c>
      <c r="AC837" s="2" t="e">
        <f>IF(Table13[[#This Row],[Gender]]="I",Table13[[#This Row],[Whole_weight]],NA())</f>
        <v>#N/A</v>
      </c>
      <c r="AD837" s="2" t="e">
        <f>IF(Table13[[#This Row],[Gender]]="M",Table13[[#This Row],[Diameter]],NA())</f>
        <v>#N/A</v>
      </c>
      <c r="AE837" s="2">
        <f>IF(Table13[[#This Row],[Gender]]="F",Table13[[#This Row],[Diameter]],NA())</f>
        <v>0.505</v>
      </c>
      <c r="AF837" s="2" t="e">
        <f>IF(Table13[[#This Row],[Gender]]="I",Table13[[#This Row],[Diameter]],NA())</f>
        <v>#N/A</v>
      </c>
    </row>
    <row r="838" spans="1:32" x14ac:dyDescent="0.2">
      <c r="A838">
        <v>394</v>
      </c>
      <c r="B838" t="s">
        <v>11</v>
      </c>
      <c r="C838">
        <v>0.36499999999999999</v>
      </c>
      <c r="D838">
        <v>0.29499999999999998</v>
      </c>
      <c r="E838">
        <v>9.5000000000000001E-2</v>
      </c>
      <c r="F838">
        <v>0.25</v>
      </c>
      <c r="G838">
        <v>0.1075</v>
      </c>
      <c r="H838">
        <v>5.45E-2</v>
      </c>
      <c r="I838">
        <v>0.08</v>
      </c>
      <c r="J838">
        <v>9</v>
      </c>
      <c r="K838">
        <v>2</v>
      </c>
      <c r="L838" t="s">
        <v>32</v>
      </c>
      <c r="M838" t="s">
        <v>33</v>
      </c>
      <c r="N838" t="s">
        <v>34</v>
      </c>
      <c r="O838">
        <v>8</v>
      </c>
      <c r="P838" t="s">
        <v>19</v>
      </c>
      <c r="Q838">
        <v>12.3</v>
      </c>
      <c r="R838" t="str" cm="1">
        <f t="array" ref="R8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8" t="e">
        <f>IF(Table13[[#This Row],[Category All]]="Category 1", "Yes",NA())</f>
        <v>#N/A</v>
      </c>
      <c r="T838" t="str">
        <f>IF(Table13[[#This Row],[Category All]]="Category 2", "Yes",NA())</f>
        <v>Yes</v>
      </c>
      <c r="U838" t="e">
        <f>IF(Table13[[#This Row],[Category All]]="Category 3", "Yes",NA())</f>
        <v>#N/A</v>
      </c>
      <c r="V838">
        <f>SUM(1,(1/3)*(Table13[[#This Row],[Length]]-0.5),(1/3)*(Table13[[#This Row],[Diameter]]-0.4),(1/3)*(Table13[[#This Row],[Height]]-0.4)*Table13[[#This Row],[Whole_weight]]*0.5)</f>
        <v>0.90729166666666661</v>
      </c>
      <c r="W838" cm="1">
        <f t="array" ref="W8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0.72583333333333333</v>
      </c>
      <c r="X838" t="e">
        <f>IF(Table13[[#This Row],[Category All]]="Category 1",Table13[[#This Row],[Base Abalone Value]]*1.5,NA())</f>
        <v>#N/A</v>
      </c>
      <c r="Y838">
        <f>IF(Table13[[#This Row],[Category All]]="Category 2",Table13[[#This Row],[Base Abalone Value]]*0.8,NA())</f>
        <v>0.72583333333333333</v>
      </c>
      <c r="Z838" t="e">
        <f>IF(Table13[[#This Row],[Category All]]="Category 3",Table13[[#This Row],[Base Abalone Value]],NA())</f>
        <v>#N/A</v>
      </c>
      <c r="AA838" s="2" t="e">
        <f>IF(Table13[[#This Row],[Gender]]="M",Table13[[#This Row],[Whole_weight]],NA())</f>
        <v>#N/A</v>
      </c>
      <c r="AB838" s="2" t="e">
        <f>IF(Table13[[#This Row],[Gender]]="F",Table13[[#This Row],[Whole_weight]],NA())</f>
        <v>#N/A</v>
      </c>
      <c r="AC838" s="2">
        <f>IF(Table13[[#This Row],[Gender]]="I",Table13[[#This Row],[Whole_weight]],NA())</f>
        <v>0.25</v>
      </c>
      <c r="AD838" s="2" t="e">
        <f>IF(Table13[[#This Row],[Gender]]="M",Table13[[#This Row],[Diameter]],NA())</f>
        <v>#N/A</v>
      </c>
      <c r="AE838" s="2" t="e">
        <f>IF(Table13[[#This Row],[Gender]]="F",Table13[[#This Row],[Diameter]],NA())</f>
        <v>#N/A</v>
      </c>
      <c r="AF838" s="2">
        <f>IF(Table13[[#This Row],[Gender]]="I",Table13[[#This Row],[Diameter]],NA())</f>
        <v>0.29499999999999998</v>
      </c>
    </row>
    <row r="839" spans="1:32" x14ac:dyDescent="0.2">
      <c r="A839">
        <v>4166</v>
      </c>
      <c r="B839" t="s">
        <v>11</v>
      </c>
      <c r="C839">
        <v>0.40500000000000003</v>
      </c>
      <c r="D839">
        <v>0.3</v>
      </c>
      <c r="E839">
        <v>8.5000000000000006E-2</v>
      </c>
      <c r="F839">
        <v>0.30349999999999999</v>
      </c>
      <c r="G839">
        <v>0.15</v>
      </c>
      <c r="H839">
        <v>5.0500000000000003E-2</v>
      </c>
      <c r="I839">
        <v>8.7999999999999995E-2</v>
      </c>
      <c r="J839">
        <v>7</v>
      </c>
      <c r="K839">
        <v>15</v>
      </c>
      <c r="L839" t="s">
        <v>49</v>
      </c>
      <c r="M839" t="s">
        <v>50</v>
      </c>
      <c r="N839" t="s">
        <v>3</v>
      </c>
      <c r="O839">
        <v>3</v>
      </c>
      <c r="P839" t="s">
        <v>48</v>
      </c>
      <c r="Q839">
        <v>3.6</v>
      </c>
      <c r="R839" t="str" cm="1">
        <f t="array" ref="R8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9" t="e">
        <f>IF(Table13[[#This Row],[Category All]]="Category 1", "Yes",NA())</f>
        <v>#N/A</v>
      </c>
      <c r="T839" t="str">
        <f>IF(Table13[[#This Row],[Category All]]="Category 2", "Yes",NA())</f>
        <v>Yes</v>
      </c>
      <c r="U839" t="e">
        <f>IF(Table13[[#This Row],[Category All]]="Category 3", "Yes",NA())</f>
        <v>#N/A</v>
      </c>
      <c r="V839">
        <f>SUM(1,(1/3)*(Table13[[#This Row],[Length]]-0.5),(1/3)*(Table13[[#This Row],[Diameter]]-0.4),(1/3)*(Table13[[#This Row],[Height]]-0.4)*Table13[[#This Row],[Whole_weight]]*0.5)</f>
        <v>0.91906625000000008</v>
      </c>
      <c r="W839" cm="1">
        <f t="array" ref="W8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0.73525300000000016</v>
      </c>
      <c r="X839" t="e">
        <f>IF(Table13[[#This Row],[Category All]]="Category 1",Table13[[#This Row],[Base Abalone Value]]*1.5,NA())</f>
        <v>#N/A</v>
      </c>
      <c r="Y839">
        <f>IF(Table13[[#This Row],[Category All]]="Category 2",Table13[[#This Row],[Base Abalone Value]]*0.8,NA())</f>
        <v>0.73525300000000016</v>
      </c>
      <c r="Z839" t="e">
        <f>IF(Table13[[#This Row],[Category All]]="Category 3",Table13[[#This Row],[Base Abalone Value]],NA())</f>
        <v>#N/A</v>
      </c>
      <c r="AA839" s="2" t="e">
        <f>IF(Table13[[#This Row],[Gender]]="M",Table13[[#This Row],[Whole_weight]],NA())</f>
        <v>#N/A</v>
      </c>
      <c r="AB839" s="2" t="e">
        <f>IF(Table13[[#This Row],[Gender]]="F",Table13[[#This Row],[Whole_weight]],NA())</f>
        <v>#N/A</v>
      </c>
      <c r="AC839" s="2">
        <f>IF(Table13[[#This Row],[Gender]]="I",Table13[[#This Row],[Whole_weight]],NA())</f>
        <v>0.30349999999999999</v>
      </c>
      <c r="AD839" s="2" t="e">
        <f>IF(Table13[[#This Row],[Gender]]="M",Table13[[#This Row],[Diameter]],NA())</f>
        <v>#N/A</v>
      </c>
      <c r="AE839" s="2" t="e">
        <f>IF(Table13[[#This Row],[Gender]]="F",Table13[[#This Row],[Diameter]],NA())</f>
        <v>#N/A</v>
      </c>
      <c r="AF839" s="2">
        <f>IF(Table13[[#This Row],[Gender]]="I",Table13[[#This Row],[Diameter]],NA())</f>
        <v>0.3</v>
      </c>
    </row>
    <row r="840" spans="1:32" x14ac:dyDescent="0.2">
      <c r="A840">
        <v>2663</v>
      </c>
      <c r="B840" t="s">
        <v>0</v>
      </c>
      <c r="C840">
        <v>0.56999999999999995</v>
      </c>
      <c r="D840">
        <v>0.45</v>
      </c>
      <c r="E840">
        <v>0.18</v>
      </c>
      <c r="F840">
        <v>0.90800000000000003</v>
      </c>
      <c r="G840">
        <v>0.40150000000000002</v>
      </c>
      <c r="H840">
        <v>0.217</v>
      </c>
      <c r="I840">
        <v>0.255</v>
      </c>
      <c r="J840">
        <v>9</v>
      </c>
      <c r="K840">
        <v>1</v>
      </c>
      <c r="L840" t="s">
        <v>8</v>
      </c>
      <c r="M840" t="s">
        <v>9</v>
      </c>
      <c r="N840" t="s">
        <v>3</v>
      </c>
      <c r="O840">
        <v>3</v>
      </c>
      <c r="P840" t="s">
        <v>48</v>
      </c>
      <c r="Q840">
        <v>3.6</v>
      </c>
      <c r="R840" t="str" cm="1">
        <f t="array" ref="R8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40" t="e">
        <f>IF(Table13[[#This Row],[Category All]]="Category 1", "Yes",NA())</f>
        <v>#N/A</v>
      </c>
      <c r="T840" t="e">
        <f>IF(Table13[[#This Row],[Category All]]="Category 2", "Yes",NA())</f>
        <v>#N/A</v>
      </c>
      <c r="U840" t="str">
        <f>IF(Table13[[#This Row],[Category All]]="Category 3", "Yes",NA())</f>
        <v>Yes</v>
      </c>
      <c r="V840">
        <f>SUM(1,(1/3)*(Table13[[#This Row],[Length]]-0.5),(1/3)*(Table13[[#This Row],[Diameter]]-0.4),(1/3)*(Table13[[#This Row],[Height]]-0.4)*Table13[[#This Row],[Whole_weight]]*0.5)</f>
        <v>1.0067066666666666</v>
      </c>
      <c r="W840" cm="1">
        <f t="array" ref="W8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1.0067066666666666</v>
      </c>
      <c r="X840" t="e">
        <f>IF(Table13[[#This Row],[Category All]]="Category 1",Table13[[#This Row],[Base Abalone Value]]*1.5,NA())</f>
        <v>#N/A</v>
      </c>
      <c r="Y840" t="e">
        <f>IF(Table13[[#This Row],[Category All]]="Category 2",Table13[[#This Row],[Base Abalone Value]]*0.8,NA())</f>
        <v>#N/A</v>
      </c>
      <c r="Z840">
        <f>IF(Table13[[#This Row],[Category All]]="Category 3",Table13[[#This Row],[Base Abalone Value]],NA())</f>
        <v>1.0067066666666666</v>
      </c>
      <c r="AA840" s="2" t="e">
        <f>IF(Table13[[#This Row],[Gender]]="M",Table13[[#This Row],[Whole_weight]],NA())</f>
        <v>#N/A</v>
      </c>
      <c r="AB840" s="2">
        <f>IF(Table13[[#This Row],[Gender]]="F",Table13[[#This Row],[Whole_weight]],NA())</f>
        <v>0.90800000000000003</v>
      </c>
      <c r="AC840" s="2" t="e">
        <f>IF(Table13[[#This Row],[Gender]]="I",Table13[[#This Row],[Whole_weight]],NA())</f>
        <v>#N/A</v>
      </c>
      <c r="AD840" s="2" t="e">
        <f>IF(Table13[[#This Row],[Gender]]="M",Table13[[#This Row],[Diameter]],NA())</f>
        <v>#N/A</v>
      </c>
      <c r="AE840" s="2">
        <f>IF(Table13[[#This Row],[Gender]]="F",Table13[[#This Row],[Diameter]],NA())</f>
        <v>0.45</v>
      </c>
      <c r="AF840" s="2" t="e">
        <f>IF(Table13[[#This Row],[Gender]]="I",Table13[[#This Row],[Diameter]],NA())</f>
        <v>#N/A</v>
      </c>
    </row>
    <row r="841" spans="1:32" x14ac:dyDescent="0.2">
      <c r="A841">
        <v>2303</v>
      </c>
      <c r="B841" t="s">
        <v>15</v>
      </c>
      <c r="C841">
        <v>0.46</v>
      </c>
      <c r="D841">
        <v>0.375</v>
      </c>
      <c r="E841">
        <v>0.13</v>
      </c>
      <c r="F841">
        <v>0.57350000000000001</v>
      </c>
      <c r="G841">
        <v>0.2505</v>
      </c>
      <c r="H841">
        <v>0.11899999999999999</v>
      </c>
      <c r="I841">
        <v>0.19500000000000001</v>
      </c>
      <c r="J841">
        <v>9</v>
      </c>
      <c r="K841">
        <v>6</v>
      </c>
      <c r="L841" t="s">
        <v>39</v>
      </c>
      <c r="M841" t="s">
        <v>40</v>
      </c>
      <c r="N841" t="s">
        <v>41</v>
      </c>
      <c r="O841">
        <v>2</v>
      </c>
      <c r="P841" t="s">
        <v>7</v>
      </c>
      <c r="Q841">
        <v>18</v>
      </c>
      <c r="R841" t="str" cm="1">
        <f t="array" ref="R8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41" t="e">
        <f>IF(Table13[[#This Row],[Category All]]="Category 1", "Yes",NA())</f>
        <v>#N/A</v>
      </c>
      <c r="T841" t="str">
        <f>IF(Table13[[#This Row],[Category All]]="Category 2", "Yes",NA())</f>
        <v>Yes</v>
      </c>
      <c r="U841" t="e">
        <f>IF(Table13[[#This Row],[Category All]]="Category 3", "Yes",NA())</f>
        <v>#N/A</v>
      </c>
      <c r="V841">
        <f>SUM(1,(1/3)*(Table13[[#This Row],[Length]]-0.5),(1/3)*(Table13[[#This Row],[Diameter]]-0.4),(1/3)*(Table13[[#This Row],[Height]]-0.4)*Table13[[#This Row],[Whole_weight]]*0.5)</f>
        <v>0.9525258333333334</v>
      </c>
      <c r="W841" cm="1">
        <f t="array" ref="W8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0.76202066666666679</v>
      </c>
      <c r="X841" t="e">
        <f>IF(Table13[[#This Row],[Category All]]="Category 1",Table13[[#This Row],[Base Abalone Value]]*1.5,NA())</f>
        <v>#N/A</v>
      </c>
      <c r="Y841">
        <f>IF(Table13[[#This Row],[Category All]]="Category 2",Table13[[#This Row],[Base Abalone Value]]*0.8,NA())</f>
        <v>0.76202066666666679</v>
      </c>
      <c r="Z841" t="e">
        <f>IF(Table13[[#This Row],[Category All]]="Category 3",Table13[[#This Row],[Base Abalone Value]],NA())</f>
        <v>#N/A</v>
      </c>
      <c r="AA841" s="2">
        <f>IF(Table13[[#This Row],[Gender]]="M",Table13[[#This Row],[Whole_weight]],NA())</f>
        <v>0.57350000000000001</v>
      </c>
      <c r="AB841" s="2" t="e">
        <f>IF(Table13[[#This Row],[Gender]]="F",Table13[[#This Row],[Whole_weight]],NA())</f>
        <v>#N/A</v>
      </c>
      <c r="AC841" s="2" t="e">
        <f>IF(Table13[[#This Row],[Gender]]="I",Table13[[#This Row],[Whole_weight]],NA())</f>
        <v>#N/A</v>
      </c>
      <c r="AD841" s="2">
        <f>IF(Table13[[#This Row],[Gender]]="M",Table13[[#This Row],[Diameter]],NA())</f>
        <v>0.375</v>
      </c>
      <c r="AE841" s="2" t="e">
        <f>IF(Table13[[#This Row],[Gender]]="F",Table13[[#This Row],[Diameter]],NA())</f>
        <v>#N/A</v>
      </c>
      <c r="AF841" s="2" t="e">
        <f>IF(Table13[[#This Row],[Gender]]="I",Table13[[#This Row],[Diameter]],NA())</f>
        <v>#N/A</v>
      </c>
    </row>
    <row r="842" spans="1:32" x14ac:dyDescent="0.2">
      <c r="A842">
        <v>1023</v>
      </c>
      <c r="B842" t="s">
        <v>0</v>
      </c>
      <c r="C842">
        <v>0.64</v>
      </c>
      <c r="D842">
        <v>0.5</v>
      </c>
      <c r="E842">
        <v>0.17</v>
      </c>
      <c r="F842">
        <v>1.5175000000000001</v>
      </c>
      <c r="G842">
        <v>0.69299999999999995</v>
      </c>
      <c r="H842">
        <v>0.32600000000000001</v>
      </c>
      <c r="I842">
        <v>0.40899999999999997</v>
      </c>
      <c r="J842">
        <v>11</v>
      </c>
      <c r="K842">
        <v>15</v>
      </c>
      <c r="L842" t="s">
        <v>49</v>
      </c>
      <c r="M842" t="s">
        <v>50</v>
      </c>
      <c r="N842" t="s">
        <v>3</v>
      </c>
      <c r="O842">
        <v>1</v>
      </c>
      <c r="P842" t="s">
        <v>4</v>
      </c>
      <c r="Q842">
        <v>22.1</v>
      </c>
      <c r="R842" t="str" cm="1">
        <f t="array" ref="R8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42" t="e">
        <f>IF(Table13[[#This Row],[Category All]]="Category 1", "Yes",NA())</f>
        <v>#N/A</v>
      </c>
      <c r="T842" t="e">
        <f>IF(Table13[[#This Row],[Category All]]="Category 2", "Yes",NA())</f>
        <v>#N/A</v>
      </c>
      <c r="U842" t="str">
        <f>IF(Table13[[#This Row],[Category All]]="Category 3", "Yes",NA())</f>
        <v>Yes</v>
      </c>
      <c r="V842">
        <f>SUM(1,(1/3)*(Table13[[#This Row],[Length]]-0.5),(1/3)*(Table13[[#This Row],[Diameter]]-0.4),(1/3)*(Table13[[#This Row],[Height]]-0.4)*Table13[[#This Row],[Whole_weight]]*0.5)</f>
        <v>1.0218291666666668</v>
      </c>
      <c r="W842" cm="1">
        <f t="array" ref="W8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1.0218291666666668</v>
      </c>
      <c r="X842" t="e">
        <f>IF(Table13[[#This Row],[Category All]]="Category 1",Table13[[#This Row],[Base Abalone Value]]*1.5,NA())</f>
        <v>#N/A</v>
      </c>
      <c r="Y842" t="e">
        <f>IF(Table13[[#This Row],[Category All]]="Category 2",Table13[[#This Row],[Base Abalone Value]]*0.8,NA())</f>
        <v>#N/A</v>
      </c>
      <c r="Z842">
        <f>IF(Table13[[#This Row],[Category All]]="Category 3",Table13[[#This Row],[Base Abalone Value]],NA())</f>
        <v>1.0218291666666668</v>
      </c>
      <c r="AA842" s="2" t="e">
        <f>IF(Table13[[#This Row],[Gender]]="M",Table13[[#This Row],[Whole_weight]],NA())</f>
        <v>#N/A</v>
      </c>
      <c r="AB842" s="2">
        <f>IF(Table13[[#This Row],[Gender]]="F",Table13[[#This Row],[Whole_weight]],NA())</f>
        <v>1.5175000000000001</v>
      </c>
      <c r="AC842" s="2" t="e">
        <f>IF(Table13[[#This Row],[Gender]]="I",Table13[[#This Row],[Whole_weight]],NA())</f>
        <v>#N/A</v>
      </c>
      <c r="AD842" s="2" t="e">
        <f>IF(Table13[[#This Row],[Gender]]="M",Table13[[#This Row],[Diameter]],NA())</f>
        <v>#N/A</v>
      </c>
      <c r="AE842" s="2">
        <f>IF(Table13[[#This Row],[Gender]]="F",Table13[[#This Row],[Diameter]],NA())</f>
        <v>0.5</v>
      </c>
      <c r="AF842" s="2" t="e">
        <f>IF(Table13[[#This Row],[Gender]]="I",Table13[[#This Row],[Diameter]],NA())</f>
        <v>#N/A</v>
      </c>
    </row>
    <row r="843" spans="1:32" x14ac:dyDescent="0.2">
      <c r="A843">
        <v>3825</v>
      </c>
      <c r="B843" t="s">
        <v>15</v>
      </c>
      <c r="C843">
        <v>0.62</v>
      </c>
      <c r="D843">
        <v>0.46</v>
      </c>
      <c r="E843">
        <v>0.17</v>
      </c>
      <c r="F843">
        <v>1.127</v>
      </c>
      <c r="G843">
        <v>0.53500000000000003</v>
      </c>
      <c r="H843">
        <v>0.26350000000000001</v>
      </c>
      <c r="I843">
        <v>0.29599999999999999</v>
      </c>
      <c r="J843">
        <v>7</v>
      </c>
      <c r="K843">
        <v>12</v>
      </c>
      <c r="L843" t="s">
        <v>1</v>
      </c>
      <c r="M843" t="s">
        <v>2</v>
      </c>
      <c r="N843" t="s">
        <v>3</v>
      </c>
      <c r="O843">
        <v>7</v>
      </c>
      <c r="P843" t="s">
        <v>42</v>
      </c>
      <c r="Q843">
        <v>2.5</v>
      </c>
      <c r="R843" t="str" cm="1">
        <f t="array" ref="R8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43" t="e">
        <f>IF(Table13[[#This Row],[Category All]]="Category 1", "Yes",NA())</f>
        <v>#N/A</v>
      </c>
      <c r="T843" t="e">
        <f>IF(Table13[[#This Row],[Category All]]="Category 2", "Yes",NA())</f>
        <v>#N/A</v>
      </c>
      <c r="U843" t="str">
        <f>IF(Table13[[#This Row],[Category All]]="Category 3", "Yes",NA())</f>
        <v>Yes</v>
      </c>
      <c r="V843">
        <f>SUM(1,(1/3)*(Table13[[#This Row],[Length]]-0.5),(1/3)*(Table13[[#This Row],[Diameter]]-0.4),(1/3)*(Table13[[#This Row],[Height]]-0.4)*Table13[[#This Row],[Whole_weight]]*0.5)</f>
        <v>1.0167983333333335</v>
      </c>
      <c r="W843" cm="1">
        <f t="array" ref="W8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1.0167983333333335</v>
      </c>
      <c r="X843" t="e">
        <f>IF(Table13[[#This Row],[Category All]]="Category 1",Table13[[#This Row],[Base Abalone Value]]*1.5,NA())</f>
        <v>#N/A</v>
      </c>
      <c r="Y843" t="e">
        <f>IF(Table13[[#This Row],[Category All]]="Category 2",Table13[[#This Row],[Base Abalone Value]]*0.8,NA())</f>
        <v>#N/A</v>
      </c>
      <c r="Z843">
        <f>IF(Table13[[#This Row],[Category All]]="Category 3",Table13[[#This Row],[Base Abalone Value]],NA())</f>
        <v>1.0167983333333335</v>
      </c>
      <c r="AA843" s="2">
        <f>IF(Table13[[#This Row],[Gender]]="M",Table13[[#This Row],[Whole_weight]],NA())</f>
        <v>1.127</v>
      </c>
      <c r="AB843" s="2" t="e">
        <f>IF(Table13[[#This Row],[Gender]]="F",Table13[[#This Row],[Whole_weight]],NA())</f>
        <v>#N/A</v>
      </c>
      <c r="AC843" s="2" t="e">
        <f>IF(Table13[[#This Row],[Gender]]="I",Table13[[#This Row],[Whole_weight]],NA())</f>
        <v>#N/A</v>
      </c>
      <c r="AD843" s="2">
        <f>IF(Table13[[#This Row],[Gender]]="M",Table13[[#This Row],[Diameter]],NA())</f>
        <v>0.46</v>
      </c>
      <c r="AE843" s="2" t="e">
        <f>IF(Table13[[#This Row],[Gender]]="F",Table13[[#This Row],[Diameter]],NA())</f>
        <v>#N/A</v>
      </c>
      <c r="AF843" s="2" t="e">
        <f>IF(Table13[[#This Row],[Gender]]="I",Table13[[#This Row],[Diameter]],NA())</f>
        <v>#N/A</v>
      </c>
    </row>
    <row r="844" spans="1:32" x14ac:dyDescent="0.2">
      <c r="A844">
        <v>925</v>
      </c>
      <c r="B844" t="s">
        <v>11</v>
      </c>
      <c r="C844">
        <v>0.42499999999999999</v>
      </c>
      <c r="D844">
        <v>0.315</v>
      </c>
      <c r="E844">
        <v>0.1</v>
      </c>
      <c r="F844">
        <v>0.377</v>
      </c>
      <c r="G844">
        <v>0.16450000000000001</v>
      </c>
      <c r="H844">
        <v>7.1999999999999995E-2</v>
      </c>
      <c r="I844">
        <v>0.105</v>
      </c>
      <c r="J844">
        <v>6</v>
      </c>
      <c r="K844">
        <v>8</v>
      </c>
      <c r="L844" t="s">
        <v>29</v>
      </c>
      <c r="M844" t="s">
        <v>30</v>
      </c>
      <c r="N844" t="s">
        <v>31</v>
      </c>
      <c r="O844">
        <v>10</v>
      </c>
      <c r="P844" t="s">
        <v>38</v>
      </c>
      <c r="Q844">
        <v>24.1</v>
      </c>
      <c r="R844" t="str" cm="1">
        <f t="array" ref="R8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44" t="e">
        <f>IF(Table13[[#This Row],[Category All]]="Category 1", "Yes",NA())</f>
        <v>#N/A</v>
      </c>
      <c r="T844" t="str">
        <f>IF(Table13[[#This Row],[Category All]]="Category 2", "Yes",NA())</f>
        <v>Yes</v>
      </c>
      <c r="U844" t="e">
        <f>IF(Table13[[#This Row],[Category All]]="Category 3", "Yes",NA())</f>
        <v>#N/A</v>
      </c>
      <c r="V844">
        <f>SUM(1,(1/3)*(Table13[[#This Row],[Length]]-0.5),(1/3)*(Table13[[#This Row],[Diameter]]-0.4),(1/3)*(Table13[[#This Row],[Height]]-0.4)*Table13[[#This Row],[Whole_weight]]*0.5)</f>
        <v>0.92781666666666662</v>
      </c>
      <c r="W844" cm="1">
        <f t="array" ref="W8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0.74225333333333332</v>
      </c>
      <c r="X844" t="e">
        <f>IF(Table13[[#This Row],[Category All]]="Category 1",Table13[[#This Row],[Base Abalone Value]]*1.5,NA())</f>
        <v>#N/A</v>
      </c>
      <c r="Y844">
        <f>IF(Table13[[#This Row],[Category All]]="Category 2",Table13[[#This Row],[Base Abalone Value]]*0.8,NA())</f>
        <v>0.74225333333333332</v>
      </c>
      <c r="Z844" t="e">
        <f>IF(Table13[[#This Row],[Category All]]="Category 3",Table13[[#This Row],[Base Abalone Value]],NA())</f>
        <v>#N/A</v>
      </c>
      <c r="AA844" s="2" t="e">
        <f>IF(Table13[[#This Row],[Gender]]="M",Table13[[#This Row],[Whole_weight]],NA())</f>
        <v>#N/A</v>
      </c>
      <c r="AB844" s="2" t="e">
        <f>IF(Table13[[#This Row],[Gender]]="F",Table13[[#This Row],[Whole_weight]],NA())</f>
        <v>#N/A</v>
      </c>
      <c r="AC844" s="2">
        <f>IF(Table13[[#This Row],[Gender]]="I",Table13[[#This Row],[Whole_weight]],NA())</f>
        <v>0.377</v>
      </c>
      <c r="AD844" s="2" t="e">
        <f>IF(Table13[[#This Row],[Gender]]="M",Table13[[#This Row],[Diameter]],NA())</f>
        <v>#N/A</v>
      </c>
      <c r="AE844" s="2" t="e">
        <f>IF(Table13[[#This Row],[Gender]]="F",Table13[[#This Row],[Diameter]],NA())</f>
        <v>#N/A</v>
      </c>
      <c r="AF844" s="2">
        <f>IF(Table13[[#This Row],[Gender]]="I",Table13[[#This Row],[Diameter]],NA())</f>
        <v>0.315</v>
      </c>
    </row>
    <row r="845" spans="1:32" x14ac:dyDescent="0.2">
      <c r="A845">
        <v>2365</v>
      </c>
      <c r="B845" t="s">
        <v>0</v>
      </c>
      <c r="C845">
        <v>0.6</v>
      </c>
      <c r="D845">
        <v>0.47</v>
      </c>
      <c r="E845">
        <v>0.2</v>
      </c>
      <c r="F845">
        <v>1.0309999999999999</v>
      </c>
      <c r="G845">
        <v>0.39200000000000002</v>
      </c>
      <c r="H845">
        <v>0.20349999999999999</v>
      </c>
      <c r="I845">
        <v>0.28999999999999998</v>
      </c>
      <c r="J845">
        <v>15</v>
      </c>
      <c r="K845">
        <v>14</v>
      </c>
      <c r="L845" t="s">
        <v>23</v>
      </c>
      <c r="M845" t="s">
        <v>24</v>
      </c>
      <c r="N845" t="s">
        <v>25</v>
      </c>
      <c r="O845">
        <v>10</v>
      </c>
      <c r="P845" t="s">
        <v>38</v>
      </c>
      <c r="Q845">
        <v>24.1</v>
      </c>
      <c r="R845" t="str" cm="1">
        <f t="array" ref="R8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45" t="e">
        <f>IF(Table13[[#This Row],[Category All]]="Category 1", "Yes",NA())</f>
        <v>#N/A</v>
      </c>
      <c r="T845" t="str">
        <f>IF(Table13[[#This Row],[Category All]]="Category 2", "Yes",NA())</f>
        <v>Yes</v>
      </c>
      <c r="U845" t="e">
        <f>IF(Table13[[#This Row],[Category All]]="Category 3", "Yes",NA())</f>
        <v>#N/A</v>
      </c>
      <c r="V845">
        <f>SUM(1,(1/3)*(Table13[[#This Row],[Length]]-0.5),(1/3)*(Table13[[#This Row],[Diameter]]-0.4),(1/3)*(Table13[[#This Row],[Height]]-0.4)*Table13[[#This Row],[Whole_weight]]*0.5)</f>
        <v>1.0223</v>
      </c>
      <c r="W845" cm="1">
        <f t="array" ref="W8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0.81784000000000001</v>
      </c>
      <c r="X845" t="e">
        <f>IF(Table13[[#This Row],[Category All]]="Category 1",Table13[[#This Row],[Base Abalone Value]]*1.5,NA())</f>
        <v>#N/A</v>
      </c>
      <c r="Y845">
        <f>IF(Table13[[#This Row],[Category All]]="Category 2",Table13[[#This Row],[Base Abalone Value]]*0.8,NA())</f>
        <v>0.81784000000000001</v>
      </c>
      <c r="Z845" t="e">
        <f>IF(Table13[[#This Row],[Category All]]="Category 3",Table13[[#This Row],[Base Abalone Value]],NA())</f>
        <v>#N/A</v>
      </c>
      <c r="AA845" s="2" t="e">
        <f>IF(Table13[[#This Row],[Gender]]="M",Table13[[#This Row],[Whole_weight]],NA())</f>
        <v>#N/A</v>
      </c>
      <c r="AB845" s="2">
        <f>IF(Table13[[#This Row],[Gender]]="F",Table13[[#This Row],[Whole_weight]],NA())</f>
        <v>1.0309999999999999</v>
      </c>
      <c r="AC845" s="2" t="e">
        <f>IF(Table13[[#This Row],[Gender]]="I",Table13[[#This Row],[Whole_weight]],NA())</f>
        <v>#N/A</v>
      </c>
      <c r="AD845" s="2" t="e">
        <f>IF(Table13[[#This Row],[Gender]]="M",Table13[[#This Row],[Diameter]],NA())</f>
        <v>#N/A</v>
      </c>
      <c r="AE845" s="2">
        <f>IF(Table13[[#This Row],[Gender]]="F",Table13[[#This Row],[Diameter]],NA())</f>
        <v>0.47</v>
      </c>
      <c r="AF845" s="2" t="e">
        <f>IF(Table13[[#This Row],[Gender]]="I",Table13[[#This Row],[Diameter]],NA())</f>
        <v>#N/A</v>
      </c>
    </row>
    <row r="846" spans="1:32" x14ac:dyDescent="0.2">
      <c r="A846">
        <v>2094</v>
      </c>
      <c r="B846" t="s">
        <v>0</v>
      </c>
      <c r="C846">
        <v>0.505</v>
      </c>
      <c r="D846">
        <v>0.38500000000000001</v>
      </c>
      <c r="E846">
        <v>0.115</v>
      </c>
      <c r="F846">
        <v>0.61599999999999999</v>
      </c>
      <c r="G846">
        <v>0.24299999999999999</v>
      </c>
      <c r="H846">
        <v>0.1075</v>
      </c>
      <c r="I846">
        <v>0.21</v>
      </c>
      <c r="J846">
        <v>11</v>
      </c>
      <c r="K846">
        <v>12</v>
      </c>
      <c r="L846" t="s">
        <v>1</v>
      </c>
      <c r="M846" t="s">
        <v>2</v>
      </c>
      <c r="N846" t="s">
        <v>3</v>
      </c>
      <c r="O846">
        <v>4</v>
      </c>
      <c r="P846" t="s">
        <v>10</v>
      </c>
      <c r="Q846">
        <v>6.1</v>
      </c>
      <c r="R846" t="str" cm="1">
        <f t="array" ref="R8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46" t="e">
        <f>IF(Table13[[#This Row],[Category All]]="Category 1", "Yes",NA())</f>
        <v>#N/A</v>
      </c>
      <c r="T846" t="str">
        <f>IF(Table13[[#This Row],[Category All]]="Category 2", "Yes",NA())</f>
        <v>Yes</v>
      </c>
      <c r="U846" t="e">
        <f>IF(Table13[[#This Row],[Category All]]="Category 3", "Yes",NA())</f>
        <v>#N/A</v>
      </c>
      <c r="V846">
        <f>SUM(1,(1/3)*(Table13[[#This Row],[Length]]-0.5),(1/3)*(Table13[[#This Row],[Diameter]]-0.4),(1/3)*(Table13[[#This Row],[Height]]-0.4)*Table13[[#This Row],[Whole_weight]]*0.5)</f>
        <v>0.96740666666666675</v>
      </c>
      <c r="W846" cm="1">
        <f t="array" ref="W8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0.77392533333333347</v>
      </c>
      <c r="X846" t="e">
        <f>IF(Table13[[#This Row],[Category All]]="Category 1",Table13[[#This Row],[Base Abalone Value]]*1.5,NA())</f>
        <v>#N/A</v>
      </c>
      <c r="Y846">
        <f>IF(Table13[[#This Row],[Category All]]="Category 2",Table13[[#This Row],[Base Abalone Value]]*0.8,NA())</f>
        <v>0.77392533333333347</v>
      </c>
      <c r="Z846" t="e">
        <f>IF(Table13[[#This Row],[Category All]]="Category 3",Table13[[#This Row],[Base Abalone Value]],NA())</f>
        <v>#N/A</v>
      </c>
      <c r="AA846" s="2" t="e">
        <f>IF(Table13[[#This Row],[Gender]]="M",Table13[[#This Row],[Whole_weight]],NA())</f>
        <v>#N/A</v>
      </c>
      <c r="AB846" s="2">
        <f>IF(Table13[[#This Row],[Gender]]="F",Table13[[#This Row],[Whole_weight]],NA())</f>
        <v>0.61599999999999999</v>
      </c>
      <c r="AC846" s="2" t="e">
        <f>IF(Table13[[#This Row],[Gender]]="I",Table13[[#This Row],[Whole_weight]],NA())</f>
        <v>#N/A</v>
      </c>
      <c r="AD846" s="2" t="e">
        <f>IF(Table13[[#This Row],[Gender]]="M",Table13[[#This Row],[Diameter]],NA())</f>
        <v>#N/A</v>
      </c>
      <c r="AE846" s="2">
        <f>IF(Table13[[#This Row],[Gender]]="F",Table13[[#This Row],[Diameter]],NA())</f>
        <v>0.38500000000000001</v>
      </c>
      <c r="AF846" s="2" t="e">
        <f>IF(Table13[[#This Row],[Gender]]="I",Table13[[#This Row],[Diameter]],NA())</f>
        <v>#N/A</v>
      </c>
    </row>
    <row r="847" spans="1:32" x14ac:dyDescent="0.2">
      <c r="A847">
        <v>2150</v>
      </c>
      <c r="B847" t="s">
        <v>15</v>
      </c>
      <c r="C847">
        <v>0.27</v>
      </c>
      <c r="D847">
        <v>0.19500000000000001</v>
      </c>
      <c r="E847">
        <v>7.0000000000000007E-2</v>
      </c>
      <c r="F847">
        <v>0.106</v>
      </c>
      <c r="G847">
        <v>4.65E-2</v>
      </c>
      <c r="H847">
        <v>1.7999999999999999E-2</v>
      </c>
      <c r="I847">
        <v>3.5999999999999997E-2</v>
      </c>
      <c r="J847">
        <v>7</v>
      </c>
      <c r="K847">
        <v>3</v>
      </c>
      <c r="L847" t="s">
        <v>43</v>
      </c>
      <c r="M847" t="s">
        <v>44</v>
      </c>
      <c r="N847" t="s">
        <v>45</v>
      </c>
      <c r="O847">
        <v>5</v>
      </c>
      <c r="P847" t="s">
        <v>14</v>
      </c>
      <c r="Q847">
        <v>12.8</v>
      </c>
      <c r="R847" t="str" cm="1">
        <f t="array" ref="R8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47" t="e">
        <f>IF(Table13[[#This Row],[Category All]]="Category 1", "Yes",NA())</f>
        <v>#N/A</v>
      </c>
      <c r="T847" t="str">
        <f>IF(Table13[[#This Row],[Category All]]="Category 2", "Yes",NA())</f>
        <v>Yes</v>
      </c>
      <c r="U847" t="e">
        <f>IF(Table13[[#This Row],[Category All]]="Category 3", "Yes",NA())</f>
        <v>#N/A</v>
      </c>
      <c r="V847">
        <f>SUM(1,(1/3)*(Table13[[#This Row],[Length]]-0.5),(1/3)*(Table13[[#This Row],[Diameter]]-0.4),(1/3)*(Table13[[#This Row],[Height]]-0.4)*Table13[[#This Row],[Whole_weight]]*0.5)</f>
        <v>0.84916999999999998</v>
      </c>
      <c r="W847" cm="1">
        <f t="array" ref="W8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0.67933600000000005</v>
      </c>
      <c r="X847" t="e">
        <f>IF(Table13[[#This Row],[Category All]]="Category 1",Table13[[#This Row],[Base Abalone Value]]*1.5,NA())</f>
        <v>#N/A</v>
      </c>
      <c r="Y847">
        <f>IF(Table13[[#This Row],[Category All]]="Category 2",Table13[[#This Row],[Base Abalone Value]]*0.8,NA())</f>
        <v>0.67933600000000005</v>
      </c>
      <c r="Z847" t="e">
        <f>IF(Table13[[#This Row],[Category All]]="Category 3",Table13[[#This Row],[Base Abalone Value]],NA())</f>
        <v>#N/A</v>
      </c>
      <c r="AA847" s="2">
        <f>IF(Table13[[#This Row],[Gender]]="M",Table13[[#This Row],[Whole_weight]],NA())</f>
        <v>0.106</v>
      </c>
      <c r="AB847" s="2" t="e">
        <f>IF(Table13[[#This Row],[Gender]]="F",Table13[[#This Row],[Whole_weight]],NA())</f>
        <v>#N/A</v>
      </c>
      <c r="AC847" s="2" t="e">
        <f>IF(Table13[[#This Row],[Gender]]="I",Table13[[#This Row],[Whole_weight]],NA())</f>
        <v>#N/A</v>
      </c>
      <c r="AD847" s="2">
        <f>IF(Table13[[#This Row],[Gender]]="M",Table13[[#This Row],[Diameter]],NA())</f>
        <v>0.19500000000000001</v>
      </c>
      <c r="AE847" s="2" t="e">
        <f>IF(Table13[[#This Row],[Gender]]="F",Table13[[#This Row],[Diameter]],NA())</f>
        <v>#N/A</v>
      </c>
      <c r="AF847" s="2" t="e">
        <f>IF(Table13[[#This Row],[Gender]]="I",Table13[[#This Row],[Diameter]],NA())</f>
        <v>#N/A</v>
      </c>
    </row>
    <row r="848" spans="1:32" x14ac:dyDescent="0.2">
      <c r="A848">
        <v>3667</v>
      </c>
      <c r="B848" t="s">
        <v>11</v>
      </c>
      <c r="C848">
        <v>0.57499999999999996</v>
      </c>
      <c r="D848">
        <v>0.44</v>
      </c>
      <c r="E848">
        <v>0.15</v>
      </c>
      <c r="F848">
        <v>0.98299999999999998</v>
      </c>
      <c r="G848">
        <v>0.48599999999999999</v>
      </c>
      <c r="H848">
        <v>0.215</v>
      </c>
      <c r="I848">
        <v>0.23899999999999999</v>
      </c>
      <c r="J848">
        <v>8</v>
      </c>
      <c r="K848">
        <v>1</v>
      </c>
      <c r="L848" t="s">
        <v>8</v>
      </c>
      <c r="M848" t="s">
        <v>9</v>
      </c>
      <c r="N848" t="s">
        <v>3</v>
      </c>
      <c r="O848">
        <v>9</v>
      </c>
      <c r="P848" t="s">
        <v>46</v>
      </c>
      <c r="Q848">
        <v>1.9</v>
      </c>
      <c r="R848" t="str" cm="1">
        <f t="array" ref="R8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48" t="e">
        <f>IF(Table13[[#This Row],[Category All]]="Category 1", "Yes",NA())</f>
        <v>#N/A</v>
      </c>
      <c r="T848" t="e">
        <f>IF(Table13[[#This Row],[Category All]]="Category 2", "Yes",NA())</f>
        <v>#N/A</v>
      </c>
      <c r="U848" t="str">
        <f>IF(Table13[[#This Row],[Category All]]="Category 3", "Yes",NA())</f>
        <v>Yes</v>
      </c>
      <c r="V848">
        <f>SUM(1,(1/3)*(Table13[[#This Row],[Length]]-0.5),(1/3)*(Table13[[#This Row],[Diameter]]-0.4),(1/3)*(Table13[[#This Row],[Height]]-0.4)*Table13[[#This Row],[Whole_weight]]*0.5)</f>
        <v>0.99737500000000001</v>
      </c>
      <c r="W848" cm="1">
        <f t="array" ref="W8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0.99737500000000001</v>
      </c>
      <c r="X848" t="e">
        <f>IF(Table13[[#This Row],[Category All]]="Category 1",Table13[[#This Row],[Base Abalone Value]]*1.5,NA())</f>
        <v>#N/A</v>
      </c>
      <c r="Y848" t="e">
        <f>IF(Table13[[#This Row],[Category All]]="Category 2",Table13[[#This Row],[Base Abalone Value]]*0.8,NA())</f>
        <v>#N/A</v>
      </c>
      <c r="Z848">
        <f>IF(Table13[[#This Row],[Category All]]="Category 3",Table13[[#This Row],[Base Abalone Value]],NA())</f>
        <v>0.99737500000000001</v>
      </c>
      <c r="AA848" s="2" t="e">
        <f>IF(Table13[[#This Row],[Gender]]="M",Table13[[#This Row],[Whole_weight]],NA())</f>
        <v>#N/A</v>
      </c>
      <c r="AB848" s="2" t="e">
        <f>IF(Table13[[#This Row],[Gender]]="F",Table13[[#This Row],[Whole_weight]],NA())</f>
        <v>#N/A</v>
      </c>
      <c r="AC848" s="2">
        <f>IF(Table13[[#This Row],[Gender]]="I",Table13[[#This Row],[Whole_weight]],NA())</f>
        <v>0.98299999999999998</v>
      </c>
      <c r="AD848" s="2" t="e">
        <f>IF(Table13[[#This Row],[Gender]]="M",Table13[[#This Row],[Diameter]],NA())</f>
        <v>#N/A</v>
      </c>
      <c r="AE848" s="2" t="e">
        <f>IF(Table13[[#This Row],[Gender]]="F",Table13[[#This Row],[Diameter]],NA())</f>
        <v>#N/A</v>
      </c>
      <c r="AF848" s="2">
        <f>IF(Table13[[#This Row],[Gender]]="I",Table13[[#This Row],[Diameter]],NA())</f>
        <v>0.44</v>
      </c>
    </row>
    <row r="849" spans="1:32" x14ac:dyDescent="0.2">
      <c r="A849">
        <v>3430</v>
      </c>
      <c r="B849" t="s">
        <v>11</v>
      </c>
      <c r="C849">
        <v>0.28000000000000003</v>
      </c>
      <c r="D849">
        <v>0.21</v>
      </c>
      <c r="E849">
        <v>6.5000000000000002E-2</v>
      </c>
      <c r="F849">
        <v>0.111</v>
      </c>
      <c r="G849">
        <v>4.2500000000000003E-2</v>
      </c>
      <c r="H849">
        <v>2.8500000000000001E-2</v>
      </c>
      <c r="I849">
        <v>0.03</v>
      </c>
      <c r="J849">
        <v>6</v>
      </c>
      <c r="K849">
        <v>14</v>
      </c>
      <c r="L849" t="s">
        <v>23</v>
      </c>
      <c r="M849" t="s">
        <v>24</v>
      </c>
      <c r="N849" t="s">
        <v>25</v>
      </c>
      <c r="O849">
        <v>1</v>
      </c>
      <c r="P849" t="s">
        <v>4</v>
      </c>
      <c r="Q849">
        <v>22.1</v>
      </c>
      <c r="R849" t="str" cm="1">
        <f t="array" ref="R8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49" t="e">
        <f>IF(Table13[[#This Row],[Category All]]="Category 1", "Yes",NA())</f>
        <v>#N/A</v>
      </c>
      <c r="T849" t="str">
        <f>IF(Table13[[#This Row],[Category All]]="Category 2", "Yes",NA())</f>
        <v>Yes</v>
      </c>
      <c r="U849" t="e">
        <f>IF(Table13[[#This Row],[Category All]]="Category 3", "Yes",NA())</f>
        <v>#N/A</v>
      </c>
      <c r="V849">
        <f>SUM(1,(1/3)*(Table13[[#This Row],[Length]]-0.5),(1/3)*(Table13[[#This Row],[Diameter]]-0.4),(1/3)*(Table13[[#This Row],[Height]]-0.4)*Table13[[#This Row],[Whole_weight]]*0.5)</f>
        <v>0.85713583333333332</v>
      </c>
      <c r="W849" cm="1">
        <f t="array" ref="W8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0.68570866666666674</v>
      </c>
      <c r="X849" t="e">
        <f>IF(Table13[[#This Row],[Category All]]="Category 1",Table13[[#This Row],[Base Abalone Value]]*1.5,NA())</f>
        <v>#N/A</v>
      </c>
      <c r="Y849">
        <f>IF(Table13[[#This Row],[Category All]]="Category 2",Table13[[#This Row],[Base Abalone Value]]*0.8,NA())</f>
        <v>0.68570866666666674</v>
      </c>
      <c r="Z849" t="e">
        <f>IF(Table13[[#This Row],[Category All]]="Category 3",Table13[[#This Row],[Base Abalone Value]],NA())</f>
        <v>#N/A</v>
      </c>
      <c r="AA849" s="2" t="e">
        <f>IF(Table13[[#This Row],[Gender]]="M",Table13[[#This Row],[Whole_weight]],NA())</f>
        <v>#N/A</v>
      </c>
      <c r="AB849" s="2" t="e">
        <f>IF(Table13[[#This Row],[Gender]]="F",Table13[[#This Row],[Whole_weight]],NA())</f>
        <v>#N/A</v>
      </c>
      <c r="AC849" s="2">
        <f>IF(Table13[[#This Row],[Gender]]="I",Table13[[#This Row],[Whole_weight]],NA())</f>
        <v>0.111</v>
      </c>
      <c r="AD849" s="2" t="e">
        <f>IF(Table13[[#This Row],[Gender]]="M",Table13[[#This Row],[Diameter]],NA())</f>
        <v>#N/A</v>
      </c>
      <c r="AE849" s="2" t="e">
        <f>IF(Table13[[#This Row],[Gender]]="F",Table13[[#This Row],[Diameter]],NA())</f>
        <v>#N/A</v>
      </c>
      <c r="AF849" s="2">
        <f>IF(Table13[[#This Row],[Gender]]="I",Table13[[#This Row],[Diameter]],NA())</f>
        <v>0.21</v>
      </c>
    </row>
    <row r="850" spans="1:32" x14ac:dyDescent="0.2">
      <c r="A850">
        <v>3715</v>
      </c>
      <c r="B850" t="s">
        <v>0</v>
      </c>
      <c r="C850">
        <v>0.72499999999999998</v>
      </c>
      <c r="D850">
        <v>0.56000000000000005</v>
      </c>
      <c r="E850">
        <v>0.185</v>
      </c>
      <c r="F850">
        <v>1.792</v>
      </c>
      <c r="G850">
        <v>0.873</v>
      </c>
      <c r="H850">
        <v>0.36699999999999999</v>
      </c>
      <c r="I850">
        <v>0.435</v>
      </c>
      <c r="J850">
        <v>11</v>
      </c>
      <c r="K850">
        <v>5</v>
      </c>
      <c r="L850" t="s">
        <v>26</v>
      </c>
      <c r="M850" t="s">
        <v>27</v>
      </c>
      <c r="N850" t="s">
        <v>28</v>
      </c>
      <c r="O850">
        <v>3</v>
      </c>
      <c r="P850" t="s">
        <v>48</v>
      </c>
      <c r="Q850">
        <v>3.6</v>
      </c>
      <c r="R850" t="str" cm="1">
        <f t="array" ref="R8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50" t="e">
        <f>IF(Table13[[#This Row],[Category All]]="Category 1", "Yes",NA())</f>
        <v>#N/A</v>
      </c>
      <c r="T850" t="e">
        <f>IF(Table13[[#This Row],[Category All]]="Category 2", "Yes",NA())</f>
        <v>#N/A</v>
      </c>
      <c r="U850" t="str">
        <f>IF(Table13[[#This Row],[Category All]]="Category 3", "Yes",NA())</f>
        <v>Yes</v>
      </c>
      <c r="V850">
        <f>SUM(1,(1/3)*(Table13[[#This Row],[Length]]-0.5),(1/3)*(Table13[[#This Row],[Diameter]]-0.4),(1/3)*(Table13[[#This Row],[Height]]-0.4)*Table13[[#This Row],[Whole_weight]]*0.5)</f>
        <v>1.06412</v>
      </c>
      <c r="W850" cm="1">
        <f t="array" ref="W8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1.06412</v>
      </c>
      <c r="X850" t="e">
        <f>IF(Table13[[#This Row],[Category All]]="Category 1",Table13[[#This Row],[Base Abalone Value]]*1.5,NA())</f>
        <v>#N/A</v>
      </c>
      <c r="Y850" t="e">
        <f>IF(Table13[[#This Row],[Category All]]="Category 2",Table13[[#This Row],[Base Abalone Value]]*0.8,NA())</f>
        <v>#N/A</v>
      </c>
      <c r="Z850">
        <f>IF(Table13[[#This Row],[Category All]]="Category 3",Table13[[#This Row],[Base Abalone Value]],NA())</f>
        <v>1.06412</v>
      </c>
      <c r="AA850" s="2" t="e">
        <f>IF(Table13[[#This Row],[Gender]]="M",Table13[[#This Row],[Whole_weight]],NA())</f>
        <v>#N/A</v>
      </c>
      <c r="AB850" s="2">
        <f>IF(Table13[[#This Row],[Gender]]="F",Table13[[#This Row],[Whole_weight]],NA())</f>
        <v>1.792</v>
      </c>
      <c r="AC850" s="2" t="e">
        <f>IF(Table13[[#This Row],[Gender]]="I",Table13[[#This Row],[Whole_weight]],NA())</f>
        <v>#N/A</v>
      </c>
      <c r="AD850" s="2" t="e">
        <f>IF(Table13[[#This Row],[Gender]]="M",Table13[[#This Row],[Diameter]],NA())</f>
        <v>#N/A</v>
      </c>
      <c r="AE850" s="2">
        <f>IF(Table13[[#This Row],[Gender]]="F",Table13[[#This Row],[Diameter]],NA())</f>
        <v>0.56000000000000005</v>
      </c>
      <c r="AF850" s="2" t="e">
        <f>IF(Table13[[#This Row],[Gender]]="I",Table13[[#This Row],[Diameter]],NA())</f>
        <v>#N/A</v>
      </c>
    </row>
    <row r="851" spans="1:32" x14ac:dyDescent="0.2">
      <c r="A851">
        <v>2179</v>
      </c>
      <c r="B851" t="s">
        <v>0</v>
      </c>
      <c r="C851">
        <v>0.59499999999999997</v>
      </c>
      <c r="D851">
        <v>0.48</v>
      </c>
      <c r="E851">
        <v>0.2</v>
      </c>
      <c r="F851">
        <v>0.97499999999999998</v>
      </c>
      <c r="G851">
        <v>0.35799999999999998</v>
      </c>
      <c r="H851">
        <v>0.20349999999999999</v>
      </c>
      <c r="I851">
        <v>0.34</v>
      </c>
      <c r="J851">
        <v>15</v>
      </c>
      <c r="K851">
        <v>13</v>
      </c>
      <c r="L851" t="s">
        <v>12</v>
      </c>
      <c r="M851" t="s">
        <v>13</v>
      </c>
      <c r="N851" t="s">
        <v>3</v>
      </c>
      <c r="O851">
        <v>5</v>
      </c>
      <c r="P851" t="s">
        <v>14</v>
      </c>
      <c r="Q851">
        <v>12.8</v>
      </c>
      <c r="R851" t="str" cm="1">
        <f t="array" ref="R8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51" t="e">
        <f>IF(Table13[[#This Row],[Category All]]="Category 1", "Yes",NA())</f>
        <v>#N/A</v>
      </c>
      <c r="T851" t="str">
        <f>IF(Table13[[#This Row],[Category All]]="Category 2", "Yes",NA())</f>
        <v>Yes</v>
      </c>
      <c r="U851" t="e">
        <f>IF(Table13[[#This Row],[Category All]]="Category 3", "Yes",NA())</f>
        <v>#N/A</v>
      </c>
      <c r="V851">
        <f>SUM(1,(1/3)*(Table13[[#This Row],[Length]]-0.5),(1/3)*(Table13[[#This Row],[Diameter]]-0.4),(1/3)*(Table13[[#This Row],[Height]]-0.4)*Table13[[#This Row],[Whole_weight]]*0.5)</f>
        <v>1.0258333333333334</v>
      </c>
      <c r="W851" cm="1">
        <f t="array" ref="W8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0.82066666666666677</v>
      </c>
      <c r="X851" t="e">
        <f>IF(Table13[[#This Row],[Category All]]="Category 1",Table13[[#This Row],[Base Abalone Value]]*1.5,NA())</f>
        <v>#N/A</v>
      </c>
      <c r="Y851">
        <f>IF(Table13[[#This Row],[Category All]]="Category 2",Table13[[#This Row],[Base Abalone Value]]*0.8,NA())</f>
        <v>0.82066666666666677</v>
      </c>
      <c r="Z851" t="e">
        <f>IF(Table13[[#This Row],[Category All]]="Category 3",Table13[[#This Row],[Base Abalone Value]],NA())</f>
        <v>#N/A</v>
      </c>
      <c r="AA851" s="2" t="e">
        <f>IF(Table13[[#This Row],[Gender]]="M",Table13[[#This Row],[Whole_weight]],NA())</f>
        <v>#N/A</v>
      </c>
      <c r="AB851" s="2">
        <f>IF(Table13[[#This Row],[Gender]]="F",Table13[[#This Row],[Whole_weight]],NA())</f>
        <v>0.97499999999999998</v>
      </c>
      <c r="AC851" s="2" t="e">
        <f>IF(Table13[[#This Row],[Gender]]="I",Table13[[#This Row],[Whole_weight]],NA())</f>
        <v>#N/A</v>
      </c>
      <c r="AD851" s="2" t="e">
        <f>IF(Table13[[#This Row],[Gender]]="M",Table13[[#This Row],[Diameter]],NA())</f>
        <v>#N/A</v>
      </c>
      <c r="AE851" s="2">
        <f>IF(Table13[[#This Row],[Gender]]="F",Table13[[#This Row],[Diameter]],NA())</f>
        <v>0.48</v>
      </c>
      <c r="AF851" s="2" t="e">
        <f>IF(Table13[[#This Row],[Gender]]="I",Table13[[#This Row],[Diameter]],NA())</f>
        <v>#N/A</v>
      </c>
    </row>
    <row r="852" spans="1:32" x14ac:dyDescent="0.2">
      <c r="A852">
        <v>3609</v>
      </c>
      <c r="B852" t="s">
        <v>15</v>
      </c>
      <c r="C852">
        <v>0.54500000000000004</v>
      </c>
      <c r="D852">
        <v>0.43</v>
      </c>
      <c r="E852">
        <v>0.155</v>
      </c>
      <c r="F852">
        <v>0.80349999999999999</v>
      </c>
      <c r="G852">
        <v>0.40899999999999997</v>
      </c>
      <c r="H852">
        <v>0.14399999999999999</v>
      </c>
      <c r="I852">
        <v>0.22800000000000001</v>
      </c>
      <c r="J852">
        <v>7</v>
      </c>
      <c r="K852">
        <v>2</v>
      </c>
      <c r="L852" t="s">
        <v>32</v>
      </c>
      <c r="M852" t="s">
        <v>33</v>
      </c>
      <c r="N852" t="s">
        <v>34</v>
      </c>
      <c r="O852">
        <v>3</v>
      </c>
      <c r="P852" t="s">
        <v>48</v>
      </c>
      <c r="Q852">
        <v>3.6</v>
      </c>
      <c r="R852" t="str" cm="1">
        <f t="array" ref="R8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52" t="e">
        <f>IF(Table13[[#This Row],[Category All]]="Category 1", "Yes",NA())</f>
        <v>#N/A</v>
      </c>
      <c r="T852" t="e">
        <f>IF(Table13[[#This Row],[Category All]]="Category 2", "Yes",NA())</f>
        <v>#N/A</v>
      </c>
      <c r="U852" t="str">
        <f>IF(Table13[[#This Row],[Category All]]="Category 3", "Yes",NA())</f>
        <v>Yes</v>
      </c>
      <c r="V852">
        <f>SUM(1,(1/3)*(Table13[[#This Row],[Length]]-0.5),(1/3)*(Table13[[#This Row],[Diameter]]-0.4),(1/3)*(Table13[[#This Row],[Height]]-0.4)*Table13[[#This Row],[Whole_weight]]*0.5)</f>
        <v>0.99219041666666685</v>
      </c>
      <c r="W852" cm="1">
        <f t="array" ref="W8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0.99219041666666685</v>
      </c>
      <c r="X852" t="e">
        <f>IF(Table13[[#This Row],[Category All]]="Category 1",Table13[[#This Row],[Base Abalone Value]]*1.5,NA())</f>
        <v>#N/A</v>
      </c>
      <c r="Y852" t="e">
        <f>IF(Table13[[#This Row],[Category All]]="Category 2",Table13[[#This Row],[Base Abalone Value]]*0.8,NA())</f>
        <v>#N/A</v>
      </c>
      <c r="Z852">
        <f>IF(Table13[[#This Row],[Category All]]="Category 3",Table13[[#This Row],[Base Abalone Value]],NA())</f>
        <v>0.99219041666666685</v>
      </c>
      <c r="AA852" s="2">
        <f>IF(Table13[[#This Row],[Gender]]="M",Table13[[#This Row],[Whole_weight]],NA())</f>
        <v>0.80349999999999999</v>
      </c>
      <c r="AB852" s="2" t="e">
        <f>IF(Table13[[#This Row],[Gender]]="F",Table13[[#This Row],[Whole_weight]],NA())</f>
        <v>#N/A</v>
      </c>
      <c r="AC852" s="2" t="e">
        <f>IF(Table13[[#This Row],[Gender]]="I",Table13[[#This Row],[Whole_weight]],NA())</f>
        <v>#N/A</v>
      </c>
      <c r="AD852" s="2">
        <f>IF(Table13[[#This Row],[Gender]]="M",Table13[[#This Row],[Diameter]],NA())</f>
        <v>0.43</v>
      </c>
      <c r="AE852" s="2" t="e">
        <f>IF(Table13[[#This Row],[Gender]]="F",Table13[[#This Row],[Diameter]],NA())</f>
        <v>#N/A</v>
      </c>
      <c r="AF852" s="2" t="e">
        <f>IF(Table13[[#This Row],[Gender]]="I",Table13[[#This Row],[Diameter]],NA())</f>
        <v>#N/A</v>
      </c>
    </row>
    <row r="853" spans="1:32" x14ac:dyDescent="0.2">
      <c r="A853">
        <v>769</v>
      </c>
      <c r="B853" t="s">
        <v>0</v>
      </c>
      <c r="C853">
        <v>0.55000000000000004</v>
      </c>
      <c r="D853">
        <v>0.43</v>
      </c>
      <c r="E853">
        <v>0.155</v>
      </c>
      <c r="F853">
        <v>0.78500000000000003</v>
      </c>
      <c r="G853">
        <v>0.28899999999999998</v>
      </c>
      <c r="H853">
        <v>0.22700000000000001</v>
      </c>
      <c r="I853">
        <v>0.23300000000000001</v>
      </c>
      <c r="J853">
        <v>11</v>
      </c>
      <c r="K853">
        <v>3</v>
      </c>
      <c r="L853" t="s">
        <v>43</v>
      </c>
      <c r="M853" t="s">
        <v>44</v>
      </c>
      <c r="N853" t="s">
        <v>45</v>
      </c>
      <c r="O853">
        <v>3</v>
      </c>
      <c r="P853" t="s">
        <v>48</v>
      </c>
      <c r="Q853">
        <v>3.6</v>
      </c>
      <c r="R853" t="str" cm="1">
        <f t="array" ref="R8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53" t="e">
        <f>IF(Table13[[#This Row],[Category All]]="Category 1", "Yes",NA())</f>
        <v>#N/A</v>
      </c>
      <c r="T853" t="str">
        <f>IF(Table13[[#This Row],[Category All]]="Category 2", "Yes",NA())</f>
        <v>Yes</v>
      </c>
      <c r="U853" t="e">
        <f>IF(Table13[[#This Row],[Category All]]="Category 3", "Yes",NA())</f>
        <v>#N/A</v>
      </c>
      <c r="V853">
        <f>SUM(1,(1/3)*(Table13[[#This Row],[Length]]-0.5),(1/3)*(Table13[[#This Row],[Diameter]]-0.4),(1/3)*(Table13[[#This Row],[Height]]-0.4)*Table13[[#This Row],[Whole_weight]]*0.5)</f>
        <v>0.9946124999999999</v>
      </c>
      <c r="W853" cm="1">
        <f t="array" ref="W8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0.79569000000000001</v>
      </c>
      <c r="X853" t="e">
        <f>IF(Table13[[#This Row],[Category All]]="Category 1",Table13[[#This Row],[Base Abalone Value]]*1.5,NA())</f>
        <v>#N/A</v>
      </c>
      <c r="Y853">
        <f>IF(Table13[[#This Row],[Category All]]="Category 2",Table13[[#This Row],[Base Abalone Value]]*0.8,NA())</f>
        <v>0.79569000000000001</v>
      </c>
      <c r="Z853" t="e">
        <f>IF(Table13[[#This Row],[Category All]]="Category 3",Table13[[#This Row],[Base Abalone Value]],NA())</f>
        <v>#N/A</v>
      </c>
      <c r="AA853" s="2" t="e">
        <f>IF(Table13[[#This Row],[Gender]]="M",Table13[[#This Row],[Whole_weight]],NA())</f>
        <v>#N/A</v>
      </c>
      <c r="AB853" s="2">
        <f>IF(Table13[[#This Row],[Gender]]="F",Table13[[#This Row],[Whole_weight]],NA())</f>
        <v>0.78500000000000003</v>
      </c>
      <c r="AC853" s="2" t="e">
        <f>IF(Table13[[#This Row],[Gender]]="I",Table13[[#This Row],[Whole_weight]],NA())</f>
        <v>#N/A</v>
      </c>
      <c r="AD853" s="2" t="e">
        <f>IF(Table13[[#This Row],[Gender]]="M",Table13[[#This Row],[Diameter]],NA())</f>
        <v>#N/A</v>
      </c>
      <c r="AE853" s="2">
        <f>IF(Table13[[#This Row],[Gender]]="F",Table13[[#This Row],[Diameter]],NA())</f>
        <v>0.43</v>
      </c>
      <c r="AF853" s="2" t="e">
        <f>IF(Table13[[#This Row],[Gender]]="I",Table13[[#This Row],[Diameter]],NA())</f>
        <v>#N/A</v>
      </c>
    </row>
    <row r="854" spans="1:32" x14ac:dyDescent="0.2">
      <c r="A854">
        <v>4092</v>
      </c>
      <c r="B854" t="s">
        <v>15</v>
      </c>
      <c r="C854">
        <v>0.625</v>
      </c>
      <c r="D854">
        <v>0.5</v>
      </c>
      <c r="E854">
        <v>0.18</v>
      </c>
      <c r="F854">
        <v>1.3705000000000001</v>
      </c>
      <c r="G854">
        <v>0.64500000000000002</v>
      </c>
      <c r="H854">
        <v>0.30299999999999999</v>
      </c>
      <c r="I854">
        <v>0.3705</v>
      </c>
      <c r="J854">
        <v>12</v>
      </c>
      <c r="K854">
        <v>2</v>
      </c>
      <c r="L854" t="s">
        <v>32</v>
      </c>
      <c r="M854" t="s">
        <v>33</v>
      </c>
      <c r="N854" t="s">
        <v>34</v>
      </c>
      <c r="O854">
        <v>8</v>
      </c>
      <c r="P854" t="s">
        <v>19</v>
      </c>
      <c r="Q854">
        <v>12.3</v>
      </c>
      <c r="R854" t="str" cm="1">
        <f t="array" ref="R8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54" t="e">
        <f>IF(Table13[[#This Row],[Category All]]="Category 1", "Yes",NA())</f>
        <v>#N/A</v>
      </c>
      <c r="T854" t="e">
        <f>IF(Table13[[#This Row],[Category All]]="Category 2", "Yes",NA())</f>
        <v>#N/A</v>
      </c>
      <c r="U854" t="str">
        <f>IF(Table13[[#This Row],[Category All]]="Category 3", "Yes",NA())</f>
        <v>Yes</v>
      </c>
      <c r="V854">
        <f>SUM(1,(1/3)*(Table13[[#This Row],[Length]]-0.5),(1/3)*(Table13[[#This Row],[Diameter]]-0.4),(1/3)*(Table13[[#This Row],[Height]]-0.4)*Table13[[#This Row],[Whole_weight]]*0.5)</f>
        <v>1.0247483333333336</v>
      </c>
      <c r="W854" cm="1">
        <f t="array" ref="W8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1.0247483333333336</v>
      </c>
      <c r="X854" t="e">
        <f>IF(Table13[[#This Row],[Category All]]="Category 1",Table13[[#This Row],[Base Abalone Value]]*1.5,NA())</f>
        <v>#N/A</v>
      </c>
      <c r="Y854" t="e">
        <f>IF(Table13[[#This Row],[Category All]]="Category 2",Table13[[#This Row],[Base Abalone Value]]*0.8,NA())</f>
        <v>#N/A</v>
      </c>
      <c r="Z854">
        <f>IF(Table13[[#This Row],[Category All]]="Category 3",Table13[[#This Row],[Base Abalone Value]],NA())</f>
        <v>1.0247483333333336</v>
      </c>
      <c r="AA854" s="2">
        <f>IF(Table13[[#This Row],[Gender]]="M",Table13[[#This Row],[Whole_weight]],NA())</f>
        <v>1.3705000000000001</v>
      </c>
      <c r="AB854" s="2" t="e">
        <f>IF(Table13[[#This Row],[Gender]]="F",Table13[[#This Row],[Whole_weight]],NA())</f>
        <v>#N/A</v>
      </c>
      <c r="AC854" s="2" t="e">
        <f>IF(Table13[[#This Row],[Gender]]="I",Table13[[#This Row],[Whole_weight]],NA())</f>
        <v>#N/A</v>
      </c>
      <c r="AD854" s="2">
        <f>IF(Table13[[#This Row],[Gender]]="M",Table13[[#This Row],[Diameter]],NA())</f>
        <v>0.5</v>
      </c>
      <c r="AE854" s="2" t="e">
        <f>IF(Table13[[#This Row],[Gender]]="F",Table13[[#This Row],[Diameter]],NA())</f>
        <v>#N/A</v>
      </c>
      <c r="AF854" s="2" t="e">
        <f>IF(Table13[[#This Row],[Gender]]="I",Table13[[#This Row],[Diameter]],NA())</f>
        <v>#N/A</v>
      </c>
    </row>
    <row r="855" spans="1:32" x14ac:dyDescent="0.2">
      <c r="A855">
        <v>1946</v>
      </c>
      <c r="B855" t="s">
        <v>0</v>
      </c>
      <c r="C855">
        <v>0.63500000000000001</v>
      </c>
      <c r="D855">
        <v>0.505</v>
      </c>
      <c r="E855">
        <v>0.155</v>
      </c>
      <c r="F855">
        <v>1.2895000000000001</v>
      </c>
      <c r="G855">
        <v>0.59399999999999997</v>
      </c>
      <c r="H855">
        <v>0.314</v>
      </c>
      <c r="I855">
        <v>0.34499999999999997</v>
      </c>
      <c r="J855">
        <v>11</v>
      </c>
      <c r="K855">
        <v>10</v>
      </c>
      <c r="L855" t="s">
        <v>16</v>
      </c>
      <c r="M855" t="s">
        <v>17</v>
      </c>
      <c r="N855" t="s">
        <v>18</v>
      </c>
      <c r="O855">
        <v>5</v>
      </c>
      <c r="P855" t="s">
        <v>14</v>
      </c>
      <c r="Q855">
        <v>12.8</v>
      </c>
      <c r="R855" t="str" cm="1">
        <f t="array" ref="R8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55" t="e">
        <f>IF(Table13[[#This Row],[Category All]]="Category 1", "Yes",NA())</f>
        <v>#N/A</v>
      </c>
      <c r="T855" t="e">
        <f>IF(Table13[[#This Row],[Category All]]="Category 2", "Yes",NA())</f>
        <v>#N/A</v>
      </c>
      <c r="U855" t="str">
        <f>IF(Table13[[#This Row],[Category All]]="Category 3", "Yes",NA())</f>
        <v>Yes</v>
      </c>
      <c r="V855">
        <f>SUM(1,(1/3)*(Table13[[#This Row],[Length]]-0.5),(1/3)*(Table13[[#This Row],[Diameter]]-0.4),(1/3)*(Table13[[#This Row],[Height]]-0.4)*Table13[[#This Row],[Whole_weight]]*0.5)</f>
        <v>1.0273454166666665</v>
      </c>
      <c r="W855" cm="1">
        <f t="array" ref="W8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1.0273454166666665</v>
      </c>
      <c r="X855" t="e">
        <f>IF(Table13[[#This Row],[Category All]]="Category 1",Table13[[#This Row],[Base Abalone Value]]*1.5,NA())</f>
        <v>#N/A</v>
      </c>
      <c r="Y855" t="e">
        <f>IF(Table13[[#This Row],[Category All]]="Category 2",Table13[[#This Row],[Base Abalone Value]]*0.8,NA())</f>
        <v>#N/A</v>
      </c>
      <c r="Z855">
        <f>IF(Table13[[#This Row],[Category All]]="Category 3",Table13[[#This Row],[Base Abalone Value]],NA())</f>
        <v>1.0273454166666665</v>
      </c>
      <c r="AA855" s="2" t="e">
        <f>IF(Table13[[#This Row],[Gender]]="M",Table13[[#This Row],[Whole_weight]],NA())</f>
        <v>#N/A</v>
      </c>
      <c r="AB855" s="2">
        <f>IF(Table13[[#This Row],[Gender]]="F",Table13[[#This Row],[Whole_weight]],NA())</f>
        <v>1.2895000000000001</v>
      </c>
      <c r="AC855" s="2" t="e">
        <f>IF(Table13[[#This Row],[Gender]]="I",Table13[[#This Row],[Whole_weight]],NA())</f>
        <v>#N/A</v>
      </c>
      <c r="AD855" s="2" t="e">
        <f>IF(Table13[[#This Row],[Gender]]="M",Table13[[#This Row],[Diameter]],NA())</f>
        <v>#N/A</v>
      </c>
      <c r="AE855" s="2">
        <f>IF(Table13[[#This Row],[Gender]]="F",Table13[[#This Row],[Diameter]],NA())</f>
        <v>0.505</v>
      </c>
      <c r="AF855" s="2" t="e">
        <f>IF(Table13[[#This Row],[Gender]]="I",Table13[[#This Row],[Diameter]],NA())</f>
        <v>#N/A</v>
      </c>
    </row>
    <row r="856" spans="1:32" x14ac:dyDescent="0.2">
      <c r="A856">
        <v>4121</v>
      </c>
      <c r="B856" t="s">
        <v>15</v>
      </c>
      <c r="C856">
        <v>0.35</v>
      </c>
      <c r="D856">
        <v>0.26500000000000001</v>
      </c>
      <c r="E856">
        <v>0.09</v>
      </c>
      <c r="F856">
        <v>0.19700000000000001</v>
      </c>
      <c r="G856">
        <v>7.2999999999999995E-2</v>
      </c>
      <c r="H856">
        <v>3.6499999999999998E-2</v>
      </c>
      <c r="I856">
        <v>7.6999999999999999E-2</v>
      </c>
      <c r="J856">
        <v>7</v>
      </c>
      <c r="K856">
        <v>2</v>
      </c>
      <c r="L856" t="s">
        <v>32</v>
      </c>
      <c r="M856" t="s">
        <v>33</v>
      </c>
      <c r="N856" t="s">
        <v>34</v>
      </c>
      <c r="O856">
        <v>10</v>
      </c>
      <c r="P856" t="s">
        <v>38</v>
      </c>
      <c r="Q856">
        <v>24.1</v>
      </c>
      <c r="R856" t="str" cm="1">
        <f t="array" ref="R8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56" t="e">
        <f>IF(Table13[[#This Row],[Category All]]="Category 1", "Yes",NA())</f>
        <v>#N/A</v>
      </c>
      <c r="T856" t="str">
        <f>IF(Table13[[#This Row],[Category All]]="Category 2", "Yes",NA())</f>
        <v>Yes</v>
      </c>
      <c r="U856" t="e">
        <f>IF(Table13[[#This Row],[Category All]]="Category 3", "Yes",NA())</f>
        <v>#N/A</v>
      </c>
      <c r="V856">
        <f>SUM(1,(1/3)*(Table13[[#This Row],[Length]]-0.5),(1/3)*(Table13[[#This Row],[Diameter]]-0.4),(1/3)*(Table13[[#This Row],[Height]]-0.4)*Table13[[#This Row],[Whole_weight]]*0.5)</f>
        <v>0.89482166666666663</v>
      </c>
      <c r="W856" cm="1">
        <f t="array" ref="W8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0.71585733333333335</v>
      </c>
      <c r="X856" t="e">
        <f>IF(Table13[[#This Row],[Category All]]="Category 1",Table13[[#This Row],[Base Abalone Value]]*1.5,NA())</f>
        <v>#N/A</v>
      </c>
      <c r="Y856">
        <f>IF(Table13[[#This Row],[Category All]]="Category 2",Table13[[#This Row],[Base Abalone Value]]*0.8,NA())</f>
        <v>0.71585733333333335</v>
      </c>
      <c r="Z856" t="e">
        <f>IF(Table13[[#This Row],[Category All]]="Category 3",Table13[[#This Row],[Base Abalone Value]],NA())</f>
        <v>#N/A</v>
      </c>
      <c r="AA856" s="2">
        <f>IF(Table13[[#This Row],[Gender]]="M",Table13[[#This Row],[Whole_weight]],NA())</f>
        <v>0.19700000000000001</v>
      </c>
      <c r="AB856" s="2" t="e">
        <f>IF(Table13[[#This Row],[Gender]]="F",Table13[[#This Row],[Whole_weight]],NA())</f>
        <v>#N/A</v>
      </c>
      <c r="AC856" s="2" t="e">
        <f>IF(Table13[[#This Row],[Gender]]="I",Table13[[#This Row],[Whole_weight]],NA())</f>
        <v>#N/A</v>
      </c>
      <c r="AD856" s="2">
        <f>IF(Table13[[#This Row],[Gender]]="M",Table13[[#This Row],[Diameter]],NA())</f>
        <v>0.26500000000000001</v>
      </c>
      <c r="AE856" s="2" t="e">
        <f>IF(Table13[[#This Row],[Gender]]="F",Table13[[#This Row],[Diameter]],NA())</f>
        <v>#N/A</v>
      </c>
      <c r="AF856" s="2" t="e">
        <f>IF(Table13[[#This Row],[Gender]]="I",Table13[[#This Row],[Diameter]],NA())</f>
        <v>#N/A</v>
      </c>
    </row>
    <row r="857" spans="1:32" x14ac:dyDescent="0.2">
      <c r="A857">
        <v>939</v>
      </c>
      <c r="B857" t="s">
        <v>11</v>
      </c>
      <c r="C857">
        <v>0.45500000000000002</v>
      </c>
      <c r="D857">
        <v>0.375</v>
      </c>
      <c r="E857">
        <v>0.12</v>
      </c>
      <c r="F857">
        <v>0.497</v>
      </c>
      <c r="G857">
        <v>0.23549999999999999</v>
      </c>
      <c r="H857">
        <v>0.1055</v>
      </c>
      <c r="I857">
        <v>0.1295</v>
      </c>
      <c r="J857">
        <v>6</v>
      </c>
      <c r="K857">
        <v>10</v>
      </c>
      <c r="L857" t="s">
        <v>16</v>
      </c>
      <c r="M857" t="s">
        <v>17</v>
      </c>
      <c r="N857" t="s">
        <v>18</v>
      </c>
      <c r="O857">
        <v>4</v>
      </c>
      <c r="P857" t="s">
        <v>10</v>
      </c>
      <c r="Q857">
        <v>6.1</v>
      </c>
      <c r="R857" t="str" cm="1">
        <f t="array" ref="R8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57" t="e">
        <f>IF(Table13[[#This Row],[Category All]]="Category 1", "Yes",NA())</f>
        <v>#N/A</v>
      </c>
      <c r="T857" t="str">
        <f>IF(Table13[[#This Row],[Category All]]="Category 2", "Yes",NA())</f>
        <v>Yes</v>
      </c>
      <c r="U857" t="e">
        <f>IF(Table13[[#This Row],[Category All]]="Category 3", "Yes",NA())</f>
        <v>#N/A</v>
      </c>
      <c r="V857">
        <f>SUM(1,(1/3)*(Table13[[#This Row],[Length]]-0.5),(1/3)*(Table13[[#This Row],[Diameter]]-0.4),(1/3)*(Table13[[#This Row],[Height]]-0.4)*Table13[[#This Row],[Whole_weight]]*0.5)</f>
        <v>0.95347333333333339</v>
      </c>
      <c r="W857" cm="1">
        <f t="array" ref="W8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0.76277866666666672</v>
      </c>
      <c r="X857" t="e">
        <f>IF(Table13[[#This Row],[Category All]]="Category 1",Table13[[#This Row],[Base Abalone Value]]*1.5,NA())</f>
        <v>#N/A</v>
      </c>
      <c r="Y857">
        <f>IF(Table13[[#This Row],[Category All]]="Category 2",Table13[[#This Row],[Base Abalone Value]]*0.8,NA())</f>
        <v>0.76277866666666672</v>
      </c>
      <c r="Z857" t="e">
        <f>IF(Table13[[#This Row],[Category All]]="Category 3",Table13[[#This Row],[Base Abalone Value]],NA())</f>
        <v>#N/A</v>
      </c>
      <c r="AA857" s="2" t="e">
        <f>IF(Table13[[#This Row],[Gender]]="M",Table13[[#This Row],[Whole_weight]],NA())</f>
        <v>#N/A</v>
      </c>
      <c r="AB857" s="2" t="e">
        <f>IF(Table13[[#This Row],[Gender]]="F",Table13[[#This Row],[Whole_weight]],NA())</f>
        <v>#N/A</v>
      </c>
      <c r="AC857" s="2">
        <f>IF(Table13[[#This Row],[Gender]]="I",Table13[[#This Row],[Whole_weight]],NA())</f>
        <v>0.497</v>
      </c>
      <c r="AD857" s="2" t="e">
        <f>IF(Table13[[#This Row],[Gender]]="M",Table13[[#This Row],[Diameter]],NA())</f>
        <v>#N/A</v>
      </c>
      <c r="AE857" s="2" t="e">
        <f>IF(Table13[[#This Row],[Gender]]="F",Table13[[#This Row],[Diameter]],NA())</f>
        <v>#N/A</v>
      </c>
      <c r="AF857" s="2">
        <f>IF(Table13[[#This Row],[Gender]]="I",Table13[[#This Row],[Diameter]],NA())</f>
        <v>0.375</v>
      </c>
    </row>
    <row r="858" spans="1:32" x14ac:dyDescent="0.2">
      <c r="A858">
        <v>2933</v>
      </c>
      <c r="B858" t="s">
        <v>15</v>
      </c>
      <c r="C858">
        <v>0.61499999999999999</v>
      </c>
      <c r="D858">
        <v>0.45500000000000002</v>
      </c>
      <c r="E858">
        <v>0.15</v>
      </c>
      <c r="F858">
        <v>0.9335</v>
      </c>
      <c r="G858">
        <v>0.38200000000000001</v>
      </c>
      <c r="H858">
        <v>0.247</v>
      </c>
      <c r="I858">
        <v>0.26150000000000001</v>
      </c>
      <c r="J858">
        <v>10</v>
      </c>
      <c r="K858">
        <v>8</v>
      </c>
      <c r="L858" t="s">
        <v>29</v>
      </c>
      <c r="M858" t="s">
        <v>30</v>
      </c>
      <c r="N858" t="s">
        <v>31</v>
      </c>
      <c r="O858">
        <v>10</v>
      </c>
      <c r="P858" t="s">
        <v>38</v>
      </c>
      <c r="Q858">
        <v>24.1</v>
      </c>
      <c r="R858" t="str" cm="1">
        <f t="array" ref="R8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58" t="e">
        <f>IF(Table13[[#This Row],[Category All]]="Category 1", "Yes",NA())</f>
        <v>#N/A</v>
      </c>
      <c r="T858" t="str">
        <f>IF(Table13[[#This Row],[Category All]]="Category 2", "Yes",NA())</f>
        <v>Yes</v>
      </c>
      <c r="U858" t="e">
        <f>IF(Table13[[#This Row],[Category All]]="Category 3", "Yes",NA())</f>
        <v>#N/A</v>
      </c>
      <c r="V858">
        <f>SUM(1,(1/3)*(Table13[[#This Row],[Length]]-0.5),(1/3)*(Table13[[#This Row],[Diameter]]-0.4),(1/3)*(Table13[[#This Row],[Height]]-0.4)*Table13[[#This Row],[Whole_weight]]*0.5)</f>
        <v>1.0177708333333333</v>
      </c>
      <c r="W858" cm="1">
        <f t="array" ref="W8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0.8142166666666667</v>
      </c>
      <c r="X858" t="e">
        <f>IF(Table13[[#This Row],[Category All]]="Category 1",Table13[[#This Row],[Base Abalone Value]]*1.5,NA())</f>
        <v>#N/A</v>
      </c>
      <c r="Y858">
        <f>IF(Table13[[#This Row],[Category All]]="Category 2",Table13[[#This Row],[Base Abalone Value]]*0.8,NA())</f>
        <v>0.8142166666666667</v>
      </c>
      <c r="Z858" t="e">
        <f>IF(Table13[[#This Row],[Category All]]="Category 3",Table13[[#This Row],[Base Abalone Value]],NA())</f>
        <v>#N/A</v>
      </c>
      <c r="AA858" s="2">
        <f>IF(Table13[[#This Row],[Gender]]="M",Table13[[#This Row],[Whole_weight]],NA())</f>
        <v>0.9335</v>
      </c>
      <c r="AB858" s="2" t="e">
        <f>IF(Table13[[#This Row],[Gender]]="F",Table13[[#This Row],[Whole_weight]],NA())</f>
        <v>#N/A</v>
      </c>
      <c r="AC858" s="2" t="e">
        <f>IF(Table13[[#This Row],[Gender]]="I",Table13[[#This Row],[Whole_weight]],NA())</f>
        <v>#N/A</v>
      </c>
      <c r="AD858" s="2">
        <f>IF(Table13[[#This Row],[Gender]]="M",Table13[[#This Row],[Diameter]],NA())</f>
        <v>0.45500000000000002</v>
      </c>
      <c r="AE858" s="2" t="e">
        <f>IF(Table13[[#This Row],[Gender]]="F",Table13[[#This Row],[Diameter]],NA())</f>
        <v>#N/A</v>
      </c>
      <c r="AF858" s="2" t="e">
        <f>IF(Table13[[#This Row],[Gender]]="I",Table13[[#This Row],[Diameter]],NA())</f>
        <v>#N/A</v>
      </c>
    </row>
    <row r="859" spans="1:32" x14ac:dyDescent="0.2">
      <c r="A859">
        <v>2260</v>
      </c>
      <c r="B859" t="s">
        <v>0</v>
      </c>
      <c r="C859">
        <v>0.59</v>
      </c>
      <c r="D859">
        <v>0.46500000000000002</v>
      </c>
      <c r="E859">
        <v>0.16</v>
      </c>
      <c r="F859">
        <v>1.1005</v>
      </c>
      <c r="G859">
        <v>0.50600000000000001</v>
      </c>
      <c r="H859">
        <v>0.2525</v>
      </c>
      <c r="I859">
        <v>0.29499999999999998</v>
      </c>
      <c r="J859">
        <v>13</v>
      </c>
      <c r="K859">
        <v>15</v>
      </c>
      <c r="L859" t="s">
        <v>49</v>
      </c>
      <c r="M859" t="s">
        <v>50</v>
      </c>
      <c r="N859" t="s">
        <v>3</v>
      </c>
      <c r="O859">
        <v>5</v>
      </c>
      <c r="P859" t="s">
        <v>14</v>
      </c>
      <c r="Q859">
        <v>12.8</v>
      </c>
      <c r="R859" t="str" cm="1">
        <f t="array" ref="R8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59" t="e">
        <f>IF(Table13[[#This Row],[Category All]]="Category 1", "Yes",NA())</f>
        <v>#N/A</v>
      </c>
      <c r="T859" t="e">
        <f>IF(Table13[[#This Row],[Category All]]="Category 2", "Yes",NA())</f>
        <v>#N/A</v>
      </c>
      <c r="U859" t="str">
        <f>IF(Table13[[#This Row],[Category All]]="Category 3", "Yes",NA())</f>
        <v>Yes</v>
      </c>
      <c r="V859">
        <f>SUM(1,(1/3)*(Table13[[#This Row],[Length]]-0.5),(1/3)*(Table13[[#This Row],[Diameter]]-0.4),(1/3)*(Table13[[#This Row],[Height]]-0.4)*Table13[[#This Row],[Whole_weight]]*0.5)</f>
        <v>1.0076466666666668</v>
      </c>
      <c r="W859" cm="1">
        <f t="array" ref="W8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1.0076466666666668</v>
      </c>
      <c r="X859" t="e">
        <f>IF(Table13[[#This Row],[Category All]]="Category 1",Table13[[#This Row],[Base Abalone Value]]*1.5,NA())</f>
        <v>#N/A</v>
      </c>
      <c r="Y859" t="e">
        <f>IF(Table13[[#This Row],[Category All]]="Category 2",Table13[[#This Row],[Base Abalone Value]]*0.8,NA())</f>
        <v>#N/A</v>
      </c>
      <c r="Z859">
        <f>IF(Table13[[#This Row],[Category All]]="Category 3",Table13[[#This Row],[Base Abalone Value]],NA())</f>
        <v>1.0076466666666668</v>
      </c>
      <c r="AA859" s="2" t="e">
        <f>IF(Table13[[#This Row],[Gender]]="M",Table13[[#This Row],[Whole_weight]],NA())</f>
        <v>#N/A</v>
      </c>
      <c r="AB859" s="2">
        <f>IF(Table13[[#This Row],[Gender]]="F",Table13[[#This Row],[Whole_weight]],NA())</f>
        <v>1.1005</v>
      </c>
      <c r="AC859" s="2" t="e">
        <f>IF(Table13[[#This Row],[Gender]]="I",Table13[[#This Row],[Whole_weight]],NA())</f>
        <v>#N/A</v>
      </c>
      <c r="AD859" s="2" t="e">
        <f>IF(Table13[[#This Row],[Gender]]="M",Table13[[#This Row],[Diameter]],NA())</f>
        <v>#N/A</v>
      </c>
      <c r="AE859" s="2">
        <f>IF(Table13[[#This Row],[Gender]]="F",Table13[[#This Row],[Diameter]],NA())</f>
        <v>0.46500000000000002</v>
      </c>
      <c r="AF859" s="2" t="e">
        <f>IF(Table13[[#This Row],[Gender]]="I",Table13[[#This Row],[Diameter]],NA())</f>
        <v>#N/A</v>
      </c>
    </row>
    <row r="860" spans="1:32" x14ac:dyDescent="0.2">
      <c r="A860">
        <v>147</v>
      </c>
      <c r="B860" t="s">
        <v>15</v>
      </c>
      <c r="C860">
        <v>0.46</v>
      </c>
      <c r="D860">
        <v>0.35</v>
      </c>
      <c r="E860">
        <v>0.12</v>
      </c>
      <c r="F860">
        <v>0.51500000000000001</v>
      </c>
      <c r="G860">
        <v>0.224</v>
      </c>
      <c r="H860">
        <v>0.108</v>
      </c>
      <c r="I860">
        <v>0.1565</v>
      </c>
      <c r="J860">
        <v>10</v>
      </c>
      <c r="K860">
        <v>1</v>
      </c>
      <c r="L860" t="s">
        <v>8</v>
      </c>
      <c r="M860" t="s">
        <v>9</v>
      </c>
      <c r="N860" t="s">
        <v>3</v>
      </c>
      <c r="O860">
        <v>6</v>
      </c>
      <c r="P860" t="s">
        <v>47</v>
      </c>
      <c r="Q860">
        <v>14.1</v>
      </c>
      <c r="R860" t="str" cm="1">
        <f t="array" ref="R8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0" t="e">
        <f>IF(Table13[[#This Row],[Category All]]="Category 1", "Yes",NA())</f>
        <v>#N/A</v>
      </c>
      <c r="T860" t="str">
        <f>IF(Table13[[#This Row],[Category All]]="Category 2", "Yes",NA())</f>
        <v>Yes</v>
      </c>
      <c r="U860" t="e">
        <f>IF(Table13[[#This Row],[Category All]]="Category 3", "Yes",NA())</f>
        <v>#N/A</v>
      </c>
      <c r="V860">
        <f>SUM(1,(1/3)*(Table13[[#This Row],[Length]]-0.5),(1/3)*(Table13[[#This Row],[Diameter]]-0.4),(1/3)*(Table13[[#This Row],[Height]]-0.4)*Table13[[#This Row],[Whole_weight]]*0.5)</f>
        <v>0.94596666666666662</v>
      </c>
      <c r="W860" cm="1">
        <f t="array" ref="W8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0.7567733333333333</v>
      </c>
      <c r="X860" t="e">
        <f>IF(Table13[[#This Row],[Category All]]="Category 1",Table13[[#This Row],[Base Abalone Value]]*1.5,NA())</f>
        <v>#N/A</v>
      </c>
      <c r="Y860">
        <f>IF(Table13[[#This Row],[Category All]]="Category 2",Table13[[#This Row],[Base Abalone Value]]*0.8,NA())</f>
        <v>0.7567733333333333</v>
      </c>
      <c r="Z860" t="e">
        <f>IF(Table13[[#This Row],[Category All]]="Category 3",Table13[[#This Row],[Base Abalone Value]],NA())</f>
        <v>#N/A</v>
      </c>
      <c r="AA860" s="2">
        <f>IF(Table13[[#This Row],[Gender]]="M",Table13[[#This Row],[Whole_weight]],NA())</f>
        <v>0.51500000000000001</v>
      </c>
      <c r="AB860" s="2" t="e">
        <f>IF(Table13[[#This Row],[Gender]]="F",Table13[[#This Row],[Whole_weight]],NA())</f>
        <v>#N/A</v>
      </c>
      <c r="AC860" s="2" t="e">
        <f>IF(Table13[[#This Row],[Gender]]="I",Table13[[#This Row],[Whole_weight]],NA())</f>
        <v>#N/A</v>
      </c>
      <c r="AD860" s="2">
        <f>IF(Table13[[#This Row],[Gender]]="M",Table13[[#This Row],[Diameter]],NA())</f>
        <v>0.35</v>
      </c>
      <c r="AE860" s="2" t="e">
        <f>IF(Table13[[#This Row],[Gender]]="F",Table13[[#This Row],[Diameter]],NA())</f>
        <v>#N/A</v>
      </c>
      <c r="AF860" s="2" t="e">
        <f>IF(Table13[[#This Row],[Gender]]="I",Table13[[#This Row],[Diameter]],NA())</f>
        <v>#N/A</v>
      </c>
    </row>
    <row r="861" spans="1:32" x14ac:dyDescent="0.2">
      <c r="A861">
        <v>1110</v>
      </c>
      <c r="B861" t="s">
        <v>15</v>
      </c>
      <c r="C861">
        <v>0.52</v>
      </c>
      <c r="D861">
        <v>0.4</v>
      </c>
      <c r="E861">
        <v>0.14499999999999999</v>
      </c>
      <c r="F861">
        <v>0.77649999999999997</v>
      </c>
      <c r="G861">
        <v>0.35249999999999998</v>
      </c>
      <c r="H861">
        <v>0.1845</v>
      </c>
      <c r="I861">
        <v>0.185</v>
      </c>
      <c r="J861">
        <v>9</v>
      </c>
      <c r="K861">
        <v>4</v>
      </c>
      <c r="L861" t="s">
        <v>52</v>
      </c>
      <c r="M861" t="s">
        <v>53</v>
      </c>
      <c r="N861" t="s">
        <v>54</v>
      </c>
      <c r="O861">
        <v>5</v>
      </c>
      <c r="P861" t="s">
        <v>14</v>
      </c>
      <c r="Q861">
        <v>12.8</v>
      </c>
      <c r="R861" t="str" cm="1">
        <f t="array" ref="R8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1" t="e">
        <f>IF(Table13[[#This Row],[Category All]]="Category 1", "Yes",NA())</f>
        <v>#N/A</v>
      </c>
      <c r="T861" t="str">
        <f>IF(Table13[[#This Row],[Category All]]="Category 2", "Yes",NA())</f>
        <v>Yes</v>
      </c>
      <c r="U861" t="e">
        <f>IF(Table13[[#This Row],[Category All]]="Category 3", "Yes",NA())</f>
        <v>#N/A</v>
      </c>
      <c r="V861">
        <f>SUM(1,(1/3)*(Table13[[#This Row],[Length]]-0.5),(1/3)*(Table13[[#This Row],[Diameter]]-0.4),(1/3)*(Table13[[#This Row],[Height]]-0.4)*Table13[[#This Row],[Whole_weight]]*0.5)</f>
        <v>0.97366541666666662</v>
      </c>
      <c r="W861" cm="1">
        <f t="array" ref="W8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0.77893233333333334</v>
      </c>
      <c r="X861" t="e">
        <f>IF(Table13[[#This Row],[Category All]]="Category 1",Table13[[#This Row],[Base Abalone Value]]*1.5,NA())</f>
        <v>#N/A</v>
      </c>
      <c r="Y861">
        <f>IF(Table13[[#This Row],[Category All]]="Category 2",Table13[[#This Row],[Base Abalone Value]]*0.8,NA())</f>
        <v>0.77893233333333334</v>
      </c>
      <c r="Z861" t="e">
        <f>IF(Table13[[#This Row],[Category All]]="Category 3",Table13[[#This Row],[Base Abalone Value]],NA())</f>
        <v>#N/A</v>
      </c>
      <c r="AA861" s="2">
        <f>IF(Table13[[#This Row],[Gender]]="M",Table13[[#This Row],[Whole_weight]],NA())</f>
        <v>0.77649999999999997</v>
      </c>
      <c r="AB861" s="2" t="e">
        <f>IF(Table13[[#This Row],[Gender]]="F",Table13[[#This Row],[Whole_weight]],NA())</f>
        <v>#N/A</v>
      </c>
      <c r="AC861" s="2" t="e">
        <f>IF(Table13[[#This Row],[Gender]]="I",Table13[[#This Row],[Whole_weight]],NA())</f>
        <v>#N/A</v>
      </c>
      <c r="AD861" s="2">
        <f>IF(Table13[[#This Row],[Gender]]="M",Table13[[#This Row],[Diameter]],NA())</f>
        <v>0.4</v>
      </c>
      <c r="AE861" s="2" t="e">
        <f>IF(Table13[[#This Row],[Gender]]="F",Table13[[#This Row],[Diameter]],NA())</f>
        <v>#N/A</v>
      </c>
      <c r="AF861" s="2" t="e">
        <f>IF(Table13[[#This Row],[Gender]]="I",Table13[[#This Row],[Diameter]],NA())</f>
        <v>#N/A</v>
      </c>
    </row>
    <row r="862" spans="1:32" x14ac:dyDescent="0.2">
      <c r="A862">
        <v>1289</v>
      </c>
      <c r="B862" t="s">
        <v>11</v>
      </c>
      <c r="C862">
        <v>0.505</v>
      </c>
      <c r="D862">
        <v>0.38</v>
      </c>
      <c r="E862">
        <v>0.12</v>
      </c>
      <c r="F862">
        <v>0.59399999999999997</v>
      </c>
      <c r="G862">
        <v>0.25950000000000001</v>
      </c>
      <c r="H862">
        <v>0.14349999999999999</v>
      </c>
      <c r="I862">
        <v>0.18</v>
      </c>
      <c r="J862">
        <v>7</v>
      </c>
      <c r="K862">
        <v>2</v>
      </c>
      <c r="L862" t="s">
        <v>32</v>
      </c>
      <c r="M862" t="s">
        <v>33</v>
      </c>
      <c r="N862" t="s">
        <v>34</v>
      </c>
      <c r="O862">
        <v>7</v>
      </c>
      <c r="P862" t="s">
        <v>42</v>
      </c>
      <c r="Q862">
        <v>2.5</v>
      </c>
      <c r="R862" t="str" cm="1">
        <f t="array" ref="R8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2" t="e">
        <f>IF(Table13[[#This Row],[Category All]]="Category 1", "Yes",NA())</f>
        <v>#N/A</v>
      </c>
      <c r="T862" t="str">
        <f>IF(Table13[[#This Row],[Category All]]="Category 2", "Yes",NA())</f>
        <v>Yes</v>
      </c>
      <c r="U862" t="e">
        <f>IF(Table13[[#This Row],[Category All]]="Category 3", "Yes",NA())</f>
        <v>#N/A</v>
      </c>
      <c r="V862">
        <f>SUM(1,(1/3)*(Table13[[#This Row],[Length]]-0.5),(1/3)*(Table13[[#This Row],[Diameter]]-0.4),(1/3)*(Table13[[#This Row],[Height]]-0.4)*Table13[[#This Row],[Whole_weight]]*0.5)</f>
        <v>0.96728000000000003</v>
      </c>
      <c r="W862" cm="1">
        <f t="array" ref="W8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0.77382400000000007</v>
      </c>
      <c r="X862" t="e">
        <f>IF(Table13[[#This Row],[Category All]]="Category 1",Table13[[#This Row],[Base Abalone Value]]*1.5,NA())</f>
        <v>#N/A</v>
      </c>
      <c r="Y862">
        <f>IF(Table13[[#This Row],[Category All]]="Category 2",Table13[[#This Row],[Base Abalone Value]]*0.8,NA())</f>
        <v>0.77382400000000007</v>
      </c>
      <c r="Z862" t="e">
        <f>IF(Table13[[#This Row],[Category All]]="Category 3",Table13[[#This Row],[Base Abalone Value]],NA())</f>
        <v>#N/A</v>
      </c>
      <c r="AA862" s="2" t="e">
        <f>IF(Table13[[#This Row],[Gender]]="M",Table13[[#This Row],[Whole_weight]],NA())</f>
        <v>#N/A</v>
      </c>
      <c r="AB862" s="2" t="e">
        <f>IF(Table13[[#This Row],[Gender]]="F",Table13[[#This Row],[Whole_weight]],NA())</f>
        <v>#N/A</v>
      </c>
      <c r="AC862" s="2">
        <f>IF(Table13[[#This Row],[Gender]]="I",Table13[[#This Row],[Whole_weight]],NA())</f>
        <v>0.59399999999999997</v>
      </c>
      <c r="AD862" s="2" t="e">
        <f>IF(Table13[[#This Row],[Gender]]="M",Table13[[#This Row],[Diameter]],NA())</f>
        <v>#N/A</v>
      </c>
      <c r="AE862" s="2" t="e">
        <f>IF(Table13[[#This Row],[Gender]]="F",Table13[[#This Row],[Diameter]],NA())</f>
        <v>#N/A</v>
      </c>
      <c r="AF862" s="2">
        <f>IF(Table13[[#This Row],[Gender]]="I",Table13[[#This Row],[Diameter]],NA())</f>
        <v>0.38</v>
      </c>
    </row>
    <row r="863" spans="1:32" x14ac:dyDescent="0.2">
      <c r="A863">
        <v>447</v>
      </c>
      <c r="B863" t="s">
        <v>15</v>
      </c>
      <c r="C863">
        <v>0.56499999999999995</v>
      </c>
      <c r="D863">
        <v>0.435</v>
      </c>
      <c r="E863">
        <v>0.185</v>
      </c>
      <c r="F863">
        <v>0.98150000000000004</v>
      </c>
      <c r="G863">
        <v>0.32900000000000001</v>
      </c>
      <c r="H863">
        <v>0.13600000000000001</v>
      </c>
      <c r="I863">
        <v>0.39</v>
      </c>
      <c r="J863">
        <v>13</v>
      </c>
      <c r="K863">
        <v>4</v>
      </c>
      <c r="L863" t="s">
        <v>52</v>
      </c>
      <c r="M863" t="s">
        <v>53</v>
      </c>
      <c r="N863" t="s">
        <v>54</v>
      </c>
      <c r="O863">
        <v>5</v>
      </c>
      <c r="P863" t="s">
        <v>14</v>
      </c>
      <c r="Q863">
        <v>12.8</v>
      </c>
      <c r="R863" t="str" cm="1">
        <f t="array" ref="R8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3" t="e">
        <f>IF(Table13[[#This Row],[Category All]]="Category 1", "Yes",NA())</f>
        <v>#N/A</v>
      </c>
      <c r="T863" t="str">
        <f>IF(Table13[[#This Row],[Category All]]="Category 2", "Yes",NA())</f>
        <v>Yes</v>
      </c>
      <c r="U863" t="e">
        <f>IF(Table13[[#This Row],[Category All]]="Category 3", "Yes",NA())</f>
        <v>#N/A</v>
      </c>
      <c r="V863">
        <f>SUM(1,(1/3)*(Table13[[#This Row],[Length]]-0.5),(1/3)*(Table13[[#This Row],[Diameter]]-0.4),(1/3)*(Table13[[#This Row],[Height]]-0.4)*Table13[[#This Row],[Whole_weight]]*0.5)</f>
        <v>0.99816291666666679</v>
      </c>
      <c r="W863" cm="1">
        <f t="array" ref="W8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0.79853033333333345</v>
      </c>
      <c r="X863" t="e">
        <f>IF(Table13[[#This Row],[Category All]]="Category 1",Table13[[#This Row],[Base Abalone Value]]*1.5,NA())</f>
        <v>#N/A</v>
      </c>
      <c r="Y863">
        <f>IF(Table13[[#This Row],[Category All]]="Category 2",Table13[[#This Row],[Base Abalone Value]]*0.8,NA())</f>
        <v>0.79853033333333345</v>
      </c>
      <c r="Z863" t="e">
        <f>IF(Table13[[#This Row],[Category All]]="Category 3",Table13[[#This Row],[Base Abalone Value]],NA())</f>
        <v>#N/A</v>
      </c>
      <c r="AA863" s="2">
        <f>IF(Table13[[#This Row],[Gender]]="M",Table13[[#This Row],[Whole_weight]],NA())</f>
        <v>0.98150000000000004</v>
      </c>
      <c r="AB863" s="2" t="e">
        <f>IF(Table13[[#This Row],[Gender]]="F",Table13[[#This Row],[Whole_weight]],NA())</f>
        <v>#N/A</v>
      </c>
      <c r="AC863" s="2" t="e">
        <f>IF(Table13[[#This Row],[Gender]]="I",Table13[[#This Row],[Whole_weight]],NA())</f>
        <v>#N/A</v>
      </c>
      <c r="AD863" s="2">
        <f>IF(Table13[[#This Row],[Gender]]="M",Table13[[#This Row],[Diameter]],NA())</f>
        <v>0.435</v>
      </c>
      <c r="AE863" s="2" t="e">
        <f>IF(Table13[[#This Row],[Gender]]="F",Table13[[#This Row],[Diameter]],NA())</f>
        <v>#N/A</v>
      </c>
      <c r="AF863" s="2" t="e">
        <f>IF(Table13[[#This Row],[Gender]]="I",Table13[[#This Row],[Diameter]],NA())</f>
        <v>#N/A</v>
      </c>
    </row>
    <row r="864" spans="1:32" x14ac:dyDescent="0.2">
      <c r="A864">
        <v>1762</v>
      </c>
      <c r="B864" t="s">
        <v>15</v>
      </c>
      <c r="C864">
        <v>0.75</v>
      </c>
      <c r="D864">
        <v>0.59499999999999997</v>
      </c>
      <c r="E864">
        <v>0.20499999999999999</v>
      </c>
      <c r="F864">
        <v>2.2204999999999999</v>
      </c>
      <c r="G864">
        <v>1.083</v>
      </c>
      <c r="H864">
        <v>0.42099999999999999</v>
      </c>
      <c r="I864">
        <v>0.63</v>
      </c>
      <c r="J864">
        <v>12</v>
      </c>
      <c r="K864">
        <v>13</v>
      </c>
      <c r="L864" t="s">
        <v>12</v>
      </c>
      <c r="M864" t="s">
        <v>13</v>
      </c>
      <c r="N864" t="s">
        <v>3</v>
      </c>
      <c r="O864">
        <v>3</v>
      </c>
      <c r="P864" t="s">
        <v>48</v>
      </c>
      <c r="Q864">
        <v>3.6</v>
      </c>
      <c r="R864" t="str" cm="1">
        <f t="array" ref="R8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64" t="e">
        <f>IF(Table13[[#This Row],[Category All]]="Category 1", "Yes",NA())</f>
        <v>#N/A</v>
      </c>
      <c r="T864" t="e">
        <f>IF(Table13[[#This Row],[Category All]]="Category 2", "Yes",NA())</f>
        <v>#N/A</v>
      </c>
      <c r="U864" t="str">
        <f>IF(Table13[[#This Row],[Category All]]="Category 3", "Yes",NA())</f>
        <v>Yes</v>
      </c>
      <c r="V864">
        <f>SUM(1,(1/3)*(Table13[[#This Row],[Length]]-0.5),(1/3)*(Table13[[#This Row],[Diameter]]-0.4),(1/3)*(Table13[[#This Row],[Height]]-0.4)*Table13[[#This Row],[Whole_weight]]*0.5)</f>
        <v>1.0761670833333332</v>
      </c>
      <c r="W864" cm="1">
        <f t="array" ref="W8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1.0761670833333332</v>
      </c>
      <c r="X864" t="e">
        <f>IF(Table13[[#This Row],[Category All]]="Category 1",Table13[[#This Row],[Base Abalone Value]]*1.5,NA())</f>
        <v>#N/A</v>
      </c>
      <c r="Y864" t="e">
        <f>IF(Table13[[#This Row],[Category All]]="Category 2",Table13[[#This Row],[Base Abalone Value]]*0.8,NA())</f>
        <v>#N/A</v>
      </c>
      <c r="Z864">
        <f>IF(Table13[[#This Row],[Category All]]="Category 3",Table13[[#This Row],[Base Abalone Value]],NA())</f>
        <v>1.0761670833333332</v>
      </c>
      <c r="AA864" s="2">
        <f>IF(Table13[[#This Row],[Gender]]="M",Table13[[#This Row],[Whole_weight]],NA())</f>
        <v>2.2204999999999999</v>
      </c>
      <c r="AB864" s="2" t="e">
        <f>IF(Table13[[#This Row],[Gender]]="F",Table13[[#This Row],[Whole_weight]],NA())</f>
        <v>#N/A</v>
      </c>
      <c r="AC864" s="2" t="e">
        <f>IF(Table13[[#This Row],[Gender]]="I",Table13[[#This Row],[Whole_weight]],NA())</f>
        <v>#N/A</v>
      </c>
      <c r="AD864" s="2">
        <f>IF(Table13[[#This Row],[Gender]]="M",Table13[[#This Row],[Diameter]],NA())</f>
        <v>0.59499999999999997</v>
      </c>
      <c r="AE864" s="2" t="e">
        <f>IF(Table13[[#This Row],[Gender]]="F",Table13[[#This Row],[Diameter]],NA())</f>
        <v>#N/A</v>
      </c>
      <c r="AF864" s="2" t="e">
        <f>IF(Table13[[#This Row],[Gender]]="I",Table13[[#This Row],[Diameter]],NA())</f>
        <v>#N/A</v>
      </c>
    </row>
    <row r="865" spans="1:32" x14ac:dyDescent="0.2">
      <c r="A865">
        <v>1261</v>
      </c>
      <c r="B865" t="s">
        <v>11</v>
      </c>
      <c r="C865">
        <v>0.44</v>
      </c>
      <c r="D865">
        <v>0.34</v>
      </c>
      <c r="E865">
        <v>0.12</v>
      </c>
      <c r="F865">
        <v>0.438</v>
      </c>
      <c r="G865">
        <v>0.21149999999999999</v>
      </c>
      <c r="H865">
        <v>8.3000000000000004E-2</v>
      </c>
      <c r="I865">
        <v>0.12</v>
      </c>
      <c r="J865">
        <v>9</v>
      </c>
      <c r="K865">
        <v>1</v>
      </c>
      <c r="L865" t="s">
        <v>8</v>
      </c>
      <c r="M865" t="s">
        <v>9</v>
      </c>
      <c r="N865" t="s">
        <v>3</v>
      </c>
      <c r="O865">
        <v>6</v>
      </c>
      <c r="P865" t="s">
        <v>47</v>
      </c>
      <c r="Q865">
        <v>14.1</v>
      </c>
      <c r="R865" t="str" cm="1">
        <f t="array" ref="R8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5" t="e">
        <f>IF(Table13[[#This Row],[Category All]]="Category 1", "Yes",NA())</f>
        <v>#N/A</v>
      </c>
      <c r="T865" t="str">
        <f>IF(Table13[[#This Row],[Category All]]="Category 2", "Yes",NA())</f>
        <v>Yes</v>
      </c>
      <c r="U865" t="e">
        <f>IF(Table13[[#This Row],[Category All]]="Category 3", "Yes",NA())</f>
        <v>#N/A</v>
      </c>
      <c r="V865">
        <f>SUM(1,(1/3)*(Table13[[#This Row],[Length]]-0.5),(1/3)*(Table13[[#This Row],[Diameter]]-0.4),(1/3)*(Table13[[#This Row],[Height]]-0.4)*Table13[[#This Row],[Whole_weight]]*0.5)</f>
        <v>0.93955999999999995</v>
      </c>
      <c r="W865" cm="1">
        <f t="array" ref="W8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0.75164799999999998</v>
      </c>
      <c r="X865" t="e">
        <f>IF(Table13[[#This Row],[Category All]]="Category 1",Table13[[#This Row],[Base Abalone Value]]*1.5,NA())</f>
        <v>#N/A</v>
      </c>
      <c r="Y865">
        <f>IF(Table13[[#This Row],[Category All]]="Category 2",Table13[[#This Row],[Base Abalone Value]]*0.8,NA())</f>
        <v>0.75164799999999998</v>
      </c>
      <c r="Z865" t="e">
        <f>IF(Table13[[#This Row],[Category All]]="Category 3",Table13[[#This Row],[Base Abalone Value]],NA())</f>
        <v>#N/A</v>
      </c>
      <c r="AA865" s="2" t="e">
        <f>IF(Table13[[#This Row],[Gender]]="M",Table13[[#This Row],[Whole_weight]],NA())</f>
        <v>#N/A</v>
      </c>
      <c r="AB865" s="2" t="e">
        <f>IF(Table13[[#This Row],[Gender]]="F",Table13[[#This Row],[Whole_weight]],NA())</f>
        <v>#N/A</v>
      </c>
      <c r="AC865" s="2">
        <f>IF(Table13[[#This Row],[Gender]]="I",Table13[[#This Row],[Whole_weight]],NA())</f>
        <v>0.438</v>
      </c>
      <c r="AD865" s="2" t="e">
        <f>IF(Table13[[#This Row],[Gender]]="M",Table13[[#This Row],[Diameter]],NA())</f>
        <v>#N/A</v>
      </c>
      <c r="AE865" s="2" t="e">
        <f>IF(Table13[[#This Row],[Gender]]="F",Table13[[#This Row],[Diameter]],NA())</f>
        <v>#N/A</v>
      </c>
      <c r="AF865" s="2">
        <f>IF(Table13[[#This Row],[Gender]]="I",Table13[[#This Row],[Diameter]],NA())</f>
        <v>0.34</v>
      </c>
    </row>
    <row r="866" spans="1:32" x14ac:dyDescent="0.2">
      <c r="A866">
        <v>1907</v>
      </c>
      <c r="B866" t="s">
        <v>11</v>
      </c>
      <c r="C866">
        <v>0.57499999999999996</v>
      </c>
      <c r="D866">
        <v>0.45</v>
      </c>
      <c r="E866">
        <v>0.13500000000000001</v>
      </c>
      <c r="F866">
        <v>0.82450000000000001</v>
      </c>
      <c r="G866">
        <v>0.33750000000000002</v>
      </c>
      <c r="H866">
        <v>0.21149999999999999</v>
      </c>
      <c r="I866">
        <v>0.23899999999999999</v>
      </c>
      <c r="J866">
        <v>11</v>
      </c>
      <c r="K866">
        <v>1</v>
      </c>
      <c r="L866" t="s">
        <v>8</v>
      </c>
      <c r="M866" t="s">
        <v>9</v>
      </c>
      <c r="N866" t="s">
        <v>3</v>
      </c>
      <c r="O866">
        <v>8</v>
      </c>
      <c r="P866" t="s">
        <v>19</v>
      </c>
      <c r="Q866">
        <v>12.3</v>
      </c>
      <c r="R866" t="str" cm="1">
        <f t="array" ref="R8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6" t="e">
        <f>IF(Table13[[#This Row],[Category All]]="Category 1", "Yes",NA())</f>
        <v>#N/A</v>
      </c>
      <c r="T866" t="str">
        <f>IF(Table13[[#This Row],[Category All]]="Category 2", "Yes",NA())</f>
        <v>Yes</v>
      </c>
      <c r="U866" t="e">
        <f>IF(Table13[[#This Row],[Category All]]="Category 3", "Yes",NA())</f>
        <v>#N/A</v>
      </c>
      <c r="V866">
        <f>SUM(1,(1/3)*(Table13[[#This Row],[Length]]-0.5),(1/3)*(Table13[[#This Row],[Diameter]]-0.4),(1/3)*(Table13[[#This Row],[Height]]-0.4)*Table13[[#This Row],[Whole_weight]]*0.5)</f>
        <v>1.0052512499999999</v>
      </c>
      <c r="W866" cm="1">
        <f t="array" ref="W8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0.80420099999999994</v>
      </c>
      <c r="X866" t="e">
        <f>IF(Table13[[#This Row],[Category All]]="Category 1",Table13[[#This Row],[Base Abalone Value]]*1.5,NA())</f>
        <v>#N/A</v>
      </c>
      <c r="Y866">
        <f>IF(Table13[[#This Row],[Category All]]="Category 2",Table13[[#This Row],[Base Abalone Value]]*0.8,NA())</f>
        <v>0.80420099999999994</v>
      </c>
      <c r="Z866" t="e">
        <f>IF(Table13[[#This Row],[Category All]]="Category 3",Table13[[#This Row],[Base Abalone Value]],NA())</f>
        <v>#N/A</v>
      </c>
      <c r="AA866" s="2" t="e">
        <f>IF(Table13[[#This Row],[Gender]]="M",Table13[[#This Row],[Whole_weight]],NA())</f>
        <v>#N/A</v>
      </c>
      <c r="AB866" s="2" t="e">
        <f>IF(Table13[[#This Row],[Gender]]="F",Table13[[#This Row],[Whole_weight]],NA())</f>
        <v>#N/A</v>
      </c>
      <c r="AC866" s="2">
        <f>IF(Table13[[#This Row],[Gender]]="I",Table13[[#This Row],[Whole_weight]],NA())</f>
        <v>0.82450000000000001</v>
      </c>
      <c r="AD866" s="2" t="e">
        <f>IF(Table13[[#This Row],[Gender]]="M",Table13[[#This Row],[Diameter]],NA())</f>
        <v>#N/A</v>
      </c>
      <c r="AE866" s="2" t="e">
        <f>IF(Table13[[#This Row],[Gender]]="F",Table13[[#This Row],[Diameter]],NA())</f>
        <v>#N/A</v>
      </c>
      <c r="AF866" s="2">
        <f>IF(Table13[[#This Row],[Gender]]="I",Table13[[#This Row],[Diameter]],NA())</f>
        <v>0.45</v>
      </c>
    </row>
    <row r="867" spans="1:32" x14ac:dyDescent="0.2">
      <c r="A867">
        <v>3380</v>
      </c>
      <c r="B867" t="s">
        <v>11</v>
      </c>
      <c r="C867">
        <v>0.29499999999999998</v>
      </c>
      <c r="D867">
        <v>0.21</v>
      </c>
      <c r="E867">
        <v>0.08</v>
      </c>
      <c r="F867">
        <v>0.1</v>
      </c>
      <c r="G867">
        <v>3.7999999999999999E-2</v>
      </c>
      <c r="H867">
        <v>2.5999999999999999E-2</v>
      </c>
      <c r="I867">
        <v>3.1E-2</v>
      </c>
      <c r="J867">
        <v>8</v>
      </c>
      <c r="K867">
        <v>2</v>
      </c>
      <c r="L867" t="s">
        <v>32</v>
      </c>
      <c r="M867" t="s">
        <v>33</v>
      </c>
      <c r="N867" t="s">
        <v>34</v>
      </c>
      <c r="O867">
        <v>2</v>
      </c>
      <c r="P867" t="s">
        <v>7</v>
      </c>
      <c r="Q867">
        <v>18</v>
      </c>
      <c r="R867" t="str" cm="1">
        <f t="array" ref="R8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7" t="e">
        <f>IF(Table13[[#This Row],[Category All]]="Category 1", "Yes",NA())</f>
        <v>#N/A</v>
      </c>
      <c r="T867" t="str">
        <f>IF(Table13[[#This Row],[Category All]]="Category 2", "Yes",NA())</f>
        <v>Yes</v>
      </c>
      <c r="U867" t="e">
        <f>IF(Table13[[#This Row],[Category All]]="Category 3", "Yes",NA())</f>
        <v>#N/A</v>
      </c>
      <c r="V867">
        <f>SUM(1,(1/3)*(Table13[[#This Row],[Length]]-0.5),(1/3)*(Table13[[#This Row],[Diameter]]-0.4),(1/3)*(Table13[[#This Row],[Height]]-0.4)*Table13[[#This Row],[Whole_weight]]*0.5)</f>
        <v>0.86299999999999999</v>
      </c>
      <c r="W867" cm="1">
        <f t="array" ref="W8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0.69040000000000001</v>
      </c>
      <c r="X867" t="e">
        <f>IF(Table13[[#This Row],[Category All]]="Category 1",Table13[[#This Row],[Base Abalone Value]]*1.5,NA())</f>
        <v>#N/A</v>
      </c>
      <c r="Y867">
        <f>IF(Table13[[#This Row],[Category All]]="Category 2",Table13[[#This Row],[Base Abalone Value]]*0.8,NA())</f>
        <v>0.69040000000000001</v>
      </c>
      <c r="Z867" t="e">
        <f>IF(Table13[[#This Row],[Category All]]="Category 3",Table13[[#This Row],[Base Abalone Value]],NA())</f>
        <v>#N/A</v>
      </c>
      <c r="AA867" s="2" t="e">
        <f>IF(Table13[[#This Row],[Gender]]="M",Table13[[#This Row],[Whole_weight]],NA())</f>
        <v>#N/A</v>
      </c>
      <c r="AB867" s="2" t="e">
        <f>IF(Table13[[#This Row],[Gender]]="F",Table13[[#This Row],[Whole_weight]],NA())</f>
        <v>#N/A</v>
      </c>
      <c r="AC867" s="2">
        <f>IF(Table13[[#This Row],[Gender]]="I",Table13[[#This Row],[Whole_weight]],NA())</f>
        <v>0.1</v>
      </c>
      <c r="AD867" s="2" t="e">
        <f>IF(Table13[[#This Row],[Gender]]="M",Table13[[#This Row],[Diameter]],NA())</f>
        <v>#N/A</v>
      </c>
      <c r="AE867" s="2" t="e">
        <f>IF(Table13[[#This Row],[Gender]]="F",Table13[[#This Row],[Diameter]],NA())</f>
        <v>#N/A</v>
      </c>
      <c r="AF867" s="2">
        <f>IF(Table13[[#This Row],[Gender]]="I",Table13[[#This Row],[Diameter]],NA())</f>
        <v>0.21</v>
      </c>
    </row>
    <row r="868" spans="1:32" x14ac:dyDescent="0.2">
      <c r="A868">
        <v>1864</v>
      </c>
      <c r="B868" t="s">
        <v>11</v>
      </c>
      <c r="C868">
        <v>0.52</v>
      </c>
      <c r="D868">
        <v>0.41499999999999998</v>
      </c>
      <c r="E868">
        <v>0.14000000000000001</v>
      </c>
      <c r="F868">
        <v>0.63749999999999996</v>
      </c>
      <c r="G868">
        <v>0.308</v>
      </c>
      <c r="H868">
        <v>0.13350000000000001</v>
      </c>
      <c r="I868">
        <v>0.16800000000000001</v>
      </c>
      <c r="J868">
        <v>9</v>
      </c>
      <c r="K868">
        <v>15</v>
      </c>
      <c r="L868" t="s">
        <v>49</v>
      </c>
      <c r="M868" t="s">
        <v>50</v>
      </c>
      <c r="N868" t="s">
        <v>3</v>
      </c>
      <c r="O868">
        <v>7</v>
      </c>
      <c r="P868" t="s">
        <v>42</v>
      </c>
      <c r="Q868">
        <v>2.5</v>
      </c>
      <c r="R868" t="str" cm="1">
        <f t="array" ref="R8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8" t="e">
        <f>IF(Table13[[#This Row],[Category All]]="Category 1", "Yes",NA())</f>
        <v>#N/A</v>
      </c>
      <c r="T868" t="str">
        <f>IF(Table13[[#This Row],[Category All]]="Category 2", "Yes",NA())</f>
        <v>Yes</v>
      </c>
      <c r="U868" t="e">
        <f>IF(Table13[[#This Row],[Category All]]="Category 3", "Yes",NA())</f>
        <v>#N/A</v>
      </c>
      <c r="V868">
        <f>SUM(1,(1/3)*(Table13[[#This Row],[Length]]-0.5),(1/3)*(Table13[[#This Row],[Diameter]]-0.4),(1/3)*(Table13[[#This Row],[Height]]-0.4)*Table13[[#This Row],[Whole_weight]]*0.5)</f>
        <v>0.98404166666666648</v>
      </c>
      <c r="W868" cm="1">
        <f t="array" ref="W8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0.78723333333333323</v>
      </c>
      <c r="X868" t="e">
        <f>IF(Table13[[#This Row],[Category All]]="Category 1",Table13[[#This Row],[Base Abalone Value]]*1.5,NA())</f>
        <v>#N/A</v>
      </c>
      <c r="Y868">
        <f>IF(Table13[[#This Row],[Category All]]="Category 2",Table13[[#This Row],[Base Abalone Value]]*0.8,NA())</f>
        <v>0.78723333333333323</v>
      </c>
      <c r="Z868" t="e">
        <f>IF(Table13[[#This Row],[Category All]]="Category 3",Table13[[#This Row],[Base Abalone Value]],NA())</f>
        <v>#N/A</v>
      </c>
      <c r="AA868" s="2" t="e">
        <f>IF(Table13[[#This Row],[Gender]]="M",Table13[[#This Row],[Whole_weight]],NA())</f>
        <v>#N/A</v>
      </c>
      <c r="AB868" s="2" t="e">
        <f>IF(Table13[[#This Row],[Gender]]="F",Table13[[#This Row],[Whole_weight]],NA())</f>
        <v>#N/A</v>
      </c>
      <c r="AC868" s="2">
        <f>IF(Table13[[#This Row],[Gender]]="I",Table13[[#This Row],[Whole_weight]],NA())</f>
        <v>0.63749999999999996</v>
      </c>
      <c r="AD868" s="2" t="e">
        <f>IF(Table13[[#This Row],[Gender]]="M",Table13[[#This Row],[Diameter]],NA())</f>
        <v>#N/A</v>
      </c>
      <c r="AE868" s="2" t="e">
        <f>IF(Table13[[#This Row],[Gender]]="F",Table13[[#This Row],[Diameter]],NA())</f>
        <v>#N/A</v>
      </c>
      <c r="AF868" s="2">
        <f>IF(Table13[[#This Row],[Gender]]="I",Table13[[#This Row],[Diameter]],NA())</f>
        <v>0.41499999999999998</v>
      </c>
    </row>
    <row r="869" spans="1:32" x14ac:dyDescent="0.2">
      <c r="A869">
        <v>1962</v>
      </c>
      <c r="B869" t="s">
        <v>0</v>
      </c>
      <c r="C869">
        <v>0.65500000000000003</v>
      </c>
      <c r="D869">
        <v>0.51500000000000001</v>
      </c>
      <c r="E869">
        <v>0.18</v>
      </c>
      <c r="F869">
        <v>1.4119999999999999</v>
      </c>
      <c r="G869">
        <v>0.61950000000000005</v>
      </c>
      <c r="H869">
        <v>0.2485</v>
      </c>
      <c r="I869">
        <v>0.497</v>
      </c>
      <c r="J869">
        <v>11</v>
      </c>
      <c r="K869">
        <v>14</v>
      </c>
      <c r="L869" t="s">
        <v>23</v>
      </c>
      <c r="M869" t="s">
        <v>24</v>
      </c>
      <c r="N869" t="s">
        <v>25</v>
      </c>
      <c r="O869">
        <v>1</v>
      </c>
      <c r="P869" t="s">
        <v>4</v>
      </c>
      <c r="Q869">
        <v>22.1</v>
      </c>
      <c r="R869" t="str" cm="1">
        <f t="array" ref="R8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69" t="e">
        <f>IF(Table13[[#This Row],[Category All]]="Category 1", "Yes",NA())</f>
        <v>#N/A</v>
      </c>
      <c r="T869" t="e">
        <f>IF(Table13[[#This Row],[Category All]]="Category 2", "Yes",NA())</f>
        <v>#N/A</v>
      </c>
      <c r="U869" t="str">
        <f>IF(Table13[[#This Row],[Category All]]="Category 3", "Yes",NA())</f>
        <v>Yes</v>
      </c>
      <c r="V869">
        <f>SUM(1,(1/3)*(Table13[[#This Row],[Length]]-0.5),(1/3)*(Table13[[#This Row],[Diameter]]-0.4),(1/3)*(Table13[[#This Row],[Height]]-0.4)*Table13[[#This Row],[Whole_weight]]*0.5)</f>
        <v>1.0382266666666669</v>
      </c>
      <c r="W869" cm="1">
        <f t="array" ref="W8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1.0382266666666669</v>
      </c>
      <c r="X869" t="e">
        <f>IF(Table13[[#This Row],[Category All]]="Category 1",Table13[[#This Row],[Base Abalone Value]]*1.5,NA())</f>
        <v>#N/A</v>
      </c>
      <c r="Y869" t="e">
        <f>IF(Table13[[#This Row],[Category All]]="Category 2",Table13[[#This Row],[Base Abalone Value]]*0.8,NA())</f>
        <v>#N/A</v>
      </c>
      <c r="Z869">
        <f>IF(Table13[[#This Row],[Category All]]="Category 3",Table13[[#This Row],[Base Abalone Value]],NA())</f>
        <v>1.0382266666666669</v>
      </c>
      <c r="AA869" s="2" t="e">
        <f>IF(Table13[[#This Row],[Gender]]="M",Table13[[#This Row],[Whole_weight]],NA())</f>
        <v>#N/A</v>
      </c>
      <c r="AB869" s="2">
        <f>IF(Table13[[#This Row],[Gender]]="F",Table13[[#This Row],[Whole_weight]],NA())</f>
        <v>1.4119999999999999</v>
      </c>
      <c r="AC869" s="2" t="e">
        <f>IF(Table13[[#This Row],[Gender]]="I",Table13[[#This Row],[Whole_weight]],NA())</f>
        <v>#N/A</v>
      </c>
      <c r="AD869" s="2" t="e">
        <f>IF(Table13[[#This Row],[Gender]]="M",Table13[[#This Row],[Diameter]],NA())</f>
        <v>#N/A</v>
      </c>
      <c r="AE869" s="2">
        <f>IF(Table13[[#This Row],[Gender]]="F",Table13[[#This Row],[Diameter]],NA())</f>
        <v>0.51500000000000001</v>
      </c>
      <c r="AF869" s="2" t="e">
        <f>IF(Table13[[#This Row],[Gender]]="I",Table13[[#This Row],[Diameter]],NA())</f>
        <v>#N/A</v>
      </c>
    </row>
    <row r="870" spans="1:32" x14ac:dyDescent="0.2">
      <c r="A870">
        <v>3707</v>
      </c>
      <c r="B870" t="s">
        <v>0</v>
      </c>
      <c r="C870">
        <v>0.67500000000000004</v>
      </c>
      <c r="D870">
        <v>0.53500000000000003</v>
      </c>
      <c r="E870">
        <v>0.185</v>
      </c>
      <c r="F870">
        <v>1.5575000000000001</v>
      </c>
      <c r="G870">
        <v>0.70350000000000001</v>
      </c>
      <c r="H870">
        <v>0.40200000000000002</v>
      </c>
      <c r="I870">
        <v>0.4</v>
      </c>
      <c r="J870">
        <v>11</v>
      </c>
      <c r="K870">
        <v>7</v>
      </c>
      <c r="L870" t="s">
        <v>35</v>
      </c>
      <c r="M870" t="s">
        <v>36</v>
      </c>
      <c r="N870" t="s">
        <v>37</v>
      </c>
      <c r="O870">
        <v>4</v>
      </c>
      <c r="P870" t="s">
        <v>10</v>
      </c>
      <c r="Q870">
        <v>6.1</v>
      </c>
      <c r="R870" t="str" cm="1">
        <f t="array" ref="R8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70" t="e">
        <f>IF(Table13[[#This Row],[Category All]]="Category 1", "Yes",NA())</f>
        <v>#N/A</v>
      </c>
      <c r="T870" t="e">
        <f>IF(Table13[[#This Row],[Category All]]="Category 2", "Yes",NA())</f>
        <v>#N/A</v>
      </c>
      <c r="U870" t="str">
        <f>IF(Table13[[#This Row],[Category All]]="Category 3", "Yes",NA())</f>
        <v>Yes</v>
      </c>
      <c r="V870">
        <f>SUM(1,(1/3)*(Table13[[#This Row],[Length]]-0.5),(1/3)*(Table13[[#This Row],[Diameter]]-0.4),(1/3)*(Table13[[#This Row],[Height]]-0.4)*Table13[[#This Row],[Whole_weight]]*0.5)</f>
        <v>1.0475229166666666</v>
      </c>
      <c r="W870" cm="1">
        <f t="array" ref="W8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1.0475229166666666</v>
      </c>
      <c r="X870" t="e">
        <f>IF(Table13[[#This Row],[Category All]]="Category 1",Table13[[#This Row],[Base Abalone Value]]*1.5,NA())</f>
        <v>#N/A</v>
      </c>
      <c r="Y870" t="e">
        <f>IF(Table13[[#This Row],[Category All]]="Category 2",Table13[[#This Row],[Base Abalone Value]]*0.8,NA())</f>
        <v>#N/A</v>
      </c>
      <c r="Z870">
        <f>IF(Table13[[#This Row],[Category All]]="Category 3",Table13[[#This Row],[Base Abalone Value]],NA())</f>
        <v>1.0475229166666666</v>
      </c>
      <c r="AA870" s="2" t="e">
        <f>IF(Table13[[#This Row],[Gender]]="M",Table13[[#This Row],[Whole_weight]],NA())</f>
        <v>#N/A</v>
      </c>
      <c r="AB870" s="2">
        <f>IF(Table13[[#This Row],[Gender]]="F",Table13[[#This Row],[Whole_weight]],NA())</f>
        <v>1.5575000000000001</v>
      </c>
      <c r="AC870" s="2" t="e">
        <f>IF(Table13[[#This Row],[Gender]]="I",Table13[[#This Row],[Whole_weight]],NA())</f>
        <v>#N/A</v>
      </c>
      <c r="AD870" s="2" t="e">
        <f>IF(Table13[[#This Row],[Gender]]="M",Table13[[#This Row],[Diameter]],NA())</f>
        <v>#N/A</v>
      </c>
      <c r="AE870" s="2">
        <f>IF(Table13[[#This Row],[Gender]]="F",Table13[[#This Row],[Diameter]],NA())</f>
        <v>0.53500000000000003</v>
      </c>
      <c r="AF870" s="2" t="e">
        <f>IF(Table13[[#This Row],[Gender]]="I",Table13[[#This Row],[Diameter]],NA())</f>
        <v>#N/A</v>
      </c>
    </row>
    <row r="871" spans="1:32" x14ac:dyDescent="0.2">
      <c r="A871">
        <v>276</v>
      </c>
      <c r="B871" t="s">
        <v>15</v>
      </c>
      <c r="C871">
        <v>0.65500000000000003</v>
      </c>
      <c r="D871">
        <v>0.54</v>
      </c>
      <c r="E871">
        <v>0.215</v>
      </c>
      <c r="F871">
        <v>1.8440000000000001</v>
      </c>
      <c r="G871">
        <v>0.74250000000000005</v>
      </c>
      <c r="H871">
        <v>0.32700000000000001</v>
      </c>
      <c r="I871">
        <v>0.58499999999999996</v>
      </c>
      <c r="J871">
        <v>22</v>
      </c>
      <c r="K871">
        <v>3</v>
      </c>
      <c r="L871" t="s">
        <v>43</v>
      </c>
      <c r="M871" t="s">
        <v>44</v>
      </c>
      <c r="N871" t="s">
        <v>45</v>
      </c>
      <c r="O871">
        <v>8</v>
      </c>
      <c r="P871" t="s">
        <v>19</v>
      </c>
      <c r="Q871">
        <v>12.3</v>
      </c>
      <c r="R871" t="str" cm="1">
        <f t="array" ref="R8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71" t="e">
        <f>IF(Table13[[#This Row],[Category All]]="Category 1", "Yes",NA())</f>
        <v>#N/A</v>
      </c>
      <c r="T871" t="str">
        <f>IF(Table13[[#This Row],[Category All]]="Category 2", "Yes",NA())</f>
        <v>Yes</v>
      </c>
      <c r="U871" t="e">
        <f>IF(Table13[[#This Row],[Category All]]="Category 3", "Yes",NA())</f>
        <v>#N/A</v>
      </c>
      <c r="V871">
        <f>SUM(1,(1/3)*(Table13[[#This Row],[Length]]-0.5),(1/3)*(Table13[[#This Row],[Diameter]]-0.4),(1/3)*(Table13[[#This Row],[Height]]-0.4)*Table13[[#This Row],[Whole_weight]]*0.5)</f>
        <v>1.0414766666666666</v>
      </c>
      <c r="W871" cm="1">
        <f t="array" ref="W8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0.83318133333333333</v>
      </c>
      <c r="X871" t="e">
        <f>IF(Table13[[#This Row],[Category All]]="Category 1",Table13[[#This Row],[Base Abalone Value]]*1.5,NA())</f>
        <v>#N/A</v>
      </c>
      <c r="Y871">
        <f>IF(Table13[[#This Row],[Category All]]="Category 2",Table13[[#This Row],[Base Abalone Value]]*0.8,NA())</f>
        <v>0.83318133333333333</v>
      </c>
      <c r="Z871" t="e">
        <f>IF(Table13[[#This Row],[Category All]]="Category 3",Table13[[#This Row],[Base Abalone Value]],NA())</f>
        <v>#N/A</v>
      </c>
      <c r="AA871" s="2">
        <f>IF(Table13[[#This Row],[Gender]]="M",Table13[[#This Row],[Whole_weight]],NA())</f>
        <v>1.8440000000000001</v>
      </c>
      <c r="AB871" s="2" t="e">
        <f>IF(Table13[[#This Row],[Gender]]="F",Table13[[#This Row],[Whole_weight]],NA())</f>
        <v>#N/A</v>
      </c>
      <c r="AC871" s="2" t="e">
        <f>IF(Table13[[#This Row],[Gender]]="I",Table13[[#This Row],[Whole_weight]],NA())</f>
        <v>#N/A</v>
      </c>
      <c r="AD871" s="2">
        <f>IF(Table13[[#This Row],[Gender]]="M",Table13[[#This Row],[Diameter]],NA())</f>
        <v>0.54</v>
      </c>
      <c r="AE871" s="2" t="e">
        <f>IF(Table13[[#This Row],[Gender]]="F",Table13[[#This Row],[Diameter]],NA())</f>
        <v>#N/A</v>
      </c>
      <c r="AF871" s="2" t="e">
        <f>IF(Table13[[#This Row],[Gender]]="I",Table13[[#This Row],[Diameter]],NA())</f>
        <v>#N/A</v>
      </c>
    </row>
    <row r="872" spans="1:32" x14ac:dyDescent="0.2">
      <c r="A872">
        <v>699</v>
      </c>
      <c r="B872" t="s">
        <v>0</v>
      </c>
      <c r="C872">
        <v>0.43</v>
      </c>
      <c r="D872">
        <v>0.33500000000000002</v>
      </c>
      <c r="E872">
        <v>0.12</v>
      </c>
      <c r="F872">
        <v>0.44400000000000001</v>
      </c>
      <c r="G872">
        <v>0.155</v>
      </c>
      <c r="H872">
        <v>0.1145</v>
      </c>
      <c r="I872">
        <v>0.14000000000000001</v>
      </c>
      <c r="J872">
        <v>13</v>
      </c>
      <c r="K872">
        <v>3</v>
      </c>
      <c r="L872" t="s">
        <v>43</v>
      </c>
      <c r="M872" t="s">
        <v>44</v>
      </c>
      <c r="N872" t="s">
        <v>45</v>
      </c>
      <c r="O872">
        <v>3</v>
      </c>
      <c r="P872" t="s">
        <v>48</v>
      </c>
      <c r="Q872">
        <v>3.6</v>
      </c>
      <c r="R872" t="str" cm="1">
        <f t="array" ref="R8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72" t="e">
        <f>IF(Table13[[#This Row],[Category All]]="Category 1", "Yes",NA())</f>
        <v>#N/A</v>
      </c>
      <c r="T872" t="str">
        <f>IF(Table13[[#This Row],[Category All]]="Category 2", "Yes",NA())</f>
        <v>Yes</v>
      </c>
      <c r="U872" t="e">
        <f>IF(Table13[[#This Row],[Category All]]="Category 3", "Yes",NA())</f>
        <v>#N/A</v>
      </c>
      <c r="V872">
        <f>SUM(1,(1/3)*(Table13[[#This Row],[Length]]-0.5),(1/3)*(Table13[[#This Row],[Diameter]]-0.4),(1/3)*(Table13[[#This Row],[Height]]-0.4)*Table13[[#This Row],[Whole_weight]]*0.5)</f>
        <v>0.93428000000000011</v>
      </c>
      <c r="W872" cm="1">
        <f t="array" ref="W8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0.74742400000000009</v>
      </c>
      <c r="X872" t="e">
        <f>IF(Table13[[#This Row],[Category All]]="Category 1",Table13[[#This Row],[Base Abalone Value]]*1.5,NA())</f>
        <v>#N/A</v>
      </c>
      <c r="Y872">
        <f>IF(Table13[[#This Row],[Category All]]="Category 2",Table13[[#This Row],[Base Abalone Value]]*0.8,NA())</f>
        <v>0.74742400000000009</v>
      </c>
      <c r="Z872" t="e">
        <f>IF(Table13[[#This Row],[Category All]]="Category 3",Table13[[#This Row],[Base Abalone Value]],NA())</f>
        <v>#N/A</v>
      </c>
      <c r="AA872" s="2" t="e">
        <f>IF(Table13[[#This Row],[Gender]]="M",Table13[[#This Row],[Whole_weight]],NA())</f>
        <v>#N/A</v>
      </c>
      <c r="AB872" s="2">
        <f>IF(Table13[[#This Row],[Gender]]="F",Table13[[#This Row],[Whole_weight]],NA())</f>
        <v>0.44400000000000001</v>
      </c>
      <c r="AC872" s="2" t="e">
        <f>IF(Table13[[#This Row],[Gender]]="I",Table13[[#This Row],[Whole_weight]],NA())</f>
        <v>#N/A</v>
      </c>
      <c r="AD872" s="2" t="e">
        <f>IF(Table13[[#This Row],[Gender]]="M",Table13[[#This Row],[Diameter]],NA())</f>
        <v>#N/A</v>
      </c>
      <c r="AE872" s="2">
        <f>IF(Table13[[#This Row],[Gender]]="F",Table13[[#This Row],[Diameter]],NA())</f>
        <v>0.33500000000000002</v>
      </c>
      <c r="AF872" s="2" t="e">
        <f>IF(Table13[[#This Row],[Gender]]="I",Table13[[#This Row],[Diameter]],NA())</f>
        <v>#N/A</v>
      </c>
    </row>
    <row r="873" spans="1:32" x14ac:dyDescent="0.2">
      <c r="A873">
        <v>2669</v>
      </c>
      <c r="B873" t="s">
        <v>0</v>
      </c>
      <c r="C873">
        <v>0.58499999999999996</v>
      </c>
      <c r="D873">
        <v>0.435</v>
      </c>
      <c r="E873">
        <v>0.14000000000000001</v>
      </c>
      <c r="F873">
        <v>0.69550000000000001</v>
      </c>
      <c r="G873">
        <v>0.3085</v>
      </c>
      <c r="H873">
        <v>0.129</v>
      </c>
      <c r="I873">
        <v>0.22450000000000001</v>
      </c>
      <c r="J873">
        <v>8</v>
      </c>
      <c r="K873">
        <v>9</v>
      </c>
      <c r="L873" t="s">
        <v>20</v>
      </c>
      <c r="M873" t="s">
        <v>21</v>
      </c>
      <c r="N873" t="s">
        <v>22</v>
      </c>
      <c r="O873">
        <v>7</v>
      </c>
      <c r="P873" t="s">
        <v>42</v>
      </c>
      <c r="Q873">
        <v>2.5</v>
      </c>
      <c r="R873" t="str" cm="1">
        <f t="array" ref="R8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73" t="e">
        <f>IF(Table13[[#This Row],[Category All]]="Category 1", "Yes",NA())</f>
        <v>#N/A</v>
      </c>
      <c r="T873" t="str">
        <f>IF(Table13[[#This Row],[Category All]]="Category 2", "Yes",NA())</f>
        <v>Yes</v>
      </c>
      <c r="U873" t="e">
        <f>IF(Table13[[#This Row],[Category All]]="Category 3", "Yes",NA())</f>
        <v>#N/A</v>
      </c>
      <c r="V873">
        <f>SUM(1,(1/3)*(Table13[[#This Row],[Length]]-0.5),(1/3)*(Table13[[#This Row],[Diameter]]-0.4),(1/3)*(Table13[[#This Row],[Height]]-0.4)*Table13[[#This Row],[Whole_weight]]*0.5)</f>
        <v>1.0098616666666667</v>
      </c>
      <c r="W873" cm="1">
        <f t="array" ref="W8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0.80788933333333335</v>
      </c>
      <c r="X873" t="e">
        <f>IF(Table13[[#This Row],[Category All]]="Category 1",Table13[[#This Row],[Base Abalone Value]]*1.5,NA())</f>
        <v>#N/A</v>
      </c>
      <c r="Y873">
        <f>IF(Table13[[#This Row],[Category All]]="Category 2",Table13[[#This Row],[Base Abalone Value]]*0.8,NA())</f>
        <v>0.80788933333333335</v>
      </c>
      <c r="Z873" t="e">
        <f>IF(Table13[[#This Row],[Category All]]="Category 3",Table13[[#This Row],[Base Abalone Value]],NA())</f>
        <v>#N/A</v>
      </c>
      <c r="AA873" s="2" t="e">
        <f>IF(Table13[[#This Row],[Gender]]="M",Table13[[#This Row],[Whole_weight]],NA())</f>
        <v>#N/A</v>
      </c>
      <c r="AB873" s="2">
        <f>IF(Table13[[#This Row],[Gender]]="F",Table13[[#This Row],[Whole_weight]],NA())</f>
        <v>0.69550000000000001</v>
      </c>
      <c r="AC873" s="2" t="e">
        <f>IF(Table13[[#This Row],[Gender]]="I",Table13[[#This Row],[Whole_weight]],NA())</f>
        <v>#N/A</v>
      </c>
      <c r="AD873" s="2" t="e">
        <f>IF(Table13[[#This Row],[Gender]]="M",Table13[[#This Row],[Diameter]],NA())</f>
        <v>#N/A</v>
      </c>
      <c r="AE873" s="2">
        <f>IF(Table13[[#This Row],[Gender]]="F",Table13[[#This Row],[Diameter]],NA())</f>
        <v>0.435</v>
      </c>
      <c r="AF873" s="2" t="e">
        <f>IF(Table13[[#This Row],[Gender]]="I",Table13[[#This Row],[Diameter]],NA())</f>
        <v>#N/A</v>
      </c>
    </row>
    <row r="874" spans="1:32" x14ac:dyDescent="0.2">
      <c r="A874">
        <v>990</v>
      </c>
      <c r="B874" t="s">
        <v>15</v>
      </c>
      <c r="C874">
        <v>0.57499999999999996</v>
      </c>
      <c r="D874">
        <v>0.47499999999999998</v>
      </c>
      <c r="E874">
        <v>0.16</v>
      </c>
      <c r="F874">
        <v>1.1140000000000001</v>
      </c>
      <c r="G874">
        <v>0.4955</v>
      </c>
      <c r="H874">
        <v>0.27450000000000002</v>
      </c>
      <c r="I874">
        <v>0.28999999999999998</v>
      </c>
      <c r="J874">
        <v>9</v>
      </c>
      <c r="K874">
        <v>5</v>
      </c>
      <c r="L874" t="s">
        <v>26</v>
      </c>
      <c r="M874" t="s">
        <v>27</v>
      </c>
      <c r="N874" t="s">
        <v>28</v>
      </c>
      <c r="O874">
        <v>7</v>
      </c>
      <c r="P874" t="s">
        <v>42</v>
      </c>
      <c r="Q874">
        <v>2.5</v>
      </c>
      <c r="R874" t="str" cm="1">
        <f t="array" ref="R8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74" t="e">
        <f>IF(Table13[[#This Row],[Category All]]="Category 1", "Yes",NA())</f>
        <v>#N/A</v>
      </c>
      <c r="T874" t="e">
        <f>IF(Table13[[#This Row],[Category All]]="Category 2", "Yes",NA())</f>
        <v>#N/A</v>
      </c>
      <c r="U874" t="str">
        <f>IF(Table13[[#This Row],[Category All]]="Category 3", "Yes",NA())</f>
        <v>Yes</v>
      </c>
      <c r="V874">
        <f>SUM(1,(1/3)*(Table13[[#This Row],[Length]]-0.5),(1/3)*(Table13[[#This Row],[Diameter]]-0.4),(1/3)*(Table13[[#This Row],[Height]]-0.4)*Table13[[#This Row],[Whole_weight]]*0.5)</f>
        <v>1.0054399999999999</v>
      </c>
      <c r="W874" cm="1">
        <f t="array" ref="W8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1.0054399999999999</v>
      </c>
      <c r="X874" t="e">
        <f>IF(Table13[[#This Row],[Category All]]="Category 1",Table13[[#This Row],[Base Abalone Value]]*1.5,NA())</f>
        <v>#N/A</v>
      </c>
      <c r="Y874" t="e">
        <f>IF(Table13[[#This Row],[Category All]]="Category 2",Table13[[#This Row],[Base Abalone Value]]*0.8,NA())</f>
        <v>#N/A</v>
      </c>
      <c r="Z874">
        <f>IF(Table13[[#This Row],[Category All]]="Category 3",Table13[[#This Row],[Base Abalone Value]],NA())</f>
        <v>1.0054399999999999</v>
      </c>
      <c r="AA874" s="2">
        <f>IF(Table13[[#This Row],[Gender]]="M",Table13[[#This Row],[Whole_weight]],NA())</f>
        <v>1.1140000000000001</v>
      </c>
      <c r="AB874" s="2" t="e">
        <f>IF(Table13[[#This Row],[Gender]]="F",Table13[[#This Row],[Whole_weight]],NA())</f>
        <v>#N/A</v>
      </c>
      <c r="AC874" s="2" t="e">
        <f>IF(Table13[[#This Row],[Gender]]="I",Table13[[#This Row],[Whole_weight]],NA())</f>
        <v>#N/A</v>
      </c>
      <c r="AD874" s="2">
        <f>IF(Table13[[#This Row],[Gender]]="M",Table13[[#This Row],[Diameter]],NA())</f>
        <v>0.47499999999999998</v>
      </c>
      <c r="AE874" s="2" t="e">
        <f>IF(Table13[[#This Row],[Gender]]="F",Table13[[#This Row],[Diameter]],NA())</f>
        <v>#N/A</v>
      </c>
      <c r="AF874" s="2" t="e">
        <f>IF(Table13[[#This Row],[Gender]]="I",Table13[[#This Row],[Diameter]],NA())</f>
        <v>#N/A</v>
      </c>
    </row>
    <row r="875" spans="1:32" x14ac:dyDescent="0.2">
      <c r="A875">
        <v>1386</v>
      </c>
      <c r="B875" t="s">
        <v>11</v>
      </c>
      <c r="C875">
        <v>0.63</v>
      </c>
      <c r="D875">
        <v>0.505</v>
      </c>
      <c r="E875">
        <v>0.18</v>
      </c>
      <c r="F875">
        <v>1.272</v>
      </c>
      <c r="G875">
        <v>0.60250000000000004</v>
      </c>
      <c r="H875">
        <v>0.29499999999999998</v>
      </c>
      <c r="I875">
        <v>0.315</v>
      </c>
      <c r="J875">
        <v>11</v>
      </c>
      <c r="K875">
        <v>13</v>
      </c>
      <c r="L875" t="s">
        <v>12</v>
      </c>
      <c r="M875" t="s">
        <v>13</v>
      </c>
      <c r="N875" t="s">
        <v>3</v>
      </c>
      <c r="O875">
        <v>1</v>
      </c>
      <c r="P875" t="s">
        <v>4</v>
      </c>
      <c r="Q875">
        <v>22.1</v>
      </c>
      <c r="R875" t="str" cm="1">
        <f t="array" ref="R8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75" t="e">
        <f>IF(Table13[[#This Row],[Category All]]="Category 1", "Yes",NA())</f>
        <v>#N/A</v>
      </c>
      <c r="T875" t="e">
        <f>IF(Table13[[#This Row],[Category All]]="Category 2", "Yes",NA())</f>
        <v>#N/A</v>
      </c>
      <c r="U875" t="str">
        <f>IF(Table13[[#This Row],[Category All]]="Category 3", "Yes",NA())</f>
        <v>Yes</v>
      </c>
      <c r="V875">
        <f>SUM(1,(1/3)*(Table13[[#This Row],[Length]]-0.5),(1/3)*(Table13[[#This Row],[Diameter]]-0.4),(1/3)*(Table13[[#This Row],[Height]]-0.4)*Table13[[#This Row],[Whole_weight]]*0.5)</f>
        <v>1.0316933333333334</v>
      </c>
      <c r="W875" cm="1">
        <f t="array" ref="W8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1.0316933333333334</v>
      </c>
      <c r="X875" t="e">
        <f>IF(Table13[[#This Row],[Category All]]="Category 1",Table13[[#This Row],[Base Abalone Value]]*1.5,NA())</f>
        <v>#N/A</v>
      </c>
      <c r="Y875" t="e">
        <f>IF(Table13[[#This Row],[Category All]]="Category 2",Table13[[#This Row],[Base Abalone Value]]*0.8,NA())</f>
        <v>#N/A</v>
      </c>
      <c r="Z875">
        <f>IF(Table13[[#This Row],[Category All]]="Category 3",Table13[[#This Row],[Base Abalone Value]],NA())</f>
        <v>1.0316933333333334</v>
      </c>
      <c r="AA875" s="2" t="e">
        <f>IF(Table13[[#This Row],[Gender]]="M",Table13[[#This Row],[Whole_weight]],NA())</f>
        <v>#N/A</v>
      </c>
      <c r="AB875" s="2" t="e">
        <f>IF(Table13[[#This Row],[Gender]]="F",Table13[[#This Row],[Whole_weight]],NA())</f>
        <v>#N/A</v>
      </c>
      <c r="AC875" s="2">
        <f>IF(Table13[[#This Row],[Gender]]="I",Table13[[#This Row],[Whole_weight]],NA())</f>
        <v>1.272</v>
      </c>
      <c r="AD875" s="2" t="e">
        <f>IF(Table13[[#This Row],[Gender]]="M",Table13[[#This Row],[Diameter]],NA())</f>
        <v>#N/A</v>
      </c>
      <c r="AE875" s="2" t="e">
        <f>IF(Table13[[#This Row],[Gender]]="F",Table13[[#This Row],[Diameter]],NA())</f>
        <v>#N/A</v>
      </c>
      <c r="AF875" s="2">
        <f>IF(Table13[[#This Row],[Gender]]="I",Table13[[#This Row],[Diameter]],NA())</f>
        <v>0.505</v>
      </c>
    </row>
    <row r="876" spans="1:32" x14ac:dyDescent="0.2">
      <c r="A876">
        <v>1909</v>
      </c>
      <c r="B876" t="s">
        <v>15</v>
      </c>
      <c r="C876">
        <v>0.57499999999999996</v>
      </c>
      <c r="D876">
        <v>0.47499999999999998</v>
      </c>
      <c r="E876">
        <v>0.14499999999999999</v>
      </c>
      <c r="F876">
        <v>0.85699999999999998</v>
      </c>
      <c r="G876">
        <v>0.36649999999999999</v>
      </c>
      <c r="H876">
        <v>0.17299999999999999</v>
      </c>
      <c r="I876">
        <v>0.26900000000000002</v>
      </c>
      <c r="J876">
        <v>9</v>
      </c>
      <c r="K876">
        <v>1</v>
      </c>
      <c r="L876" t="s">
        <v>8</v>
      </c>
      <c r="M876" t="s">
        <v>9</v>
      </c>
      <c r="N876" t="s">
        <v>3</v>
      </c>
      <c r="O876">
        <v>7</v>
      </c>
      <c r="P876" t="s">
        <v>42</v>
      </c>
      <c r="Q876">
        <v>2.5</v>
      </c>
      <c r="R876" t="str" cm="1">
        <f t="array" ref="R8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76" t="e">
        <f>IF(Table13[[#This Row],[Category All]]="Category 1", "Yes",NA())</f>
        <v>#N/A</v>
      </c>
      <c r="T876" t="str">
        <f>IF(Table13[[#This Row],[Category All]]="Category 2", "Yes",NA())</f>
        <v>Yes</v>
      </c>
      <c r="U876" t="e">
        <f>IF(Table13[[#This Row],[Category All]]="Category 3", "Yes",NA())</f>
        <v>#N/A</v>
      </c>
      <c r="V876">
        <f>SUM(1,(1/3)*(Table13[[#This Row],[Length]]-0.5),(1/3)*(Table13[[#This Row],[Diameter]]-0.4),(1/3)*(Table13[[#This Row],[Height]]-0.4)*Table13[[#This Row],[Whole_weight]]*0.5)</f>
        <v>1.0135774999999998</v>
      </c>
      <c r="W876" cm="1">
        <f t="array" ref="W8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0.81086199999999986</v>
      </c>
      <c r="X876" t="e">
        <f>IF(Table13[[#This Row],[Category All]]="Category 1",Table13[[#This Row],[Base Abalone Value]]*1.5,NA())</f>
        <v>#N/A</v>
      </c>
      <c r="Y876">
        <f>IF(Table13[[#This Row],[Category All]]="Category 2",Table13[[#This Row],[Base Abalone Value]]*0.8,NA())</f>
        <v>0.81086199999999986</v>
      </c>
      <c r="Z876" t="e">
        <f>IF(Table13[[#This Row],[Category All]]="Category 3",Table13[[#This Row],[Base Abalone Value]],NA())</f>
        <v>#N/A</v>
      </c>
      <c r="AA876" s="2">
        <f>IF(Table13[[#This Row],[Gender]]="M",Table13[[#This Row],[Whole_weight]],NA())</f>
        <v>0.85699999999999998</v>
      </c>
      <c r="AB876" s="2" t="e">
        <f>IF(Table13[[#This Row],[Gender]]="F",Table13[[#This Row],[Whole_weight]],NA())</f>
        <v>#N/A</v>
      </c>
      <c r="AC876" s="2" t="e">
        <f>IF(Table13[[#This Row],[Gender]]="I",Table13[[#This Row],[Whole_weight]],NA())</f>
        <v>#N/A</v>
      </c>
      <c r="AD876" s="2">
        <f>IF(Table13[[#This Row],[Gender]]="M",Table13[[#This Row],[Diameter]],NA())</f>
        <v>0.47499999999999998</v>
      </c>
      <c r="AE876" s="2" t="e">
        <f>IF(Table13[[#This Row],[Gender]]="F",Table13[[#This Row],[Diameter]],NA())</f>
        <v>#N/A</v>
      </c>
      <c r="AF876" s="2" t="e">
        <f>IF(Table13[[#This Row],[Gender]]="I",Table13[[#This Row],[Diameter]],NA())</f>
        <v>#N/A</v>
      </c>
    </row>
    <row r="877" spans="1:32" x14ac:dyDescent="0.2">
      <c r="A877">
        <v>3761</v>
      </c>
      <c r="B877" t="s">
        <v>15</v>
      </c>
      <c r="C877">
        <v>0.53</v>
      </c>
      <c r="D877">
        <v>0.42499999999999999</v>
      </c>
      <c r="E877">
        <v>0.13</v>
      </c>
      <c r="F877">
        <v>0.70199999999999996</v>
      </c>
      <c r="G877">
        <v>0.29749999999999999</v>
      </c>
      <c r="H877">
        <v>0.13950000000000001</v>
      </c>
      <c r="I877">
        <v>0.22</v>
      </c>
      <c r="J877">
        <v>9</v>
      </c>
      <c r="K877">
        <v>2</v>
      </c>
      <c r="L877" t="s">
        <v>32</v>
      </c>
      <c r="M877" t="s">
        <v>33</v>
      </c>
      <c r="N877" t="s">
        <v>34</v>
      </c>
      <c r="O877">
        <v>10</v>
      </c>
      <c r="P877" t="s">
        <v>38</v>
      </c>
      <c r="Q877">
        <v>24.1</v>
      </c>
      <c r="R877" t="str" cm="1">
        <f t="array" ref="R8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77" t="e">
        <f>IF(Table13[[#This Row],[Category All]]="Category 1", "Yes",NA())</f>
        <v>#N/A</v>
      </c>
      <c r="T877" t="str">
        <f>IF(Table13[[#This Row],[Category All]]="Category 2", "Yes",NA())</f>
        <v>Yes</v>
      </c>
      <c r="U877" t="e">
        <f>IF(Table13[[#This Row],[Category All]]="Category 3", "Yes",NA())</f>
        <v>#N/A</v>
      </c>
      <c r="V877">
        <f>SUM(1,(1/3)*(Table13[[#This Row],[Length]]-0.5),(1/3)*(Table13[[#This Row],[Diameter]]-0.4),(1/3)*(Table13[[#This Row],[Height]]-0.4)*Table13[[#This Row],[Whole_weight]]*0.5)</f>
        <v>0.98674333333333331</v>
      </c>
      <c r="W877" cm="1">
        <f t="array" ref="W8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0.78939466666666669</v>
      </c>
      <c r="X877" t="e">
        <f>IF(Table13[[#This Row],[Category All]]="Category 1",Table13[[#This Row],[Base Abalone Value]]*1.5,NA())</f>
        <v>#N/A</v>
      </c>
      <c r="Y877">
        <f>IF(Table13[[#This Row],[Category All]]="Category 2",Table13[[#This Row],[Base Abalone Value]]*0.8,NA())</f>
        <v>0.78939466666666669</v>
      </c>
      <c r="Z877" t="e">
        <f>IF(Table13[[#This Row],[Category All]]="Category 3",Table13[[#This Row],[Base Abalone Value]],NA())</f>
        <v>#N/A</v>
      </c>
      <c r="AA877" s="2">
        <f>IF(Table13[[#This Row],[Gender]]="M",Table13[[#This Row],[Whole_weight]],NA())</f>
        <v>0.70199999999999996</v>
      </c>
      <c r="AB877" s="2" t="e">
        <f>IF(Table13[[#This Row],[Gender]]="F",Table13[[#This Row],[Whole_weight]],NA())</f>
        <v>#N/A</v>
      </c>
      <c r="AC877" s="2" t="e">
        <f>IF(Table13[[#This Row],[Gender]]="I",Table13[[#This Row],[Whole_weight]],NA())</f>
        <v>#N/A</v>
      </c>
      <c r="AD877" s="2">
        <f>IF(Table13[[#This Row],[Gender]]="M",Table13[[#This Row],[Diameter]],NA())</f>
        <v>0.42499999999999999</v>
      </c>
      <c r="AE877" s="2" t="e">
        <f>IF(Table13[[#This Row],[Gender]]="F",Table13[[#This Row],[Diameter]],NA())</f>
        <v>#N/A</v>
      </c>
      <c r="AF877" s="2" t="e">
        <f>IF(Table13[[#This Row],[Gender]]="I",Table13[[#This Row],[Diameter]],NA())</f>
        <v>#N/A</v>
      </c>
    </row>
    <row r="878" spans="1:32" x14ac:dyDescent="0.2">
      <c r="A878">
        <v>4153</v>
      </c>
      <c r="B878" t="s">
        <v>11</v>
      </c>
      <c r="C878">
        <v>0.37</v>
      </c>
      <c r="D878">
        <v>0.28000000000000003</v>
      </c>
      <c r="E878">
        <v>0.09</v>
      </c>
      <c r="F878">
        <v>0.218</v>
      </c>
      <c r="G878">
        <v>9.9500000000000005E-2</v>
      </c>
      <c r="H878">
        <v>5.45E-2</v>
      </c>
      <c r="I878">
        <v>6.1499999999999999E-2</v>
      </c>
      <c r="J878">
        <v>7</v>
      </c>
      <c r="K878">
        <v>8</v>
      </c>
      <c r="L878" t="s">
        <v>29</v>
      </c>
      <c r="M878" t="s">
        <v>30</v>
      </c>
      <c r="N878" t="s">
        <v>31</v>
      </c>
      <c r="O878">
        <v>8</v>
      </c>
      <c r="P878" t="s">
        <v>19</v>
      </c>
      <c r="Q878">
        <v>12.3</v>
      </c>
      <c r="R878" t="str" cm="1">
        <f t="array" ref="R8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78" t="e">
        <f>IF(Table13[[#This Row],[Category All]]="Category 1", "Yes",NA())</f>
        <v>#N/A</v>
      </c>
      <c r="T878" t="str">
        <f>IF(Table13[[#This Row],[Category All]]="Category 2", "Yes",NA())</f>
        <v>Yes</v>
      </c>
      <c r="U878" t="e">
        <f>IF(Table13[[#This Row],[Category All]]="Category 3", "Yes",NA())</f>
        <v>#N/A</v>
      </c>
      <c r="V878">
        <f>SUM(1,(1/3)*(Table13[[#This Row],[Length]]-0.5),(1/3)*(Table13[[#This Row],[Diameter]]-0.4),(1/3)*(Table13[[#This Row],[Height]]-0.4)*Table13[[#This Row],[Whole_weight]]*0.5)</f>
        <v>0.90540333333333334</v>
      </c>
      <c r="W878" cm="1">
        <f t="array" ref="W8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0.72432266666666667</v>
      </c>
      <c r="X878" t="e">
        <f>IF(Table13[[#This Row],[Category All]]="Category 1",Table13[[#This Row],[Base Abalone Value]]*1.5,NA())</f>
        <v>#N/A</v>
      </c>
      <c r="Y878">
        <f>IF(Table13[[#This Row],[Category All]]="Category 2",Table13[[#This Row],[Base Abalone Value]]*0.8,NA())</f>
        <v>0.72432266666666667</v>
      </c>
      <c r="Z878" t="e">
        <f>IF(Table13[[#This Row],[Category All]]="Category 3",Table13[[#This Row],[Base Abalone Value]],NA())</f>
        <v>#N/A</v>
      </c>
      <c r="AA878" s="2" t="e">
        <f>IF(Table13[[#This Row],[Gender]]="M",Table13[[#This Row],[Whole_weight]],NA())</f>
        <v>#N/A</v>
      </c>
      <c r="AB878" s="2" t="e">
        <f>IF(Table13[[#This Row],[Gender]]="F",Table13[[#This Row],[Whole_weight]],NA())</f>
        <v>#N/A</v>
      </c>
      <c r="AC878" s="2">
        <f>IF(Table13[[#This Row],[Gender]]="I",Table13[[#This Row],[Whole_weight]],NA())</f>
        <v>0.218</v>
      </c>
      <c r="AD878" s="2" t="e">
        <f>IF(Table13[[#This Row],[Gender]]="M",Table13[[#This Row],[Diameter]],NA())</f>
        <v>#N/A</v>
      </c>
      <c r="AE878" s="2" t="e">
        <f>IF(Table13[[#This Row],[Gender]]="F",Table13[[#This Row],[Diameter]],NA())</f>
        <v>#N/A</v>
      </c>
      <c r="AF878" s="2">
        <f>IF(Table13[[#This Row],[Gender]]="I",Table13[[#This Row],[Diameter]],NA())</f>
        <v>0.28000000000000003</v>
      </c>
    </row>
    <row r="879" spans="1:32" x14ac:dyDescent="0.2">
      <c r="A879">
        <v>2934</v>
      </c>
      <c r="B879" t="s">
        <v>0</v>
      </c>
      <c r="C879">
        <v>0.61499999999999999</v>
      </c>
      <c r="D879">
        <v>0.495</v>
      </c>
      <c r="E879">
        <v>0.16500000000000001</v>
      </c>
      <c r="F879">
        <v>1.198</v>
      </c>
      <c r="G879">
        <v>0.54149999999999998</v>
      </c>
      <c r="H879">
        <v>0.28649999999999998</v>
      </c>
      <c r="I879">
        <v>0.31850000000000001</v>
      </c>
      <c r="J879">
        <v>10</v>
      </c>
      <c r="K879">
        <v>6</v>
      </c>
      <c r="L879" t="s">
        <v>39</v>
      </c>
      <c r="M879" t="s">
        <v>40</v>
      </c>
      <c r="N879" t="s">
        <v>41</v>
      </c>
      <c r="O879">
        <v>9</v>
      </c>
      <c r="P879" t="s">
        <v>46</v>
      </c>
      <c r="Q879">
        <v>1.9</v>
      </c>
      <c r="R879" t="str" cm="1">
        <f t="array" ref="R8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79" t="e">
        <f>IF(Table13[[#This Row],[Category All]]="Category 1", "Yes",NA())</f>
        <v>#N/A</v>
      </c>
      <c r="T879" t="e">
        <f>IF(Table13[[#This Row],[Category All]]="Category 2", "Yes",NA())</f>
        <v>#N/A</v>
      </c>
      <c r="U879" t="str">
        <f>IF(Table13[[#This Row],[Category All]]="Category 3", "Yes",NA())</f>
        <v>Yes</v>
      </c>
      <c r="V879">
        <f>SUM(1,(1/3)*(Table13[[#This Row],[Length]]-0.5),(1/3)*(Table13[[#This Row],[Diameter]]-0.4),(1/3)*(Table13[[#This Row],[Height]]-0.4)*Table13[[#This Row],[Whole_weight]]*0.5)</f>
        <v>1.0230783333333333</v>
      </c>
      <c r="W879" cm="1">
        <f t="array" ref="W8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1.0230783333333333</v>
      </c>
      <c r="X879" t="e">
        <f>IF(Table13[[#This Row],[Category All]]="Category 1",Table13[[#This Row],[Base Abalone Value]]*1.5,NA())</f>
        <v>#N/A</v>
      </c>
      <c r="Y879" t="e">
        <f>IF(Table13[[#This Row],[Category All]]="Category 2",Table13[[#This Row],[Base Abalone Value]]*0.8,NA())</f>
        <v>#N/A</v>
      </c>
      <c r="Z879">
        <f>IF(Table13[[#This Row],[Category All]]="Category 3",Table13[[#This Row],[Base Abalone Value]],NA())</f>
        <v>1.0230783333333333</v>
      </c>
      <c r="AA879" s="2" t="e">
        <f>IF(Table13[[#This Row],[Gender]]="M",Table13[[#This Row],[Whole_weight]],NA())</f>
        <v>#N/A</v>
      </c>
      <c r="AB879" s="2">
        <f>IF(Table13[[#This Row],[Gender]]="F",Table13[[#This Row],[Whole_weight]],NA())</f>
        <v>1.198</v>
      </c>
      <c r="AC879" s="2" t="e">
        <f>IF(Table13[[#This Row],[Gender]]="I",Table13[[#This Row],[Whole_weight]],NA())</f>
        <v>#N/A</v>
      </c>
      <c r="AD879" s="2" t="e">
        <f>IF(Table13[[#This Row],[Gender]]="M",Table13[[#This Row],[Diameter]],NA())</f>
        <v>#N/A</v>
      </c>
      <c r="AE879" s="2">
        <f>IF(Table13[[#This Row],[Gender]]="F",Table13[[#This Row],[Diameter]],NA())</f>
        <v>0.495</v>
      </c>
      <c r="AF879" s="2" t="e">
        <f>IF(Table13[[#This Row],[Gender]]="I",Table13[[#This Row],[Diameter]],NA())</f>
        <v>#N/A</v>
      </c>
    </row>
    <row r="880" spans="1:32" x14ac:dyDescent="0.2">
      <c r="A880">
        <v>92</v>
      </c>
      <c r="B880" t="s">
        <v>15</v>
      </c>
      <c r="C880">
        <v>0.55500000000000005</v>
      </c>
      <c r="D880">
        <v>0.44</v>
      </c>
      <c r="E880">
        <v>0.15</v>
      </c>
      <c r="F880">
        <v>0.755</v>
      </c>
      <c r="G880">
        <v>0.307</v>
      </c>
      <c r="H880">
        <v>0.1525</v>
      </c>
      <c r="I880">
        <v>0.26</v>
      </c>
      <c r="J880">
        <v>12</v>
      </c>
      <c r="K880">
        <v>5</v>
      </c>
      <c r="L880" t="s">
        <v>26</v>
      </c>
      <c r="M880" t="s">
        <v>27</v>
      </c>
      <c r="N880" t="s">
        <v>28</v>
      </c>
      <c r="O880">
        <v>4</v>
      </c>
      <c r="P880" t="s">
        <v>10</v>
      </c>
      <c r="Q880">
        <v>6.1</v>
      </c>
      <c r="R880" t="str" cm="1">
        <f t="array" ref="R8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80" t="e">
        <f>IF(Table13[[#This Row],[Category All]]="Category 1", "Yes",NA())</f>
        <v>#N/A</v>
      </c>
      <c r="T880" t="str">
        <f>IF(Table13[[#This Row],[Category All]]="Category 2", "Yes",NA())</f>
        <v>Yes</v>
      </c>
      <c r="U880" t="e">
        <f>IF(Table13[[#This Row],[Category All]]="Category 3", "Yes",NA())</f>
        <v>#N/A</v>
      </c>
      <c r="V880">
        <f>SUM(1,(1/3)*(Table13[[#This Row],[Length]]-0.5),(1/3)*(Table13[[#This Row],[Diameter]]-0.4),(1/3)*(Table13[[#This Row],[Height]]-0.4)*Table13[[#This Row],[Whole_weight]]*0.5)</f>
        <v>1.0002083333333334</v>
      </c>
      <c r="W880" cm="1">
        <f t="array" ref="W8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0.80016666666666669</v>
      </c>
      <c r="X880" t="e">
        <f>IF(Table13[[#This Row],[Category All]]="Category 1",Table13[[#This Row],[Base Abalone Value]]*1.5,NA())</f>
        <v>#N/A</v>
      </c>
      <c r="Y880">
        <f>IF(Table13[[#This Row],[Category All]]="Category 2",Table13[[#This Row],[Base Abalone Value]]*0.8,NA())</f>
        <v>0.80016666666666669</v>
      </c>
      <c r="Z880" t="e">
        <f>IF(Table13[[#This Row],[Category All]]="Category 3",Table13[[#This Row],[Base Abalone Value]],NA())</f>
        <v>#N/A</v>
      </c>
      <c r="AA880" s="2">
        <f>IF(Table13[[#This Row],[Gender]]="M",Table13[[#This Row],[Whole_weight]],NA())</f>
        <v>0.755</v>
      </c>
      <c r="AB880" s="2" t="e">
        <f>IF(Table13[[#This Row],[Gender]]="F",Table13[[#This Row],[Whole_weight]],NA())</f>
        <v>#N/A</v>
      </c>
      <c r="AC880" s="2" t="e">
        <f>IF(Table13[[#This Row],[Gender]]="I",Table13[[#This Row],[Whole_weight]],NA())</f>
        <v>#N/A</v>
      </c>
      <c r="AD880" s="2">
        <f>IF(Table13[[#This Row],[Gender]]="M",Table13[[#This Row],[Diameter]],NA())</f>
        <v>0.44</v>
      </c>
      <c r="AE880" s="2" t="e">
        <f>IF(Table13[[#This Row],[Gender]]="F",Table13[[#This Row],[Diameter]],NA())</f>
        <v>#N/A</v>
      </c>
      <c r="AF880" s="2" t="e">
        <f>IF(Table13[[#This Row],[Gender]]="I",Table13[[#This Row],[Diameter]],NA())</f>
        <v>#N/A</v>
      </c>
    </row>
    <row r="881" spans="1:32" x14ac:dyDescent="0.2">
      <c r="A881">
        <v>1817</v>
      </c>
      <c r="B881" t="s">
        <v>0</v>
      </c>
      <c r="C881">
        <v>0.67500000000000004</v>
      </c>
      <c r="D881">
        <v>0.53</v>
      </c>
      <c r="E881">
        <v>0.17499999999999999</v>
      </c>
      <c r="F881">
        <v>1.4464999999999999</v>
      </c>
      <c r="G881">
        <v>0.67749999999999999</v>
      </c>
      <c r="H881">
        <v>0.33</v>
      </c>
      <c r="I881">
        <v>0.38900000000000001</v>
      </c>
      <c r="J881">
        <v>10</v>
      </c>
      <c r="K881">
        <v>1</v>
      </c>
      <c r="L881" t="s">
        <v>8</v>
      </c>
      <c r="M881" t="s">
        <v>9</v>
      </c>
      <c r="N881" t="s">
        <v>3</v>
      </c>
      <c r="O881">
        <v>6</v>
      </c>
      <c r="P881" t="s">
        <v>47</v>
      </c>
      <c r="Q881">
        <v>14.1</v>
      </c>
      <c r="R881" t="str" cm="1">
        <f t="array" ref="R8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81" t="e">
        <f>IF(Table13[[#This Row],[Category All]]="Category 1", "Yes",NA())</f>
        <v>#N/A</v>
      </c>
      <c r="T881" t="e">
        <f>IF(Table13[[#This Row],[Category All]]="Category 2", "Yes",NA())</f>
        <v>#N/A</v>
      </c>
      <c r="U881" t="str">
        <f>IF(Table13[[#This Row],[Category All]]="Category 3", "Yes",NA())</f>
        <v>Yes</v>
      </c>
      <c r="V881">
        <f>SUM(1,(1/3)*(Table13[[#This Row],[Length]]-0.5),(1/3)*(Table13[[#This Row],[Diameter]]-0.4),(1/3)*(Table13[[#This Row],[Height]]-0.4)*Table13[[#This Row],[Whole_weight]]*0.5)</f>
        <v>1.0474229166666666</v>
      </c>
      <c r="W881" cm="1">
        <f t="array" ref="W8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1.0474229166666666</v>
      </c>
      <c r="X881" t="e">
        <f>IF(Table13[[#This Row],[Category All]]="Category 1",Table13[[#This Row],[Base Abalone Value]]*1.5,NA())</f>
        <v>#N/A</v>
      </c>
      <c r="Y881" t="e">
        <f>IF(Table13[[#This Row],[Category All]]="Category 2",Table13[[#This Row],[Base Abalone Value]]*0.8,NA())</f>
        <v>#N/A</v>
      </c>
      <c r="Z881">
        <f>IF(Table13[[#This Row],[Category All]]="Category 3",Table13[[#This Row],[Base Abalone Value]],NA())</f>
        <v>1.0474229166666666</v>
      </c>
      <c r="AA881" s="2" t="e">
        <f>IF(Table13[[#This Row],[Gender]]="M",Table13[[#This Row],[Whole_weight]],NA())</f>
        <v>#N/A</v>
      </c>
      <c r="AB881" s="2">
        <f>IF(Table13[[#This Row],[Gender]]="F",Table13[[#This Row],[Whole_weight]],NA())</f>
        <v>1.4464999999999999</v>
      </c>
      <c r="AC881" s="2" t="e">
        <f>IF(Table13[[#This Row],[Gender]]="I",Table13[[#This Row],[Whole_weight]],NA())</f>
        <v>#N/A</v>
      </c>
      <c r="AD881" s="2" t="e">
        <f>IF(Table13[[#This Row],[Gender]]="M",Table13[[#This Row],[Diameter]],NA())</f>
        <v>#N/A</v>
      </c>
      <c r="AE881" s="2">
        <f>IF(Table13[[#This Row],[Gender]]="F",Table13[[#This Row],[Diameter]],NA())</f>
        <v>0.53</v>
      </c>
      <c r="AF881" s="2" t="e">
        <f>IF(Table13[[#This Row],[Gender]]="I",Table13[[#This Row],[Diameter]],NA())</f>
        <v>#N/A</v>
      </c>
    </row>
    <row r="882" spans="1:32" x14ac:dyDescent="0.2">
      <c r="A882">
        <v>1154</v>
      </c>
      <c r="B882" t="s">
        <v>0</v>
      </c>
      <c r="C882">
        <v>0.6</v>
      </c>
      <c r="D882">
        <v>0.47499999999999998</v>
      </c>
      <c r="E882">
        <v>0.16</v>
      </c>
      <c r="F882">
        <v>1.0265</v>
      </c>
      <c r="G882">
        <v>0.48499999999999999</v>
      </c>
      <c r="H882">
        <v>0.2495</v>
      </c>
      <c r="I882">
        <v>0.25650000000000001</v>
      </c>
      <c r="J882">
        <v>9</v>
      </c>
      <c r="K882">
        <v>14</v>
      </c>
      <c r="L882" t="s">
        <v>23</v>
      </c>
      <c r="M882" t="s">
        <v>24</v>
      </c>
      <c r="N882" t="s">
        <v>25</v>
      </c>
      <c r="O882">
        <v>7</v>
      </c>
      <c r="P882" t="s">
        <v>42</v>
      </c>
      <c r="Q882">
        <v>2.5</v>
      </c>
      <c r="R882" t="str" cm="1">
        <f t="array" ref="R8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82" t="e">
        <f>IF(Table13[[#This Row],[Category All]]="Category 1", "Yes",NA())</f>
        <v>#N/A</v>
      </c>
      <c r="T882" t="e">
        <f>IF(Table13[[#This Row],[Category All]]="Category 2", "Yes",NA())</f>
        <v>#N/A</v>
      </c>
      <c r="U882" t="str">
        <f>IF(Table13[[#This Row],[Category All]]="Category 3", "Yes",NA())</f>
        <v>Yes</v>
      </c>
      <c r="V882">
        <f>SUM(1,(1/3)*(Table13[[#This Row],[Length]]-0.5),(1/3)*(Table13[[#This Row],[Diameter]]-0.4),(1/3)*(Table13[[#This Row],[Height]]-0.4)*Table13[[#This Row],[Whole_weight]]*0.5)</f>
        <v>1.017273333333333</v>
      </c>
      <c r="W882" cm="1">
        <f t="array" ref="W8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1.017273333333333</v>
      </c>
      <c r="X882" t="e">
        <f>IF(Table13[[#This Row],[Category All]]="Category 1",Table13[[#This Row],[Base Abalone Value]]*1.5,NA())</f>
        <v>#N/A</v>
      </c>
      <c r="Y882" t="e">
        <f>IF(Table13[[#This Row],[Category All]]="Category 2",Table13[[#This Row],[Base Abalone Value]]*0.8,NA())</f>
        <v>#N/A</v>
      </c>
      <c r="Z882">
        <f>IF(Table13[[#This Row],[Category All]]="Category 3",Table13[[#This Row],[Base Abalone Value]],NA())</f>
        <v>1.017273333333333</v>
      </c>
      <c r="AA882" s="2" t="e">
        <f>IF(Table13[[#This Row],[Gender]]="M",Table13[[#This Row],[Whole_weight]],NA())</f>
        <v>#N/A</v>
      </c>
      <c r="AB882" s="2">
        <f>IF(Table13[[#This Row],[Gender]]="F",Table13[[#This Row],[Whole_weight]],NA())</f>
        <v>1.0265</v>
      </c>
      <c r="AC882" s="2" t="e">
        <f>IF(Table13[[#This Row],[Gender]]="I",Table13[[#This Row],[Whole_weight]],NA())</f>
        <v>#N/A</v>
      </c>
      <c r="AD882" s="2" t="e">
        <f>IF(Table13[[#This Row],[Gender]]="M",Table13[[#This Row],[Diameter]],NA())</f>
        <v>#N/A</v>
      </c>
      <c r="AE882" s="2">
        <f>IF(Table13[[#This Row],[Gender]]="F",Table13[[#This Row],[Diameter]],NA())</f>
        <v>0.47499999999999998</v>
      </c>
      <c r="AF882" s="2" t="e">
        <f>IF(Table13[[#This Row],[Gender]]="I",Table13[[#This Row],[Diameter]],NA())</f>
        <v>#N/A</v>
      </c>
    </row>
    <row r="883" spans="1:32" x14ac:dyDescent="0.2">
      <c r="A883">
        <v>1415</v>
      </c>
      <c r="B883" t="s">
        <v>15</v>
      </c>
      <c r="C883">
        <v>0.68500000000000005</v>
      </c>
      <c r="D883">
        <v>0.54500000000000004</v>
      </c>
      <c r="E883">
        <v>0.20499999999999999</v>
      </c>
      <c r="F883">
        <v>1.7925</v>
      </c>
      <c r="G883">
        <v>0.8145</v>
      </c>
      <c r="H883">
        <v>0.41599999999999998</v>
      </c>
      <c r="I883">
        <v>0.46100000000000002</v>
      </c>
      <c r="J883">
        <v>9</v>
      </c>
      <c r="K883">
        <v>4</v>
      </c>
      <c r="L883" t="s">
        <v>52</v>
      </c>
      <c r="M883" t="s">
        <v>53</v>
      </c>
      <c r="N883" t="s">
        <v>54</v>
      </c>
      <c r="O883">
        <v>9</v>
      </c>
      <c r="P883" t="s">
        <v>46</v>
      </c>
      <c r="Q883">
        <v>1.9</v>
      </c>
      <c r="R883" t="str" cm="1">
        <f t="array" ref="R8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83" t="e">
        <f>IF(Table13[[#This Row],[Category All]]="Category 1", "Yes",NA())</f>
        <v>#N/A</v>
      </c>
      <c r="T883" t="e">
        <f>IF(Table13[[#This Row],[Category All]]="Category 2", "Yes",NA())</f>
        <v>#N/A</v>
      </c>
      <c r="U883" t="str">
        <f>IF(Table13[[#This Row],[Category All]]="Category 3", "Yes",NA())</f>
        <v>Yes</v>
      </c>
      <c r="V883">
        <f>SUM(1,(1/3)*(Table13[[#This Row],[Length]]-0.5),(1/3)*(Table13[[#This Row],[Diameter]]-0.4),(1/3)*(Table13[[#This Row],[Height]]-0.4)*Table13[[#This Row],[Whole_weight]]*0.5)</f>
        <v>1.0517437500000002</v>
      </c>
      <c r="W883" cm="1">
        <f t="array" ref="W8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1.0517437500000002</v>
      </c>
      <c r="X883" t="e">
        <f>IF(Table13[[#This Row],[Category All]]="Category 1",Table13[[#This Row],[Base Abalone Value]]*1.5,NA())</f>
        <v>#N/A</v>
      </c>
      <c r="Y883" t="e">
        <f>IF(Table13[[#This Row],[Category All]]="Category 2",Table13[[#This Row],[Base Abalone Value]]*0.8,NA())</f>
        <v>#N/A</v>
      </c>
      <c r="Z883">
        <f>IF(Table13[[#This Row],[Category All]]="Category 3",Table13[[#This Row],[Base Abalone Value]],NA())</f>
        <v>1.0517437500000002</v>
      </c>
      <c r="AA883" s="2">
        <f>IF(Table13[[#This Row],[Gender]]="M",Table13[[#This Row],[Whole_weight]],NA())</f>
        <v>1.7925</v>
      </c>
      <c r="AB883" s="2" t="e">
        <f>IF(Table13[[#This Row],[Gender]]="F",Table13[[#This Row],[Whole_weight]],NA())</f>
        <v>#N/A</v>
      </c>
      <c r="AC883" s="2" t="e">
        <f>IF(Table13[[#This Row],[Gender]]="I",Table13[[#This Row],[Whole_weight]],NA())</f>
        <v>#N/A</v>
      </c>
      <c r="AD883" s="2">
        <f>IF(Table13[[#This Row],[Gender]]="M",Table13[[#This Row],[Diameter]],NA())</f>
        <v>0.54500000000000004</v>
      </c>
      <c r="AE883" s="2" t="e">
        <f>IF(Table13[[#This Row],[Gender]]="F",Table13[[#This Row],[Diameter]],NA())</f>
        <v>#N/A</v>
      </c>
      <c r="AF883" s="2" t="e">
        <f>IF(Table13[[#This Row],[Gender]]="I",Table13[[#This Row],[Diameter]],NA())</f>
        <v>#N/A</v>
      </c>
    </row>
    <row r="884" spans="1:32" x14ac:dyDescent="0.2">
      <c r="A884">
        <v>2643</v>
      </c>
      <c r="B884" t="s">
        <v>11</v>
      </c>
      <c r="C884">
        <v>0.47499999999999998</v>
      </c>
      <c r="D884">
        <v>0.375</v>
      </c>
      <c r="E884">
        <v>0.115</v>
      </c>
      <c r="F884">
        <v>0.52049999999999996</v>
      </c>
      <c r="G884">
        <v>0.23300000000000001</v>
      </c>
      <c r="H884">
        <v>0.11899999999999999</v>
      </c>
      <c r="I884">
        <v>0.14549999999999999</v>
      </c>
      <c r="J884">
        <v>7</v>
      </c>
      <c r="K884">
        <v>11</v>
      </c>
      <c r="L884" t="s">
        <v>5</v>
      </c>
      <c r="M884" t="s">
        <v>6</v>
      </c>
      <c r="N884" t="s">
        <v>3</v>
      </c>
      <c r="O884">
        <v>1</v>
      </c>
      <c r="P884" t="s">
        <v>4</v>
      </c>
      <c r="Q884">
        <v>22.1</v>
      </c>
      <c r="R884" t="str" cm="1">
        <f t="array" ref="R8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84" t="e">
        <f>IF(Table13[[#This Row],[Category All]]="Category 1", "Yes",NA())</f>
        <v>#N/A</v>
      </c>
      <c r="T884" t="str">
        <f>IF(Table13[[#This Row],[Category All]]="Category 2", "Yes",NA())</f>
        <v>Yes</v>
      </c>
      <c r="U884" t="e">
        <f>IF(Table13[[#This Row],[Category All]]="Category 3", "Yes",NA())</f>
        <v>#N/A</v>
      </c>
      <c r="V884">
        <f>SUM(1,(1/3)*(Table13[[#This Row],[Length]]-0.5),(1/3)*(Table13[[#This Row],[Diameter]]-0.4),(1/3)*(Table13[[#This Row],[Height]]-0.4)*Table13[[#This Row],[Whole_weight]]*0.5)</f>
        <v>0.95860958333333335</v>
      </c>
      <c r="W884" cm="1">
        <f t="array" ref="W8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0.76688766666666675</v>
      </c>
      <c r="X884" t="e">
        <f>IF(Table13[[#This Row],[Category All]]="Category 1",Table13[[#This Row],[Base Abalone Value]]*1.5,NA())</f>
        <v>#N/A</v>
      </c>
      <c r="Y884">
        <f>IF(Table13[[#This Row],[Category All]]="Category 2",Table13[[#This Row],[Base Abalone Value]]*0.8,NA())</f>
        <v>0.76688766666666675</v>
      </c>
      <c r="Z884" t="e">
        <f>IF(Table13[[#This Row],[Category All]]="Category 3",Table13[[#This Row],[Base Abalone Value]],NA())</f>
        <v>#N/A</v>
      </c>
      <c r="AA884" s="2" t="e">
        <f>IF(Table13[[#This Row],[Gender]]="M",Table13[[#This Row],[Whole_weight]],NA())</f>
        <v>#N/A</v>
      </c>
      <c r="AB884" s="2" t="e">
        <f>IF(Table13[[#This Row],[Gender]]="F",Table13[[#This Row],[Whole_weight]],NA())</f>
        <v>#N/A</v>
      </c>
      <c r="AC884" s="2">
        <f>IF(Table13[[#This Row],[Gender]]="I",Table13[[#This Row],[Whole_weight]],NA())</f>
        <v>0.52049999999999996</v>
      </c>
      <c r="AD884" s="2" t="e">
        <f>IF(Table13[[#This Row],[Gender]]="M",Table13[[#This Row],[Diameter]],NA())</f>
        <v>#N/A</v>
      </c>
      <c r="AE884" s="2" t="e">
        <f>IF(Table13[[#This Row],[Gender]]="F",Table13[[#This Row],[Diameter]],NA())</f>
        <v>#N/A</v>
      </c>
      <c r="AF884" s="2">
        <f>IF(Table13[[#This Row],[Gender]]="I",Table13[[#This Row],[Diameter]],NA())</f>
        <v>0.375</v>
      </c>
    </row>
    <row r="885" spans="1:32" x14ac:dyDescent="0.2">
      <c r="A885">
        <v>2431</v>
      </c>
      <c r="B885" t="s">
        <v>11</v>
      </c>
      <c r="C885">
        <v>0.52</v>
      </c>
      <c r="D885">
        <v>0.38</v>
      </c>
      <c r="E885">
        <v>0.14000000000000001</v>
      </c>
      <c r="F885">
        <v>0.52500000000000002</v>
      </c>
      <c r="G885">
        <v>0.17749999999999999</v>
      </c>
      <c r="H885">
        <v>0.115</v>
      </c>
      <c r="I885">
        <v>0.185</v>
      </c>
      <c r="J885">
        <v>11</v>
      </c>
      <c r="K885">
        <v>10</v>
      </c>
      <c r="L885" t="s">
        <v>16</v>
      </c>
      <c r="M885" t="s">
        <v>17</v>
      </c>
      <c r="N885" t="s">
        <v>18</v>
      </c>
      <c r="O885">
        <v>2</v>
      </c>
      <c r="P885" t="s">
        <v>7</v>
      </c>
      <c r="Q885">
        <v>18</v>
      </c>
      <c r="R885" t="str" cm="1">
        <f t="array" ref="R8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85" t="e">
        <f>IF(Table13[[#This Row],[Category All]]="Category 1", "Yes",NA())</f>
        <v>#N/A</v>
      </c>
      <c r="T885" t="str">
        <f>IF(Table13[[#This Row],[Category All]]="Category 2", "Yes",NA())</f>
        <v>Yes</v>
      </c>
      <c r="U885" t="e">
        <f>IF(Table13[[#This Row],[Category All]]="Category 3", "Yes",NA())</f>
        <v>#N/A</v>
      </c>
      <c r="V885">
        <f>SUM(1,(1/3)*(Table13[[#This Row],[Length]]-0.5),(1/3)*(Table13[[#This Row],[Diameter]]-0.4),(1/3)*(Table13[[#This Row],[Height]]-0.4)*Table13[[#This Row],[Whole_weight]]*0.5)</f>
        <v>0.97724999999999984</v>
      </c>
      <c r="W885" cm="1">
        <f t="array" ref="W8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0.78179999999999994</v>
      </c>
      <c r="X885" t="e">
        <f>IF(Table13[[#This Row],[Category All]]="Category 1",Table13[[#This Row],[Base Abalone Value]]*1.5,NA())</f>
        <v>#N/A</v>
      </c>
      <c r="Y885">
        <f>IF(Table13[[#This Row],[Category All]]="Category 2",Table13[[#This Row],[Base Abalone Value]]*0.8,NA())</f>
        <v>0.78179999999999994</v>
      </c>
      <c r="Z885" t="e">
        <f>IF(Table13[[#This Row],[Category All]]="Category 3",Table13[[#This Row],[Base Abalone Value]],NA())</f>
        <v>#N/A</v>
      </c>
      <c r="AA885" s="2" t="e">
        <f>IF(Table13[[#This Row],[Gender]]="M",Table13[[#This Row],[Whole_weight]],NA())</f>
        <v>#N/A</v>
      </c>
      <c r="AB885" s="2" t="e">
        <f>IF(Table13[[#This Row],[Gender]]="F",Table13[[#This Row],[Whole_weight]],NA())</f>
        <v>#N/A</v>
      </c>
      <c r="AC885" s="2">
        <f>IF(Table13[[#This Row],[Gender]]="I",Table13[[#This Row],[Whole_weight]],NA())</f>
        <v>0.52500000000000002</v>
      </c>
      <c r="AD885" s="2" t="e">
        <f>IF(Table13[[#This Row],[Gender]]="M",Table13[[#This Row],[Diameter]],NA())</f>
        <v>#N/A</v>
      </c>
      <c r="AE885" s="2" t="e">
        <f>IF(Table13[[#This Row],[Gender]]="F",Table13[[#This Row],[Diameter]],NA())</f>
        <v>#N/A</v>
      </c>
      <c r="AF885" s="2">
        <f>IF(Table13[[#This Row],[Gender]]="I",Table13[[#This Row],[Diameter]],NA())</f>
        <v>0.38</v>
      </c>
    </row>
    <row r="886" spans="1:32" x14ac:dyDescent="0.2">
      <c r="A886">
        <v>62</v>
      </c>
      <c r="B886" t="s">
        <v>15</v>
      </c>
      <c r="C886">
        <v>0.505</v>
      </c>
      <c r="D886">
        <v>0.40500000000000003</v>
      </c>
      <c r="E886">
        <v>0.11</v>
      </c>
      <c r="F886">
        <v>0.625</v>
      </c>
      <c r="G886">
        <v>0.30499999999999999</v>
      </c>
      <c r="H886">
        <v>0.16</v>
      </c>
      <c r="I886">
        <v>0.17499999999999999</v>
      </c>
      <c r="J886">
        <v>9</v>
      </c>
      <c r="K886">
        <v>15</v>
      </c>
      <c r="L886" t="s">
        <v>49</v>
      </c>
      <c r="M886" t="s">
        <v>50</v>
      </c>
      <c r="N886" t="s">
        <v>3</v>
      </c>
      <c r="O886">
        <v>2</v>
      </c>
      <c r="P886" t="s">
        <v>7</v>
      </c>
      <c r="Q886">
        <v>18</v>
      </c>
      <c r="R886" t="str" cm="1">
        <f t="array" ref="R8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86" t="e">
        <f>IF(Table13[[#This Row],[Category All]]="Category 1", "Yes",NA())</f>
        <v>#N/A</v>
      </c>
      <c r="T886" t="str">
        <f>IF(Table13[[#This Row],[Category All]]="Category 2", "Yes",NA())</f>
        <v>Yes</v>
      </c>
      <c r="U886" t="e">
        <f>IF(Table13[[#This Row],[Category All]]="Category 3", "Yes",NA())</f>
        <v>#N/A</v>
      </c>
      <c r="V886">
        <f>SUM(1,(1/3)*(Table13[[#This Row],[Length]]-0.5),(1/3)*(Table13[[#This Row],[Diameter]]-0.4),(1/3)*(Table13[[#This Row],[Height]]-0.4)*Table13[[#This Row],[Whole_weight]]*0.5)</f>
        <v>0.97312500000000002</v>
      </c>
      <c r="W886" cm="1">
        <f t="array" ref="W8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0.77850000000000008</v>
      </c>
      <c r="X886" t="e">
        <f>IF(Table13[[#This Row],[Category All]]="Category 1",Table13[[#This Row],[Base Abalone Value]]*1.5,NA())</f>
        <v>#N/A</v>
      </c>
      <c r="Y886">
        <f>IF(Table13[[#This Row],[Category All]]="Category 2",Table13[[#This Row],[Base Abalone Value]]*0.8,NA())</f>
        <v>0.77850000000000008</v>
      </c>
      <c r="Z886" t="e">
        <f>IF(Table13[[#This Row],[Category All]]="Category 3",Table13[[#This Row],[Base Abalone Value]],NA())</f>
        <v>#N/A</v>
      </c>
      <c r="AA886" s="2">
        <f>IF(Table13[[#This Row],[Gender]]="M",Table13[[#This Row],[Whole_weight]],NA())</f>
        <v>0.625</v>
      </c>
      <c r="AB886" s="2" t="e">
        <f>IF(Table13[[#This Row],[Gender]]="F",Table13[[#This Row],[Whole_weight]],NA())</f>
        <v>#N/A</v>
      </c>
      <c r="AC886" s="2" t="e">
        <f>IF(Table13[[#This Row],[Gender]]="I",Table13[[#This Row],[Whole_weight]],NA())</f>
        <v>#N/A</v>
      </c>
      <c r="AD886" s="2">
        <f>IF(Table13[[#This Row],[Gender]]="M",Table13[[#This Row],[Diameter]],NA())</f>
        <v>0.40500000000000003</v>
      </c>
      <c r="AE886" s="2" t="e">
        <f>IF(Table13[[#This Row],[Gender]]="F",Table13[[#This Row],[Diameter]],NA())</f>
        <v>#N/A</v>
      </c>
      <c r="AF886" s="2" t="e">
        <f>IF(Table13[[#This Row],[Gender]]="I",Table13[[#This Row],[Diameter]],NA())</f>
        <v>#N/A</v>
      </c>
    </row>
    <row r="887" spans="1:32" x14ac:dyDescent="0.2">
      <c r="A887">
        <v>526</v>
      </c>
      <c r="B887" t="s">
        <v>15</v>
      </c>
      <c r="C887">
        <v>0.17499999999999999</v>
      </c>
      <c r="D887">
        <v>0.125</v>
      </c>
      <c r="E887">
        <v>0.04</v>
      </c>
      <c r="F887">
        <v>2.4E-2</v>
      </c>
      <c r="G887">
        <v>9.4999999999999998E-3</v>
      </c>
      <c r="H887">
        <v>6.0000000000000001E-3</v>
      </c>
      <c r="I887">
        <v>5.0000000000000001E-3</v>
      </c>
      <c r="J887">
        <v>4</v>
      </c>
      <c r="K887">
        <v>8</v>
      </c>
      <c r="L887" t="s">
        <v>29</v>
      </c>
      <c r="M887" t="s">
        <v>30</v>
      </c>
      <c r="N887" t="s">
        <v>31</v>
      </c>
      <c r="O887">
        <v>1</v>
      </c>
      <c r="P887" t="s">
        <v>4</v>
      </c>
      <c r="Q887">
        <v>22.1</v>
      </c>
      <c r="R887" t="str" cm="1">
        <f t="array" ref="R8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87" t="e">
        <f>IF(Table13[[#This Row],[Category All]]="Category 1", "Yes",NA())</f>
        <v>#N/A</v>
      </c>
      <c r="T887" t="str">
        <f>IF(Table13[[#This Row],[Category All]]="Category 2", "Yes",NA())</f>
        <v>Yes</v>
      </c>
      <c r="U887" t="e">
        <f>IF(Table13[[#This Row],[Category All]]="Category 3", "Yes",NA())</f>
        <v>#N/A</v>
      </c>
      <c r="V887">
        <f>SUM(1,(1/3)*(Table13[[#This Row],[Length]]-0.5),(1/3)*(Table13[[#This Row],[Diameter]]-0.4),(1/3)*(Table13[[#This Row],[Height]]-0.4)*Table13[[#This Row],[Whole_weight]]*0.5)</f>
        <v>0.79855999999999994</v>
      </c>
      <c r="W887" cm="1">
        <f t="array" ref="W8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0.63884799999999997</v>
      </c>
      <c r="X887" t="e">
        <f>IF(Table13[[#This Row],[Category All]]="Category 1",Table13[[#This Row],[Base Abalone Value]]*1.5,NA())</f>
        <v>#N/A</v>
      </c>
      <c r="Y887">
        <f>IF(Table13[[#This Row],[Category All]]="Category 2",Table13[[#This Row],[Base Abalone Value]]*0.8,NA())</f>
        <v>0.63884799999999997</v>
      </c>
      <c r="Z887" t="e">
        <f>IF(Table13[[#This Row],[Category All]]="Category 3",Table13[[#This Row],[Base Abalone Value]],NA())</f>
        <v>#N/A</v>
      </c>
      <c r="AA887" s="2">
        <f>IF(Table13[[#This Row],[Gender]]="M",Table13[[#This Row],[Whole_weight]],NA())</f>
        <v>2.4E-2</v>
      </c>
      <c r="AB887" s="2" t="e">
        <f>IF(Table13[[#This Row],[Gender]]="F",Table13[[#This Row],[Whole_weight]],NA())</f>
        <v>#N/A</v>
      </c>
      <c r="AC887" s="2" t="e">
        <f>IF(Table13[[#This Row],[Gender]]="I",Table13[[#This Row],[Whole_weight]],NA())</f>
        <v>#N/A</v>
      </c>
      <c r="AD887" s="2">
        <f>IF(Table13[[#This Row],[Gender]]="M",Table13[[#This Row],[Diameter]],NA())</f>
        <v>0.125</v>
      </c>
      <c r="AE887" s="2" t="e">
        <f>IF(Table13[[#This Row],[Gender]]="F",Table13[[#This Row],[Diameter]],NA())</f>
        <v>#N/A</v>
      </c>
      <c r="AF887" s="2" t="e">
        <f>IF(Table13[[#This Row],[Gender]]="I",Table13[[#This Row],[Diameter]],NA())</f>
        <v>#N/A</v>
      </c>
    </row>
    <row r="888" spans="1:32" x14ac:dyDescent="0.2">
      <c r="A888">
        <v>2698</v>
      </c>
      <c r="B888" t="s">
        <v>15</v>
      </c>
      <c r="C888">
        <v>0.66</v>
      </c>
      <c r="D888">
        <v>0.51500000000000001</v>
      </c>
      <c r="E888">
        <v>0.16500000000000001</v>
      </c>
      <c r="F888">
        <v>1.4464999999999999</v>
      </c>
      <c r="G888">
        <v>0.69399999999999995</v>
      </c>
      <c r="H888">
        <v>0.29799999999999999</v>
      </c>
      <c r="I888">
        <v>0.3755</v>
      </c>
      <c r="J888">
        <v>10</v>
      </c>
      <c r="K888">
        <v>15</v>
      </c>
      <c r="L888" t="s">
        <v>49</v>
      </c>
      <c r="M888" t="s">
        <v>50</v>
      </c>
      <c r="N888" t="s">
        <v>3</v>
      </c>
      <c r="O888">
        <v>10</v>
      </c>
      <c r="P888" t="s">
        <v>38</v>
      </c>
      <c r="Q888">
        <v>24.1</v>
      </c>
      <c r="R888" t="str" cm="1">
        <f t="array" ref="R8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88" t="e">
        <f>IF(Table13[[#This Row],[Category All]]="Category 1", "Yes",NA())</f>
        <v>#N/A</v>
      </c>
      <c r="T888" t="e">
        <f>IF(Table13[[#This Row],[Category All]]="Category 2", "Yes",NA())</f>
        <v>#N/A</v>
      </c>
      <c r="U888" t="str">
        <f>IF(Table13[[#This Row],[Category All]]="Category 3", "Yes",NA())</f>
        <v>Yes</v>
      </c>
      <c r="V888">
        <f>SUM(1,(1/3)*(Table13[[#This Row],[Length]]-0.5),(1/3)*(Table13[[#This Row],[Diameter]]-0.4),(1/3)*(Table13[[#This Row],[Height]]-0.4)*Table13[[#This Row],[Whole_weight]]*0.5)</f>
        <v>1.0350120833333332</v>
      </c>
      <c r="W888" cm="1">
        <f t="array" ref="W8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1.0350120833333332</v>
      </c>
      <c r="X888" t="e">
        <f>IF(Table13[[#This Row],[Category All]]="Category 1",Table13[[#This Row],[Base Abalone Value]]*1.5,NA())</f>
        <v>#N/A</v>
      </c>
      <c r="Y888" t="e">
        <f>IF(Table13[[#This Row],[Category All]]="Category 2",Table13[[#This Row],[Base Abalone Value]]*0.8,NA())</f>
        <v>#N/A</v>
      </c>
      <c r="Z888">
        <f>IF(Table13[[#This Row],[Category All]]="Category 3",Table13[[#This Row],[Base Abalone Value]],NA())</f>
        <v>1.0350120833333332</v>
      </c>
      <c r="AA888" s="2">
        <f>IF(Table13[[#This Row],[Gender]]="M",Table13[[#This Row],[Whole_weight]],NA())</f>
        <v>1.4464999999999999</v>
      </c>
      <c r="AB888" s="2" t="e">
        <f>IF(Table13[[#This Row],[Gender]]="F",Table13[[#This Row],[Whole_weight]],NA())</f>
        <v>#N/A</v>
      </c>
      <c r="AC888" s="2" t="e">
        <f>IF(Table13[[#This Row],[Gender]]="I",Table13[[#This Row],[Whole_weight]],NA())</f>
        <v>#N/A</v>
      </c>
      <c r="AD888" s="2">
        <f>IF(Table13[[#This Row],[Gender]]="M",Table13[[#This Row],[Diameter]],NA())</f>
        <v>0.51500000000000001</v>
      </c>
      <c r="AE888" s="2" t="e">
        <f>IF(Table13[[#This Row],[Gender]]="F",Table13[[#This Row],[Diameter]],NA())</f>
        <v>#N/A</v>
      </c>
      <c r="AF888" s="2" t="e">
        <f>IF(Table13[[#This Row],[Gender]]="I",Table13[[#This Row],[Diameter]],NA())</f>
        <v>#N/A</v>
      </c>
    </row>
    <row r="889" spans="1:32" x14ac:dyDescent="0.2">
      <c r="A889">
        <v>1620</v>
      </c>
      <c r="B889" t="s">
        <v>11</v>
      </c>
      <c r="C889">
        <v>0.56000000000000005</v>
      </c>
      <c r="D889">
        <v>0.44500000000000001</v>
      </c>
      <c r="E889">
        <v>0.15</v>
      </c>
      <c r="F889">
        <v>0.82250000000000001</v>
      </c>
      <c r="G889">
        <v>0.36849999999999999</v>
      </c>
      <c r="H889">
        <v>0.187</v>
      </c>
      <c r="I889">
        <v>0.23599999999999999</v>
      </c>
      <c r="J889">
        <v>10</v>
      </c>
      <c r="K889">
        <v>12</v>
      </c>
      <c r="L889" t="s">
        <v>1</v>
      </c>
      <c r="M889" t="s">
        <v>2</v>
      </c>
      <c r="N889" t="s">
        <v>3</v>
      </c>
      <c r="O889">
        <v>3</v>
      </c>
      <c r="P889" t="s">
        <v>48</v>
      </c>
      <c r="Q889">
        <v>3.6</v>
      </c>
      <c r="R889" t="str" cm="1">
        <f t="array" ref="R8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89" t="e">
        <f>IF(Table13[[#This Row],[Category All]]="Category 1", "Yes",NA())</f>
        <v>#N/A</v>
      </c>
      <c r="T889" t="str">
        <f>IF(Table13[[#This Row],[Category All]]="Category 2", "Yes",NA())</f>
        <v>Yes</v>
      </c>
      <c r="U889" t="e">
        <f>IF(Table13[[#This Row],[Category All]]="Category 3", "Yes",NA())</f>
        <v>#N/A</v>
      </c>
      <c r="V889">
        <f>SUM(1,(1/3)*(Table13[[#This Row],[Length]]-0.5),(1/3)*(Table13[[#This Row],[Diameter]]-0.4),(1/3)*(Table13[[#This Row],[Height]]-0.4)*Table13[[#This Row],[Whole_weight]]*0.5)</f>
        <v>1.0007291666666667</v>
      </c>
      <c r="W889" cm="1">
        <f t="array" ref="W8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0.80058333333333342</v>
      </c>
      <c r="X889" t="e">
        <f>IF(Table13[[#This Row],[Category All]]="Category 1",Table13[[#This Row],[Base Abalone Value]]*1.5,NA())</f>
        <v>#N/A</v>
      </c>
      <c r="Y889">
        <f>IF(Table13[[#This Row],[Category All]]="Category 2",Table13[[#This Row],[Base Abalone Value]]*0.8,NA())</f>
        <v>0.80058333333333342</v>
      </c>
      <c r="Z889" t="e">
        <f>IF(Table13[[#This Row],[Category All]]="Category 3",Table13[[#This Row],[Base Abalone Value]],NA())</f>
        <v>#N/A</v>
      </c>
      <c r="AA889" s="2" t="e">
        <f>IF(Table13[[#This Row],[Gender]]="M",Table13[[#This Row],[Whole_weight]],NA())</f>
        <v>#N/A</v>
      </c>
      <c r="AB889" s="2" t="e">
        <f>IF(Table13[[#This Row],[Gender]]="F",Table13[[#This Row],[Whole_weight]],NA())</f>
        <v>#N/A</v>
      </c>
      <c r="AC889" s="2">
        <f>IF(Table13[[#This Row],[Gender]]="I",Table13[[#This Row],[Whole_weight]],NA())</f>
        <v>0.82250000000000001</v>
      </c>
      <c r="AD889" s="2" t="e">
        <f>IF(Table13[[#This Row],[Gender]]="M",Table13[[#This Row],[Diameter]],NA())</f>
        <v>#N/A</v>
      </c>
      <c r="AE889" s="2" t="e">
        <f>IF(Table13[[#This Row],[Gender]]="F",Table13[[#This Row],[Diameter]],NA())</f>
        <v>#N/A</v>
      </c>
      <c r="AF889" s="2">
        <f>IF(Table13[[#This Row],[Gender]]="I",Table13[[#This Row],[Diameter]],NA())</f>
        <v>0.44500000000000001</v>
      </c>
    </row>
    <row r="890" spans="1:32" x14ac:dyDescent="0.2">
      <c r="A890">
        <v>794</v>
      </c>
      <c r="B890" t="s">
        <v>15</v>
      </c>
      <c r="C890">
        <v>0.57499999999999996</v>
      </c>
      <c r="D890">
        <v>0.45</v>
      </c>
      <c r="E890">
        <v>0.16500000000000001</v>
      </c>
      <c r="F890">
        <v>0.92149999999999999</v>
      </c>
      <c r="G890">
        <v>0.32750000000000001</v>
      </c>
      <c r="H890">
        <v>0.22500000000000001</v>
      </c>
      <c r="I890">
        <v>0.25600000000000001</v>
      </c>
      <c r="J890">
        <v>12</v>
      </c>
      <c r="K890">
        <v>14</v>
      </c>
      <c r="L890" t="s">
        <v>23</v>
      </c>
      <c r="M890" t="s">
        <v>24</v>
      </c>
      <c r="N890" t="s">
        <v>25</v>
      </c>
      <c r="O890">
        <v>1</v>
      </c>
      <c r="P890" t="s">
        <v>4</v>
      </c>
      <c r="Q890">
        <v>22.1</v>
      </c>
      <c r="R890" t="str" cm="1">
        <f t="array" ref="R8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90" t="e">
        <f>IF(Table13[[#This Row],[Category All]]="Category 1", "Yes",NA())</f>
        <v>#N/A</v>
      </c>
      <c r="T890" t="str">
        <f>IF(Table13[[#This Row],[Category All]]="Category 2", "Yes",NA())</f>
        <v>Yes</v>
      </c>
      <c r="U890" t="e">
        <f>IF(Table13[[#This Row],[Category All]]="Category 3", "Yes",NA())</f>
        <v>#N/A</v>
      </c>
      <c r="V890">
        <f>SUM(1,(1/3)*(Table13[[#This Row],[Length]]-0.5),(1/3)*(Table13[[#This Row],[Diameter]]-0.4),(1/3)*(Table13[[#This Row],[Height]]-0.4)*Table13[[#This Row],[Whole_weight]]*0.5)</f>
        <v>1.0055745833333332</v>
      </c>
      <c r="W890" cm="1">
        <f t="array" ref="W8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0.80445966666666657</v>
      </c>
      <c r="X890" t="e">
        <f>IF(Table13[[#This Row],[Category All]]="Category 1",Table13[[#This Row],[Base Abalone Value]]*1.5,NA())</f>
        <v>#N/A</v>
      </c>
      <c r="Y890">
        <f>IF(Table13[[#This Row],[Category All]]="Category 2",Table13[[#This Row],[Base Abalone Value]]*0.8,NA())</f>
        <v>0.80445966666666657</v>
      </c>
      <c r="Z890" t="e">
        <f>IF(Table13[[#This Row],[Category All]]="Category 3",Table13[[#This Row],[Base Abalone Value]],NA())</f>
        <v>#N/A</v>
      </c>
      <c r="AA890" s="2">
        <f>IF(Table13[[#This Row],[Gender]]="M",Table13[[#This Row],[Whole_weight]],NA())</f>
        <v>0.92149999999999999</v>
      </c>
      <c r="AB890" s="2" t="e">
        <f>IF(Table13[[#This Row],[Gender]]="F",Table13[[#This Row],[Whole_weight]],NA())</f>
        <v>#N/A</v>
      </c>
      <c r="AC890" s="2" t="e">
        <f>IF(Table13[[#This Row],[Gender]]="I",Table13[[#This Row],[Whole_weight]],NA())</f>
        <v>#N/A</v>
      </c>
      <c r="AD890" s="2">
        <f>IF(Table13[[#This Row],[Gender]]="M",Table13[[#This Row],[Diameter]],NA())</f>
        <v>0.45</v>
      </c>
      <c r="AE890" s="2" t="e">
        <f>IF(Table13[[#This Row],[Gender]]="F",Table13[[#This Row],[Diameter]],NA())</f>
        <v>#N/A</v>
      </c>
      <c r="AF890" s="2" t="e">
        <f>IF(Table13[[#This Row],[Gender]]="I",Table13[[#This Row],[Diameter]],NA())</f>
        <v>#N/A</v>
      </c>
    </row>
    <row r="891" spans="1:32" x14ac:dyDescent="0.2">
      <c r="A891">
        <v>1397</v>
      </c>
      <c r="B891" t="s">
        <v>15</v>
      </c>
      <c r="C891">
        <v>0.64500000000000002</v>
      </c>
      <c r="D891">
        <v>0.51</v>
      </c>
      <c r="E891">
        <v>0.16</v>
      </c>
      <c r="F891">
        <v>1.1835</v>
      </c>
      <c r="G891">
        <v>0.55600000000000005</v>
      </c>
      <c r="H891">
        <v>0.23849999999999999</v>
      </c>
      <c r="I891">
        <v>0.34499999999999997</v>
      </c>
      <c r="J891">
        <v>11</v>
      </c>
      <c r="K891">
        <v>13</v>
      </c>
      <c r="L891" t="s">
        <v>12</v>
      </c>
      <c r="M891" t="s">
        <v>13</v>
      </c>
      <c r="N891" t="s">
        <v>3</v>
      </c>
      <c r="O891">
        <v>7</v>
      </c>
      <c r="P891" t="s">
        <v>42</v>
      </c>
      <c r="Q891">
        <v>2.5</v>
      </c>
      <c r="R891" t="str" cm="1">
        <f t="array" ref="R8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91" t="e">
        <f>IF(Table13[[#This Row],[Category All]]="Category 1", "Yes",NA())</f>
        <v>#N/A</v>
      </c>
      <c r="T891" t="e">
        <f>IF(Table13[[#This Row],[Category All]]="Category 2", "Yes",NA())</f>
        <v>#N/A</v>
      </c>
      <c r="U891" t="str">
        <f>IF(Table13[[#This Row],[Category All]]="Category 3", "Yes",NA())</f>
        <v>Yes</v>
      </c>
      <c r="V891">
        <f>SUM(1,(1/3)*(Table13[[#This Row],[Length]]-0.5),(1/3)*(Table13[[#This Row],[Diameter]]-0.4),(1/3)*(Table13[[#This Row],[Height]]-0.4)*Table13[[#This Row],[Whole_weight]]*0.5)</f>
        <v>1.03766</v>
      </c>
      <c r="W891" cm="1">
        <f t="array" ref="W8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1.03766</v>
      </c>
      <c r="X891" t="e">
        <f>IF(Table13[[#This Row],[Category All]]="Category 1",Table13[[#This Row],[Base Abalone Value]]*1.5,NA())</f>
        <v>#N/A</v>
      </c>
      <c r="Y891" t="e">
        <f>IF(Table13[[#This Row],[Category All]]="Category 2",Table13[[#This Row],[Base Abalone Value]]*0.8,NA())</f>
        <v>#N/A</v>
      </c>
      <c r="Z891">
        <f>IF(Table13[[#This Row],[Category All]]="Category 3",Table13[[#This Row],[Base Abalone Value]],NA())</f>
        <v>1.03766</v>
      </c>
      <c r="AA891" s="2">
        <f>IF(Table13[[#This Row],[Gender]]="M",Table13[[#This Row],[Whole_weight]],NA())</f>
        <v>1.1835</v>
      </c>
      <c r="AB891" s="2" t="e">
        <f>IF(Table13[[#This Row],[Gender]]="F",Table13[[#This Row],[Whole_weight]],NA())</f>
        <v>#N/A</v>
      </c>
      <c r="AC891" s="2" t="e">
        <f>IF(Table13[[#This Row],[Gender]]="I",Table13[[#This Row],[Whole_weight]],NA())</f>
        <v>#N/A</v>
      </c>
      <c r="AD891" s="2">
        <f>IF(Table13[[#This Row],[Gender]]="M",Table13[[#This Row],[Diameter]],NA())</f>
        <v>0.51</v>
      </c>
      <c r="AE891" s="2" t="e">
        <f>IF(Table13[[#This Row],[Gender]]="F",Table13[[#This Row],[Diameter]],NA())</f>
        <v>#N/A</v>
      </c>
      <c r="AF891" s="2" t="e">
        <f>IF(Table13[[#This Row],[Gender]]="I",Table13[[#This Row],[Diameter]],NA())</f>
        <v>#N/A</v>
      </c>
    </row>
    <row r="892" spans="1:32" x14ac:dyDescent="0.2">
      <c r="A892">
        <v>1099</v>
      </c>
      <c r="B892" t="s">
        <v>15</v>
      </c>
      <c r="C892">
        <v>0.49</v>
      </c>
      <c r="D892">
        <v>0.46500000000000002</v>
      </c>
      <c r="E892">
        <v>0.125</v>
      </c>
      <c r="F892">
        <v>0.52249999999999996</v>
      </c>
      <c r="G892">
        <v>0.23499999999999999</v>
      </c>
      <c r="H892">
        <v>0.13</v>
      </c>
      <c r="I892">
        <v>0.14099999999999999</v>
      </c>
      <c r="J892">
        <v>7</v>
      </c>
      <c r="K892">
        <v>13</v>
      </c>
      <c r="L892" t="s">
        <v>12</v>
      </c>
      <c r="M892" t="s">
        <v>13</v>
      </c>
      <c r="N892" t="s">
        <v>3</v>
      </c>
      <c r="O892">
        <v>3</v>
      </c>
      <c r="P892" t="s">
        <v>48</v>
      </c>
      <c r="Q892">
        <v>3.6</v>
      </c>
      <c r="R892" t="str" cm="1">
        <f t="array" ref="R8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92" t="e">
        <f>IF(Table13[[#This Row],[Category All]]="Category 1", "Yes",NA())</f>
        <v>#N/A</v>
      </c>
      <c r="T892" t="str">
        <f>IF(Table13[[#This Row],[Category All]]="Category 2", "Yes",NA())</f>
        <v>Yes</v>
      </c>
      <c r="U892" t="e">
        <f>IF(Table13[[#This Row],[Category All]]="Category 3", "Yes",NA())</f>
        <v>#N/A</v>
      </c>
      <c r="V892">
        <f>SUM(1,(1/3)*(Table13[[#This Row],[Length]]-0.5),(1/3)*(Table13[[#This Row],[Diameter]]-0.4),(1/3)*(Table13[[#This Row],[Height]]-0.4)*Table13[[#This Row],[Whole_weight]]*0.5)</f>
        <v>0.99438541666666669</v>
      </c>
      <c r="W892" cm="1">
        <f t="array" ref="W8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0.79550833333333337</v>
      </c>
      <c r="X892" t="e">
        <f>IF(Table13[[#This Row],[Category All]]="Category 1",Table13[[#This Row],[Base Abalone Value]]*1.5,NA())</f>
        <v>#N/A</v>
      </c>
      <c r="Y892">
        <f>IF(Table13[[#This Row],[Category All]]="Category 2",Table13[[#This Row],[Base Abalone Value]]*0.8,NA())</f>
        <v>0.79550833333333337</v>
      </c>
      <c r="Z892" t="e">
        <f>IF(Table13[[#This Row],[Category All]]="Category 3",Table13[[#This Row],[Base Abalone Value]],NA())</f>
        <v>#N/A</v>
      </c>
      <c r="AA892" s="2">
        <f>IF(Table13[[#This Row],[Gender]]="M",Table13[[#This Row],[Whole_weight]],NA())</f>
        <v>0.52249999999999996</v>
      </c>
      <c r="AB892" s="2" t="e">
        <f>IF(Table13[[#This Row],[Gender]]="F",Table13[[#This Row],[Whole_weight]],NA())</f>
        <v>#N/A</v>
      </c>
      <c r="AC892" s="2" t="e">
        <f>IF(Table13[[#This Row],[Gender]]="I",Table13[[#This Row],[Whole_weight]],NA())</f>
        <v>#N/A</v>
      </c>
      <c r="AD892" s="2">
        <f>IF(Table13[[#This Row],[Gender]]="M",Table13[[#This Row],[Diameter]],NA())</f>
        <v>0.46500000000000002</v>
      </c>
      <c r="AE892" s="2" t="e">
        <f>IF(Table13[[#This Row],[Gender]]="F",Table13[[#This Row],[Diameter]],NA())</f>
        <v>#N/A</v>
      </c>
      <c r="AF892" s="2" t="e">
        <f>IF(Table13[[#This Row],[Gender]]="I",Table13[[#This Row],[Diameter]],NA())</f>
        <v>#N/A</v>
      </c>
    </row>
    <row r="893" spans="1:32" x14ac:dyDescent="0.2">
      <c r="A893">
        <v>2350</v>
      </c>
      <c r="B893" t="s">
        <v>0</v>
      </c>
      <c r="C893">
        <v>0.45</v>
      </c>
      <c r="D893">
        <v>0.36</v>
      </c>
      <c r="E893">
        <v>0.105</v>
      </c>
      <c r="F893">
        <v>0.47149999999999997</v>
      </c>
      <c r="G893">
        <v>0.20349999999999999</v>
      </c>
      <c r="H893">
        <v>9.35E-2</v>
      </c>
      <c r="I893">
        <v>0.14899999999999999</v>
      </c>
      <c r="J893">
        <v>9</v>
      </c>
      <c r="K893">
        <v>13</v>
      </c>
      <c r="L893" t="s">
        <v>12</v>
      </c>
      <c r="M893" t="s">
        <v>13</v>
      </c>
      <c r="N893" t="s">
        <v>3</v>
      </c>
      <c r="O893">
        <v>3</v>
      </c>
      <c r="P893" t="s">
        <v>48</v>
      </c>
      <c r="Q893">
        <v>3.6</v>
      </c>
      <c r="R893" t="str" cm="1">
        <f t="array" ref="R8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93" t="e">
        <f>IF(Table13[[#This Row],[Category All]]="Category 1", "Yes",NA())</f>
        <v>#N/A</v>
      </c>
      <c r="T893" t="str">
        <f>IF(Table13[[#This Row],[Category All]]="Category 2", "Yes",NA())</f>
        <v>Yes</v>
      </c>
      <c r="U893" t="e">
        <f>IF(Table13[[#This Row],[Category All]]="Category 3", "Yes",NA())</f>
        <v>#N/A</v>
      </c>
      <c r="V893">
        <f>SUM(1,(1/3)*(Table13[[#This Row],[Length]]-0.5),(1/3)*(Table13[[#This Row],[Diameter]]-0.4),(1/3)*(Table13[[#This Row],[Height]]-0.4)*Table13[[#This Row],[Whole_weight]]*0.5)</f>
        <v>0.9468179166666667</v>
      </c>
      <c r="W893" cm="1">
        <f t="array" ref="W8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0.75745433333333345</v>
      </c>
      <c r="X893" t="e">
        <f>IF(Table13[[#This Row],[Category All]]="Category 1",Table13[[#This Row],[Base Abalone Value]]*1.5,NA())</f>
        <v>#N/A</v>
      </c>
      <c r="Y893">
        <f>IF(Table13[[#This Row],[Category All]]="Category 2",Table13[[#This Row],[Base Abalone Value]]*0.8,NA())</f>
        <v>0.75745433333333345</v>
      </c>
      <c r="Z893" t="e">
        <f>IF(Table13[[#This Row],[Category All]]="Category 3",Table13[[#This Row],[Base Abalone Value]],NA())</f>
        <v>#N/A</v>
      </c>
      <c r="AA893" s="2" t="e">
        <f>IF(Table13[[#This Row],[Gender]]="M",Table13[[#This Row],[Whole_weight]],NA())</f>
        <v>#N/A</v>
      </c>
      <c r="AB893" s="2">
        <f>IF(Table13[[#This Row],[Gender]]="F",Table13[[#This Row],[Whole_weight]],NA())</f>
        <v>0.47149999999999997</v>
      </c>
      <c r="AC893" s="2" t="e">
        <f>IF(Table13[[#This Row],[Gender]]="I",Table13[[#This Row],[Whole_weight]],NA())</f>
        <v>#N/A</v>
      </c>
      <c r="AD893" s="2" t="e">
        <f>IF(Table13[[#This Row],[Gender]]="M",Table13[[#This Row],[Diameter]],NA())</f>
        <v>#N/A</v>
      </c>
      <c r="AE893" s="2">
        <f>IF(Table13[[#This Row],[Gender]]="F",Table13[[#This Row],[Diameter]],NA())</f>
        <v>0.36</v>
      </c>
      <c r="AF893" s="2" t="e">
        <f>IF(Table13[[#This Row],[Gender]]="I",Table13[[#This Row],[Diameter]],NA())</f>
        <v>#N/A</v>
      </c>
    </row>
    <row r="894" spans="1:32" x14ac:dyDescent="0.2">
      <c r="A894">
        <v>3308</v>
      </c>
      <c r="B894" t="s">
        <v>0</v>
      </c>
      <c r="C894">
        <v>0.45</v>
      </c>
      <c r="D894">
        <v>0.32500000000000001</v>
      </c>
      <c r="E894">
        <v>0.13500000000000001</v>
      </c>
      <c r="F894">
        <v>0.438</v>
      </c>
      <c r="G894">
        <v>0.18049999999999999</v>
      </c>
      <c r="H894">
        <v>0.11650000000000001</v>
      </c>
      <c r="I894">
        <v>0.11</v>
      </c>
      <c r="J894">
        <v>9</v>
      </c>
      <c r="K894">
        <v>2</v>
      </c>
      <c r="L894" t="s">
        <v>32</v>
      </c>
      <c r="M894" t="s">
        <v>33</v>
      </c>
      <c r="N894" t="s">
        <v>34</v>
      </c>
      <c r="O894">
        <v>4</v>
      </c>
      <c r="P894" t="s">
        <v>10</v>
      </c>
      <c r="Q894">
        <v>6.1</v>
      </c>
      <c r="R894" t="str" cm="1">
        <f t="array" ref="R8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94" t="e">
        <f>IF(Table13[[#This Row],[Category All]]="Category 1", "Yes",NA())</f>
        <v>#N/A</v>
      </c>
      <c r="T894" t="str">
        <f>IF(Table13[[#This Row],[Category All]]="Category 2", "Yes",NA())</f>
        <v>Yes</v>
      </c>
      <c r="U894" t="e">
        <f>IF(Table13[[#This Row],[Category All]]="Category 3", "Yes",NA())</f>
        <v>#N/A</v>
      </c>
      <c r="V894">
        <f>SUM(1,(1/3)*(Table13[[#This Row],[Length]]-0.5),(1/3)*(Table13[[#This Row],[Diameter]]-0.4),(1/3)*(Table13[[#This Row],[Height]]-0.4)*Table13[[#This Row],[Whole_weight]]*0.5)</f>
        <v>0.93898833333333331</v>
      </c>
      <c r="W894" cm="1">
        <f t="array" ref="W8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0.75119066666666667</v>
      </c>
      <c r="X894" t="e">
        <f>IF(Table13[[#This Row],[Category All]]="Category 1",Table13[[#This Row],[Base Abalone Value]]*1.5,NA())</f>
        <v>#N/A</v>
      </c>
      <c r="Y894">
        <f>IF(Table13[[#This Row],[Category All]]="Category 2",Table13[[#This Row],[Base Abalone Value]]*0.8,NA())</f>
        <v>0.75119066666666667</v>
      </c>
      <c r="Z894" t="e">
        <f>IF(Table13[[#This Row],[Category All]]="Category 3",Table13[[#This Row],[Base Abalone Value]],NA())</f>
        <v>#N/A</v>
      </c>
      <c r="AA894" s="2" t="e">
        <f>IF(Table13[[#This Row],[Gender]]="M",Table13[[#This Row],[Whole_weight]],NA())</f>
        <v>#N/A</v>
      </c>
      <c r="AB894" s="2">
        <f>IF(Table13[[#This Row],[Gender]]="F",Table13[[#This Row],[Whole_weight]],NA())</f>
        <v>0.438</v>
      </c>
      <c r="AC894" s="2" t="e">
        <f>IF(Table13[[#This Row],[Gender]]="I",Table13[[#This Row],[Whole_weight]],NA())</f>
        <v>#N/A</v>
      </c>
      <c r="AD894" s="2" t="e">
        <f>IF(Table13[[#This Row],[Gender]]="M",Table13[[#This Row],[Diameter]],NA())</f>
        <v>#N/A</v>
      </c>
      <c r="AE894" s="2">
        <f>IF(Table13[[#This Row],[Gender]]="F",Table13[[#This Row],[Diameter]],NA())</f>
        <v>0.32500000000000001</v>
      </c>
      <c r="AF894" s="2" t="e">
        <f>IF(Table13[[#This Row],[Gender]]="I",Table13[[#This Row],[Diameter]],NA())</f>
        <v>#N/A</v>
      </c>
    </row>
    <row r="895" spans="1:32" x14ac:dyDescent="0.2">
      <c r="A895">
        <v>380</v>
      </c>
      <c r="B895" t="s">
        <v>0</v>
      </c>
      <c r="C895">
        <v>0.61</v>
      </c>
      <c r="D895">
        <v>0.495</v>
      </c>
      <c r="E895">
        <v>0.185</v>
      </c>
      <c r="F895">
        <v>1.1085</v>
      </c>
      <c r="G895">
        <v>0.3705</v>
      </c>
      <c r="H895">
        <v>0.3135</v>
      </c>
      <c r="I895">
        <v>0.33</v>
      </c>
      <c r="J895">
        <v>12</v>
      </c>
      <c r="K895">
        <v>5</v>
      </c>
      <c r="L895" t="s">
        <v>26</v>
      </c>
      <c r="M895" t="s">
        <v>27</v>
      </c>
      <c r="N895" t="s">
        <v>28</v>
      </c>
      <c r="O895">
        <v>2</v>
      </c>
      <c r="P895" t="s">
        <v>7</v>
      </c>
      <c r="Q895">
        <v>18</v>
      </c>
      <c r="R895" t="str" cm="1">
        <f t="array" ref="R8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95" t="e">
        <f>IF(Table13[[#This Row],[Category All]]="Category 1", "Yes",NA())</f>
        <v>#N/A</v>
      </c>
      <c r="T895" t="str">
        <f>IF(Table13[[#This Row],[Category All]]="Category 2", "Yes",NA())</f>
        <v>Yes</v>
      </c>
      <c r="U895" t="e">
        <f>IF(Table13[[#This Row],[Category All]]="Category 3", "Yes",NA())</f>
        <v>#N/A</v>
      </c>
      <c r="V895">
        <f>SUM(1,(1/3)*(Table13[[#This Row],[Length]]-0.5),(1/3)*(Table13[[#This Row],[Diameter]]-0.4),(1/3)*(Table13[[#This Row],[Height]]-0.4)*Table13[[#This Row],[Whole_weight]]*0.5)</f>
        <v>1.0286120833333334</v>
      </c>
      <c r="W895" cm="1">
        <f t="array" ref="W8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0.82288966666666674</v>
      </c>
      <c r="X895" t="e">
        <f>IF(Table13[[#This Row],[Category All]]="Category 1",Table13[[#This Row],[Base Abalone Value]]*1.5,NA())</f>
        <v>#N/A</v>
      </c>
      <c r="Y895">
        <f>IF(Table13[[#This Row],[Category All]]="Category 2",Table13[[#This Row],[Base Abalone Value]]*0.8,NA())</f>
        <v>0.82288966666666674</v>
      </c>
      <c r="Z895" t="e">
        <f>IF(Table13[[#This Row],[Category All]]="Category 3",Table13[[#This Row],[Base Abalone Value]],NA())</f>
        <v>#N/A</v>
      </c>
      <c r="AA895" s="2" t="e">
        <f>IF(Table13[[#This Row],[Gender]]="M",Table13[[#This Row],[Whole_weight]],NA())</f>
        <v>#N/A</v>
      </c>
      <c r="AB895" s="2">
        <f>IF(Table13[[#This Row],[Gender]]="F",Table13[[#This Row],[Whole_weight]],NA())</f>
        <v>1.1085</v>
      </c>
      <c r="AC895" s="2" t="e">
        <f>IF(Table13[[#This Row],[Gender]]="I",Table13[[#This Row],[Whole_weight]],NA())</f>
        <v>#N/A</v>
      </c>
      <c r="AD895" s="2" t="e">
        <f>IF(Table13[[#This Row],[Gender]]="M",Table13[[#This Row],[Diameter]],NA())</f>
        <v>#N/A</v>
      </c>
      <c r="AE895" s="2">
        <f>IF(Table13[[#This Row],[Gender]]="F",Table13[[#This Row],[Diameter]],NA())</f>
        <v>0.495</v>
      </c>
      <c r="AF895" s="2" t="e">
        <f>IF(Table13[[#This Row],[Gender]]="I",Table13[[#This Row],[Diameter]],NA())</f>
        <v>#N/A</v>
      </c>
    </row>
    <row r="896" spans="1:32" x14ac:dyDescent="0.2">
      <c r="A896">
        <v>3373</v>
      </c>
      <c r="B896" t="s">
        <v>11</v>
      </c>
      <c r="C896">
        <v>0.44</v>
      </c>
      <c r="D896">
        <v>0.33</v>
      </c>
      <c r="E896">
        <v>0.13500000000000001</v>
      </c>
      <c r="F896">
        <v>0.52200000000000002</v>
      </c>
      <c r="G896">
        <v>0.17</v>
      </c>
      <c r="H896">
        <v>9.0499999999999997E-2</v>
      </c>
      <c r="I896">
        <v>0.19500000000000001</v>
      </c>
      <c r="J896">
        <v>16</v>
      </c>
      <c r="K896">
        <v>9</v>
      </c>
      <c r="L896" t="s">
        <v>20</v>
      </c>
      <c r="M896" t="s">
        <v>21</v>
      </c>
      <c r="N896" t="s">
        <v>22</v>
      </c>
      <c r="O896">
        <v>8</v>
      </c>
      <c r="P896" t="s">
        <v>19</v>
      </c>
      <c r="Q896">
        <v>12.3</v>
      </c>
      <c r="R896" t="str" cm="1">
        <f t="array" ref="R8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896" t="str">
        <f>IF(Table13[[#This Row],[Category All]]="Category 1", "Yes",NA())</f>
        <v>Yes</v>
      </c>
      <c r="T896" t="e">
        <f>IF(Table13[[#This Row],[Category All]]="Category 2", "Yes",NA())</f>
        <v>#N/A</v>
      </c>
      <c r="U896" t="e">
        <f>IF(Table13[[#This Row],[Category All]]="Category 3", "Yes",NA())</f>
        <v>#N/A</v>
      </c>
      <c r="V896">
        <f>SUM(1,(1/3)*(Table13[[#This Row],[Length]]-0.5),(1/3)*(Table13[[#This Row],[Diameter]]-0.4),(1/3)*(Table13[[#This Row],[Height]]-0.4)*Table13[[#This Row],[Whole_weight]]*0.5)</f>
        <v>0.93361166666666662</v>
      </c>
      <c r="W896" cm="1">
        <f t="array" ref="W8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1.4004174999999999</v>
      </c>
      <c r="X896">
        <f>IF(Table13[[#This Row],[Category All]]="Category 1",Table13[[#This Row],[Base Abalone Value]]*1.5,NA())</f>
        <v>1.4004174999999999</v>
      </c>
      <c r="Y896" t="e">
        <f>IF(Table13[[#This Row],[Category All]]="Category 2",Table13[[#This Row],[Base Abalone Value]]*0.8,NA())</f>
        <v>#N/A</v>
      </c>
      <c r="Z896" t="e">
        <f>IF(Table13[[#This Row],[Category All]]="Category 3",Table13[[#This Row],[Base Abalone Value]],NA())</f>
        <v>#N/A</v>
      </c>
      <c r="AA896" s="2" t="e">
        <f>IF(Table13[[#This Row],[Gender]]="M",Table13[[#This Row],[Whole_weight]],NA())</f>
        <v>#N/A</v>
      </c>
      <c r="AB896" s="2" t="e">
        <f>IF(Table13[[#This Row],[Gender]]="F",Table13[[#This Row],[Whole_weight]],NA())</f>
        <v>#N/A</v>
      </c>
      <c r="AC896" s="2">
        <f>IF(Table13[[#This Row],[Gender]]="I",Table13[[#This Row],[Whole_weight]],NA())</f>
        <v>0.52200000000000002</v>
      </c>
      <c r="AD896" s="2" t="e">
        <f>IF(Table13[[#This Row],[Gender]]="M",Table13[[#This Row],[Diameter]],NA())</f>
        <v>#N/A</v>
      </c>
      <c r="AE896" s="2" t="e">
        <f>IF(Table13[[#This Row],[Gender]]="F",Table13[[#This Row],[Diameter]],NA())</f>
        <v>#N/A</v>
      </c>
      <c r="AF896" s="2">
        <f>IF(Table13[[#This Row],[Gender]]="I",Table13[[#This Row],[Diameter]],NA())</f>
        <v>0.33</v>
      </c>
    </row>
    <row r="897" spans="1:32" x14ac:dyDescent="0.2">
      <c r="A897">
        <v>292</v>
      </c>
      <c r="B897" t="s">
        <v>0</v>
      </c>
      <c r="C897">
        <v>0.56499999999999995</v>
      </c>
      <c r="D897">
        <v>0.505</v>
      </c>
      <c r="E897">
        <v>0.21</v>
      </c>
      <c r="F897">
        <v>1.2765</v>
      </c>
      <c r="G897">
        <v>0.501</v>
      </c>
      <c r="H897">
        <v>0.27900000000000003</v>
      </c>
      <c r="I897">
        <v>0.35499999999999998</v>
      </c>
      <c r="J897">
        <v>12</v>
      </c>
      <c r="K897">
        <v>13</v>
      </c>
      <c r="L897" t="s">
        <v>12</v>
      </c>
      <c r="M897" t="s">
        <v>13</v>
      </c>
      <c r="N897" t="s">
        <v>3</v>
      </c>
      <c r="O897">
        <v>7</v>
      </c>
      <c r="P897" t="s">
        <v>42</v>
      </c>
      <c r="Q897">
        <v>2.5</v>
      </c>
      <c r="R897" t="str" cm="1">
        <f t="array" ref="R8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97" t="e">
        <f>IF(Table13[[#This Row],[Category All]]="Category 1", "Yes",NA())</f>
        <v>#N/A</v>
      </c>
      <c r="T897" t="e">
        <f>IF(Table13[[#This Row],[Category All]]="Category 2", "Yes",NA())</f>
        <v>#N/A</v>
      </c>
      <c r="U897" t="str">
        <f>IF(Table13[[#This Row],[Category All]]="Category 3", "Yes",NA())</f>
        <v>Yes</v>
      </c>
      <c r="V897">
        <f>SUM(1,(1/3)*(Table13[[#This Row],[Length]]-0.5),(1/3)*(Table13[[#This Row],[Diameter]]-0.4),(1/3)*(Table13[[#This Row],[Height]]-0.4)*Table13[[#This Row],[Whole_weight]]*0.5)</f>
        <v>1.0162441666666666</v>
      </c>
      <c r="W897" cm="1">
        <f t="array" ref="W8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1.0162441666666666</v>
      </c>
      <c r="X897" t="e">
        <f>IF(Table13[[#This Row],[Category All]]="Category 1",Table13[[#This Row],[Base Abalone Value]]*1.5,NA())</f>
        <v>#N/A</v>
      </c>
      <c r="Y897" t="e">
        <f>IF(Table13[[#This Row],[Category All]]="Category 2",Table13[[#This Row],[Base Abalone Value]]*0.8,NA())</f>
        <v>#N/A</v>
      </c>
      <c r="Z897">
        <f>IF(Table13[[#This Row],[Category All]]="Category 3",Table13[[#This Row],[Base Abalone Value]],NA())</f>
        <v>1.0162441666666666</v>
      </c>
      <c r="AA897" s="2" t="e">
        <f>IF(Table13[[#This Row],[Gender]]="M",Table13[[#This Row],[Whole_weight]],NA())</f>
        <v>#N/A</v>
      </c>
      <c r="AB897" s="2">
        <f>IF(Table13[[#This Row],[Gender]]="F",Table13[[#This Row],[Whole_weight]],NA())</f>
        <v>1.2765</v>
      </c>
      <c r="AC897" s="2" t="e">
        <f>IF(Table13[[#This Row],[Gender]]="I",Table13[[#This Row],[Whole_weight]],NA())</f>
        <v>#N/A</v>
      </c>
      <c r="AD897" s="2" t="e">
        <f>IF(Table13[[#This Row],[Gender]]="M",Table13[[#This Row],[Diameter]],NA())</f>
        <v>#N/A</v>
      </c>
      <c r="AE897" s="2">
        <f>IF(Table13[[#This Row],[Gender]]="F",Table13[[#This Row],[Diameter]],NA())</f>
        <v>0.505</v>
      </c>
      <c r="AF897" s="2" t="e">
        <f>IF(Table13[[#This Row],[Gender]]="I",Table13[[#This Row],[Diameter]],NA())</f>
        <v>#N/A</v>
      </c>
    </row>
    <row r="898" spans="1:32" x14ac:dyDescent="0.2">
      <c r="A898">
        <v>3008</v>
      </c>
      <c r="B898" t="s">
        <v>15</v>
      </c>
      <c r="C898">
        <v>0.73</v>
      </c>
      <c r="D898">
        <v>0.58499999999999996</v>
      </c>
      <c r="E898">
        <v>0.22500000000000001</v>
      </c>
      <c r="F898">
        <v>2.2305000000000001</v>
      </c>
      <c r="G898">
        <v>1.2395</v>
      </c>
      <c r="H898">
        <v>0.42199999999999999</v>
      </c>
      <c r="I898">
        <v>0.56299999999999994</v>
      </c>
      <c r="J898">
        <v>14</v>
      </c>
      <c r="K898">
        <v>11</v>
      </c>
      <c r="L898" t="s">
        <v>5</v>
      </c>
      <c r="M898" t="s">
        <v>6</v>
      </c>
      <c r="N898" t="s">
        <v>3</v>
      </c>
      <c r="O898">
        <v>5</v>
      </c>
      <c r="P898" t="s">
        <v>14</v>
      </c>
      <c r="Q898">
        <v>12.8</v>
      </c>
      <c r="R898" t="str" cm="1">
        <f t="array" ref="R8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898" t="str">
        <f>IF(Table13[[#This Row],[Category All]]="Category 1", "Yes",NA())</f>
        <v>Yes</v>
      </c>
      <c r="T898" t="e">
        <f>IF(Table13[[#This Row],[Category All]]="Category 2", "Yes",NA())</f>
        <v>#N/A</v>
      </c>
      <c r="U898" t="e">
        <f>IF(Table13[[#This Row],[Category All]]="Category 3", "Yes",NA())</f>
        <v>#N/A</v>
      </c>
      <c r="V898">
        <f>SUM(1,(1/3)*(Table13[[#This Row],[Length]]-0.5),(1/3)*(Table13[[#This Row],[Diameter]]-0.4),(1/3)*(Table13[[#This Row],[Height]]-0.4)*Table13[[#This Row],[Whole_weight]]*0.5)</f>
        <v>1.0732770833333332</v>
      </c>
      <c r="W898" cm="1">
        <f t="array" ref="W8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1.6099156249999997</v>
      </c>
      <c r="X898">
        <f>IF(Table13[[#This Row],[Category All]]="Category 1",Table13[[#This Row],[Base Abalone Value]]*1.5,NA())</f>
        <v>1.6099156249999997</v>
      </c>
      <c r="Y898" t="e">
        <f>IF(Table13[[#This Row],[Category All]]="Category 2",Table13[[#This Row],[Base Abalone Value]]*0.8,NA())</f>
        <v>#N/A</v>
      </c>
      <c r="Z898" t="e">
        <f>IF(Table13[[#This Row],[Category All]]="Category 3",Table13[[#This Row],[Base Abalone Value]],NA())</f>
        <v>#N/A</v>
      </c>
      <c r="AA898" s="2">
        <f>IF(Table13[[#This Row],[Gender]]="M",Table13[[#This Row],[Whole_weight]],NA())</f>
        <v>2.2305000000000001</v>
      </c>
      <c r="AB898" s="2" t="e">
        <f>IF(Table13[[#This Row],[Gender]]="F",Table13[[#This Row],[Whole_weight]],NA())</f>
        <v>#N/A</v>
      </c>
      <c r="AC898" s="2" t="e">
        <f>IF(Table13[[#This Row],[Gender]]="I",Table13[[#This Row],[Whole_weight]],NA())</f>
        <v>#N/A</v>
      </c>
      <c r="AD898" s="2">
        <f>IF(Table13[[#This Row],[Gender]]="M",Table13[[#This Row],[Diameter]],NA())</f>
        <v>0.58499999999999996</v>
      </c>
      <c r="AE898" s="2" t="e">
        <f>IF(Table13[[#This Row],[Gender]]="F",Table13[[#This Row],[Diameter]],NA())</f>
        <v>#N/A</v>
      </c>
      <c r="AF898" s="2" t="e">
        <f>IF(Table13[[#This Row],[Gender]]="I",Table13[[#This Row],[Diameter]],NA())</f>
        <v>#N/A</v>
      </c>
    </row>
    <row r="899" spans="1:32" x14ac:dyDescent="0.2">
      <c r="A899">
        <v>1228</v>
      </c>
      <c r="B899" t="s">
        <v>11</v>
      </c>
      <c r="C899">
        <v>0.35</v>
      </c>
      <c r="D899">
        <v>0.255</v>
      </c>
      <c r="E899">
        <v>0.09</v>
      </c>
      <c r="F899">
        <v>0.17849999999999999</v>
      </c>
      <c r="G899">
        <v>8.5500000000000007E-2</v>
      </c>
      <c r="H899">
        <v>3.0499999999999999E-2</v>
      </c>
      <c r="I899">
        <v>5.2499999999999998E-2</v>
      </c>
      <c r="J899">
        <v>8</v>
      </c>
      <c r="K899">
        <v>1</v>
      </c>
      <c r="L899" t="s">
        <v>8</v>
      </c>
      <c r="M899" t="s">
        <v>9</v>
      </c>
      <c r="N899" t="s">
        <v>3</v>
      </c>
      <c r="O899">
        <v>8</v>
      </c>
      <c r="P899" t="s">
        <v>19</v>
      </c>
      <c r="Q899">
        <v>12.3</v>
      </c>
      <c r="R899" t="str" cm="1">
        <f t="array" ref="R8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99" t="e">
        <f>IF(Table13[[#This Row],[Category All]]="Category 1", "Yes",NA())</f>
        <v>#N/A</v>
      </c>
      <c r="T899" t="str">
        <f>IF(Table13[[#This Row],[Category All]]="Category 2", "Yes",NA())</f>
        <v>Yes</v>
      </c>
      <c r="U899" t="e">
        <f>IF(Table13[[#This Row],[Category All]]="Category 3", "Yes",NA())</f>
        <v>#N/A</v>
      </c>
      <c r="V899">
        <f>SUM(1,(1/3)*(Table13[[#This Row],[Length]]-0.5),(1/3)*(Table13[[#This Row],[Diameter]]-0.4),(1/3)*(Table13[[#This Row],[Height]]-0.4)*Table13[[#This Row],[Whole_weight]]*0.5)</f>
        <v>0.89244416666666659</v>
      </c>
      <c r="W899" cm="1">
        <f t="array" ref="W8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0.71395533333333328</v>
      </c>
      <c r="X899" t="e">
        <f>IF(Table13[[#This Row],[Category All]]="Category 1",Table13[[#This Row],[Base Abalone Value]]*1.5,NA())</f>
        <v>#N/A</v>
      </c>
      <c r="Y899">
        <f>IF(Table13[[#This Row],[Category All]]="Category 2",Table13[[#This Row],[Base Abalone Value]]*0.8,NA())</f>
        <v>0.71395533333333328</v>
      </c>
      <c r="Z899" t="e">
        <f>IF(Table13[[#This Row],[Category All]]="Category 3",Table13[[#This Row],[Base Abalone Value]],NA())</f>
        <v>#N/A</v>
      </c>
      <c r="AA899" s="2" t="e">
        <f>IF(Table13[[#This Row],[Gender]]="M",Table13[[#This Row],[Whole_weight]],NA())</f>
        <v>#N/A</v>
      </c>
      <c r="AB899" s="2" t="e">
        <f>IF(Table13[[#This Row],[Gender]]="F",Table13[[#This Row],[Whole_weight]],NA())</f>
        <v>#N/A</v>
      </c>
      <c r="AC899" s="2">
        <f>IF(Table13[[#This Row],[Gender]]="I",Table13[[#This Row],[Whole_weight]],NA())</f>
        <v>0.17849999999999999</v>
      </c>
      <c r="AD899" s="2" t="e">
        <f>IF(Table13[[#This Row],[Gender]]="M",Table13[[#This Row],[Diameter]],NA())</f>
        <v>#N/A</v>
      </c>
      <c r="AE899" s="2" t="e">
        <f>IF(Table13[[#This Row],[Gender]]="F",Table13[[#This Row],[Diameter]],NA())</f>
        <v>#N/A</v>
      </c>
      <c r="AF899" s="2">
        <f>IF(Table13[[#This Row],[Gender]]="I",Table13[[#This Row],[Diameter]],NA())</f>
        <v>0.255</v>
      </c>
    </row>
    <row r="900" spans="1:32" x14ac:dyDescent="0.2">
      <c r="A900">
        <v>1541</v>
      </c>
      <c r="B900" t="s">
        <v>11</v>
      </c>
      <c r="C900">
        <v>0.36</v>
      </c>
      <c r="D900">
        <v>0.27</v>
      </c>
      <c r="E900">
        <v>9.5000000000000001E-2</v>
      </c>
      <c r="F900">
        <v>0.2</v>
      </c>
      <c r="G900">
        <v>7.2999999999999995E-2</v>
      </c>
      <c r="H900">
        <v>5.6000000000000001E-2</v>
      </c>
      <c r="I900">
        <v>6.0999999999999999E-2</v>
      </c>
      <c r="J900">
        <v>8</v>
      </c>
      <c r="K900">
        <v>14</v>
      </c>
      <c r="L900" t="s">
        <v>23</v>
      </c>
      <c r="M900" t="s">
        <v>24</v>
      </c>
      <c r="N900" t="s">
        <v>25</v>
      </c>
      <c r="O900">
        <v>3</v>
      </c>
      <c r="P900" t="s">
        <v>48</v>
      </c>
      <c r="Q900">
        <v>3.6</v>
      </c>
      <c r="R900" t="str" cm="1">
        <f t="array" ref="R9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00" t="e">
        <f>IF(Table13[[#This Row],[Category All]]="Category 1", "Yes",NA())</f>
        <v>#N/A</v>
      </c>
      <c r="T900" t="str">
        <f>IF(Table13[[#This Row],[Category All]]="Category 2", "Yes",NA())</f>
        <v>Yes</v>
      </c>
      <c r="U900" t="e">
        <f>IF(Table13[[#This Row],[Category All]]="Category 3", "Yes",NA())</f>
        <v>#N/A</v>
      </c>
      <c r="V900">
        <f>SUM(1,(1/3)*(Table13[[#This Row],[Length]]-0.5),(1/3)*(Table13[[#This Row],[Diameter]]-0.4),(1/3)*(Table13[[#This Row],[Height]]-0.4)*Table13[[#This Row],[Whole_weight]]*0.5)</f>
        <v>0.89983333333333337</v>
      </c>
      <c r="W900" cm="1">
        <f t="array" ref="W9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0.71986666666666677</v>
      </c>
      <c r="X900" t="e">
        <f>IF(Table13[[#This Row],[Category All]]="Category 1",Table13[[#This Row],[Base Abalone Value]]*1.5,NA())</f>
        <v>#N/A</v>
      </c>
      <c r="Y900">
        <f>IF(Table13[[#This Row],[Category All]]="Category 2",Table13[[#This Row],[Base Abalone Value]]*0.8,NA())</f>
        <v>0.71986666666666677</v>
      </c>
      <c r="Z900" t="e">
        <f>IF(Table13[[#This Row],[Category All]]="Category 3",Table13[[#This Row],[Base Abalone Value]],NA())</f>
        <v>#N/A</v>
      </c>
      <c r="AA900" s="2" t="e">
        <f>IF(Table13[[#This Row],[Gender]]="M",Table13[[#This Row],[Whole_weight]],NA())</f>
        <v>#N/A</v>
      </c>
      <c r="AB900" s="2" t="e">
        <f>IF(Table13[[#This Row],[Gender]]="F",Table13[[#This Row],[Whole_weight]],NA())</f>
        <v>#N/A</v>
      </c>
      <c r="AC900" s="2">
        <f>IF(Table13[[#This Row],[Gender]]="I",Table13[[#This Row],[Whole_weight]],NA())</f>
        <v>0.2</v>
      </c>
      <c r="AD900" s="2" t="e">
        <f>IF(Table13[[#This Row],[Gender]]="M",Table13[[#This Row],[Diameter]],NA())</f>
        <v>#N/A</v>
      </c>
      <c r="AE900" s="2" t="e">
        <f>IF(Table13[[#This Row],[Gender]]="F",Table13[[#This Row],[Diameter]],NA())</f>
        <v>#N/A</v>
      </c>
      <c r="AF900" s="2">
        <f>IF(Table13[[#This Row],[Gender]]="I",Table13[[#This Row],[Diameter]],NA())</f>
        <v>0.27</v>
      </c>
    </row>
    <row r="901" spans="1:32" x14ac:dyDescent="0.2">
      <c r="A901">
        <v>2386</v>
      </c>
      <c r="B901" t="s">
        <v>0</v>
      </c>
      <c r="C901">
        <v>0.45</v>
      </c>
      <c r="D901">
        <v>0.34499999999999997</v>
      </c>
      <c r="E901">
        <v>0.115</v>
      </c>
      <c r="F901">
        <v>0.496</v>
      </c>
      <c r="G901">
        <v>0.1905</v>
      </c>
      <c r="H901">
        <v>0.11700000000000001</v>
      </c>
      <c r="I901">
        <v>0.14000000000000001</v>
      </c>
      <c r="J901">
        <v>12</v>
      </c>
      <c r="K901">
        <v>7</v>
      </c>
      <c r="L901" t="s">
        <v>35</v>
      </c>
      <c r="M901" t="s">
        <v>36</v>
      </c>
      <c r="N901" t="s">
        <v>37</v>
      </c>
      <c r="O901">
        <v>7</v>
      </c>
      <c r="P901" t="s">
        <v>42</v>
      </c>
      <c r="Q901">
        <v>2.5</v>
      </c>
      <c r="R901" t="str" cm="1">
        <f t="array" ref="R9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01" t="e">
        <f>IF(Table13[[#This Row],[Category All]]="Category 1", "Yes",NA())</f>
        <v>#N/A</v>
      </c>
      <c r="T901" t="str">
        <f>IF(Table13[[#This Row],[Category All]]="Category 2", "Yes",NA())</f>
        <v>Yes</v>
      </c>
      <c r="U901" t="e">
        <f>IF(Table13[[#This Row],[Category All]]="Category 3", "Yes",NA())</f>
        <v>#N/A</v>
      </c>
      <c r="V901">
        <f>SUM(1,(1/3)*(Table13[[#This Row],[Length]]-0.5),(1/3)*(Table13[[#This Row],[Diameter]]-0.4),(1/3)*(Table13[[#This Row],[Height]]-0.4)*Table13[[#This Row],[Whole_weight]]*0.5)</f>
        <v>0.94144000000000005</v>
      </c>
      <c r="W901" cm="1">
        <f t="array" ref="W9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0.75315200000000004</v>
      </c>
      <c r="X901" t="e">
        <f>IF(Table13[[#This Row],[Category All]]="Category 1",Table13[[#This Row],[Base Abalone Value]]*1.5,NA())</f>
        <v>#N/A</v>
      </c>
      <c r="Y901">
        <f>IF(Table13[[#This Row],[Category All]]="Category 2",Table13[[#This Row],[Base Abalone Value]]*0.8,NA())</f>
        <v>0.75315200000000004</v>
      </c>
      <c r="Z901" t="e">
        <f>IF(Table13[[#This Row],[Category All]]="Category 3",Table13[[#This Row],[Base Abalone Value]],NA())</f>
        <v>#N/A</v>
      </c>
      <c r="AA901" s="2" t="e">
        <f>IF(Table13[[#This Row],[Gender]]="M",Table13[[#This Row],[Whole_weight]],NA())</f>
        <v>#N/A</v>
      </c>
      <c r="AB901" s="2">
        <f>IF(Table13[[#This Row],[Gender]]="F",Table13[[#This Row],[Whole_weight]],NA())</f>
        <v>0.496</v>
      </c>
      <c r="AC901" s="2" t="e">
        <f>IF(Table13[[#This Row],[Gender]]="I",Table13[[#This Row],[Whole_weight]],NA())</f>
        <v>#N/A</v>
      </c>
      <c r="AD901" s="2" t="e">
        <f>IF(Table13[[#This Row],[Gender]]="M",Table13[[#This Row],[Diameter]],NA())</f>
        <v>#N/A</v>
      </c>
      <c r="AE901" s="2">
        <f>IF(Table13[[#This Row],[Gender]]="F",Table13[[#This Row],[Diameter]],NA())</f>
        <v>0.34499999999999997</v>
      </c>
      <c r="AF901" s="2" t="e">
        <f>IF(Table13[[#This Row],[Gender]]="I",Table13[[#This Row],[Diameter]],NA())</f>
        <v>#N/A</v>
      </c>
    </row>
    <row r="902" spans="1:32" x14ac:dyDescent="0.2">
      <c r="A902">
        <v>3034</v>
      </c>
      <c r="B902" t="s">
        <v>15</v>
      </c>
      <c r="C902">
        <v>0.53500000000000003</v>
      </c>
      <c r="D902">
        <v>0.41</v>
      </c>
      <c r="E902">
        <v>0.12</v>
      </c>
      <c r="F902">
        <v>0.6835</v>
      </c>
      <c r="G902">
        <v>0.3125</v>
      </c>
      <c r="H902">
        <v>0.16550000000000001</v>
      </c>
      <c r="I902">
        <v>0.159</v>
      </c>
      <c r="J902">
        <v>8</v>
      </c>
      <c r="K902">
        <v>11</v>
      </c>
      <c r="L902" t="s">
        <v>5</v>
      </c>
      <c r="M902" t="s">
        <v>6</v>
      </c>
      <c r="N902" t="s">
        <v>3</v>
      </c>
      <c r="O902">
        <v>4</v>
      </c>
      <c r="P902" t="s">
        <v>10</v>
      </c>
      <c r="Q902">
        <v>6.1</v>
      </c>
      <c r="R902" t="str" cm="1">
        <f t="array" ref="R9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02" t="e">
        <f>IF(Table13[[#This Row],[Category All]]="Category 1", "Yes",NA())</f>
        <v>#N/A</v>
      </c>
      <c r="T902" t="str">
        <f>IF(Table13[[#This Row],[Category All]]="Category 2", "Yes",NA())</f>
        <v>Yes</v>
      </c>
      <c r="U902" t="e">
        <f>IF(Table13[[#This Row],[Category All]]="Category 3", "Yes",NA())</f>
        <v>#N/A</v>
      </c>
      <c r="V902">
        <f>SUM(1,(1/3)*(Table13[[#This Row],[Length]]-0.5),(1/3)*(Table13[[#This Row],[Diameter]]-0.4),(1/3)*(Table13[[#This Row],[Height]]-0.4)*Table13[[#This Row],[Whole_weight]]*0.5)</f>
        <v>0.98310333333333344</v>
      </c>
      <c r="W902" cm="1">
        <f t="array" ref="W9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0.78648266666666677</v>
      </c>
      <c r="X902" t="e">
        <f>IF(Table13[[#This Row],[Category All]]="Category 1",Table13[[#This Row],[Base Abalone Value]]*1.5,NA())</f>
        <v>#N/A</v>
      </c>
      <c r="Y902">
        <f>IF(Table13[[#This Row],[Category All]]="Category 2",Table13[[#This Row],[Base Abalone Value]]*0.8,NA())</f>
        <v>0.78648266666666677</v>
      </c>
      <c r="Z902" t="e">
        <f>IF(Table13[[#This Row],[Category All]]="Category 3",Table13[[#This Row],[Base Abalone Value]],NA())</f>
        <v>#N/A</v>
      </c>
      <c r="AA902" s="2">
        <f>IF(Table13[[#This Row],[Gender]]="M",Table13[[#This Row],[Whole_weight]],NA())</f>
        <v>0.6835</v>
      </c>
      <c r="AB902" s="2" t="e">
        <f>IF(Table13[[#This Row],[Gender]]="F",Table13[[#This Row],[Whole_weight]],NA())</f>
        <v>#N/A</v>
      </c>
      <c r="AC902" s="2" t="e">
        <f>IF(Table13[[#This Row],[Gender]]="I",Table13[[#This Row],[Whole_weight]],NA())</f>
        <v>#N/A</v>
      </c>
      <c r="AD902" s="2">
        <f>IF(Table13[[#This Row],[Gender]]="M",Table13[[#This Row],[Diameter]],NA())</f>
        <v>0.41</v>
      </c>
      <c r="AE902" s="2" t="e">
        <f>IF(Table13[[#This Row],[Gender]]="F",Table13[[#This Row],[Diameter]],NA())</f>
        <v>#N/A</v>
      </c>
      <c r="AF902" s="2" t="e">
        <f>IF(Table13[[#This Row],[Gender]]="I",Table13[[#This Row],[Diameter]],NA())</f>
        <v>#N/A</v>
      </c>
    </row>
    <row r="903" spans="1:32" x14ac:dyDescent="0.2">
      <c r="A903">
        <v>3786</v>
      </c>
      <c r="B903" t="s">
        <v>15</v>
      </c>
      <c r="C903">
        <v>0.625</v>
      </c>
      <c r="D903">
        <v>0.495</v>
      </c>
      <c r="E903">
        <v>0.155</v>
      </c>
      <c r="F903">
        <v>1.177</v>
      </c>
      <c r="G903">
        <v>0.50549999999999995</v>
      </c>
      <c r="H903">
        <v>0.27800000000000002</v>
      </c>
      <c r="I903">
        <v>0.34499999999999997</v>
      </c>
      <c r="J903">
        <v>9</v>
      </c>
      <c r="K903">
        <v>7</v>
      </c>
      <c r="L903" t="s">
        <v>35</v>
      </c>
      <c r="M903" t="s">
        <v>36</v>
      </c>
      <c r="N903" t="s">
        <v>37</v>
      </c>
      <c r="O903">
        <v>10</v>
      </c>
      <c r="P903" t="s">
        <v>38</v>
      </c>
      <c r="Q903">
        <v>24.1</v>
      </c>
      <c r="R903" t="str" cm="1">
        <f t="array" ref="R9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03" t="e">
        <f>IF(Table13[[#This Row],[Category All]]="Category 1", "Yes",NA())</f>
        <v>#N/A</v>
      </c>
      <c r="T903" t="e">
        <f>IF(Table13[[#This Row],[Category All]]="Category 2", "Yes",NA())</f>
        <v>#N/A</v>
      </c>
      <c r="U903" t="str">
        <f>IF(Table13[[#This Row],[Category All]]="Category 3", "Yes",NA())</f>
        <v>Yes</v>
      </c>
      <c r="V903">
        <f>SUM(1,(1/3)*(Table13[[#This Row],[Length]]-0.5),(1/3)*(Table13[[#This Row],[Diameter]]-0.4),(1/3)*(Table13[[#This Row],[Height]]-0.4)*Table13[[#This Row],[Whole_weight]]*0.5)</f>
        <v>1.0252725</v>
      </c>
      <c r="W903" cm="1">
        <f t="array" ref="W9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1.0252725</v>
      </c>
      <c r="X903" t="e">
        <f>IF(Table13[[#This Row],[Category All]]="Category 1",Table13[[#This Row],[Base Abalone Value]]*1.5,NA())</f>
        <v>#N/A</v>
      </c>
      <c r="Y903" t="e">
        <f>IF(Table13[[#This Row],[Category All]]="Category 2",Table13[[#This Row],[Base Abalone Value]]*0.8,NA())</f>
        <v>#N/A</v>
      </c>
      <c r="Z903">
        <f>IF(Table13[[#This Row],[Category All]]="Category 3",Table13[[#This Row],[Base Abalone Value]],NA())</f>
        <v>1.0252725</v>
      </c>
      <c r="AA903" s="2">
        <f>IF(Table13[[#This Row],[Gender]]="M",Table13[[#This Row],[Whole_weight]],NA())</f>
        <v>1.177</v>
      </c>
      <c r="AB903" s="2" t="e">
        <f>IF(Table13[[#This Row],[Gender]]="F",Table13[[#This Row],[Whole_weight]],NA())</f>
        <v>#N/A</v>
      </c>
      <c r="AC903" s="2" t="e">
        <f>IF(Table13[[#This Row],[Gender]]="I",Table13[[#This Row],[Whole_weight]],NA())</f>
        <v>#N/A</v>
      </c>
      <c r="AD903" s="2">
        <f>IF(Table13[[#This Row],[Gender]]="M",Table13[[#This Row],[Diameter]],NA())</f>
        <v>0.495</v>
      </c>
      <c r="AE903" s="2" t="e">
        <f>IF(Table13[[#This Row],[Gender]]="F",Table13[[#This Row],[Diameter]],NA())</f>
        <v>#N/A</v>
      </c>
      <c r="AF903" s="2" t="e">
        <f>IF(Table13[[#This Row],[Gender]]="I",Table13[[#This Row],[Diameter]],NA())</f>
        <v>#N/A</v>
      </c>
    </row>
    <row r="904" spans="1:32" x14ac:dyDescent="0.2">
      <c r="A904">
        <v>2022</v>
      </c>
      <c r="B904" t="s">
        <v>15</v>
      </c>
      <c r="C904">
        <v>0.52500000000000002</v>
      </c>
      <c r="D904">
        <v>0.41</v>
      </c>
      <c r="E904">
        <v>0.13</v>
      </c>
      <c r="F904">
        <v>0.6875</v>
      </c>
      <c r="G904">
        <v>0.34350000000000003</v>
      </c>
      <c r="H904">
        <v>0.14949999999999999</v>
      </c>
      <c r="I904">
        <v>0.17649999999999999</v>
      </c>
      <c r="J904">
        <v>9</v>
      </c>
      <c r="K904">
        <v>14</v>
      </c>
      <c r="L904" t="s">
        <v>23</v>
      </c>
      <c r="M904" t="s">
        <v>24</v>
      </c>
      <c r="N904" t="s">
        <v>25</v>
      </c>
      <c r="O904">
        <v>5</v>
      </c>
      <c r="P904" t="s">
        <v>14</v>
      </c>
      <c r="Q904">
        <v>12.8</v>
      </c>
      <c r="R904" t="str" cm="1">
        <f t="array" ref="R9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04" t="e">
        <f>IF(Table13[[#This Row],[Category All]]="Category 1", "Yes",NA())</f>
        <v>#N/A</v>
      </c>
      <c r="T904" t="str">
        <f>IF(Table13[[#This Row],[Category All]]="Category 2", "Yes",NA())</f>
        <v>Yes</v>
      </c>
      <c r="U904" t="e">
        <f>IF(Table13[[#This Row],[Category All]]="Category 3", "Yes",NA())</f>
        <v>#N/A</v>
      </c>
      <c r="V904">
        <f>SUM(1,(1/3)*(Table13[[#This Row],[Length]]-0.5),(1/3)*(Table13[[#This Row],[Diameter]]-0.4),(1/3)*(Table13[[#This Row],[Height]]-0.4)*Table13[[#This Row],[Whole_weight]]*0.5)</f>
        <v>0.98072916666666676</v>
      </c>
      <c r="W904" cm="1">
        <f t="array" ref="W9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0.78458333333333341</v>
      </c>
      <c r="X904" t="e">
        <f>IF(Table13[[#This Row],[Category All]]="Category 1",Table13[[#This Row],[Base Abalone Value]]*1.5,NA())</f>
        <v>#N/A</v>
      </c>
      <c r="Y904">
        <f>IF(Table13[[#This Row],[Category All]]="Category 2",Table13[[#This Row],[Base Abalone Value]]*0.8,NA())</f>
        <v>0.78458333333333341</v>
      </c>
      <c r="Z904" t="e">
        <f>IF(Table13[[#This Row],[Category All]]="Category 3",Table13[[#This Row],[Base Abalone Value]],NA())</f>
        <v>#N/A</v>
      </c>
      <c r="AA904" s="2">
        <f>IF(Table13[[#This Row],[Gender]]="M",Table13[[#This Row],[Whole_weight]],NA())</f>
        <v>0.6875</v>
      </c>
      <c r="AB904" s="2" t="e">
        <f>IF(Table13[[#This Row],[Gender]]="F",Table13[[#This Row],[Whole_weight]],NA())</f>
        <v>#N/A</v>
      </c>
      <c r="AC904" s="2" t="e">
        <f>IF(Table13[[#This Row],[Gender]]="I",Table13[[#This Row],[Whole_weight]],NA())</f>
        <v>#N/A</v>
      </c>
      <c r="AD904" s="2">
        <f>IF(Table13[[#This Row],[Gender]]="M",Table13[[#This Row],[Diameter]],NA())</f>
        <v>0.41</v>
      </c>
      <c r="AE904" s="2" t="e">
        <f>IF(Table13[[#This Row],[Gender]]="F",Table13[[#This Row],[Diameter]],NA())</f>
        <v>#N/A</v>
      </c>
      <c r="AF904" s="2" t="e">
        <f>IF(Table13[[#This Row],[Gender]]="I",Table13[[#This Row],[Diameter]],NA())</f>
        <v>#N/A</v>
      </c>
    </row>
    <row r="905" spans="1:32" x14ac:dyDescent="0.2">
      <c r="A905">
        <v>2160</v>
      </c>
      <c r="B905" t="s">
        <v>0</v>
      </c>
      <c r="C905">
        <v>0.64</v>
      </c>
      <c r="D905">
        <v>0.51</v>
      </c>
      <c r="E905">
        <v>0.2</v>
      </c>
      <c r="F905">
        <v>1.3905000000000001</v>
      </c>
      <c r="G905">
        <v>0.61</v>
      </c>
      <c r="H905">
        <v>0.33150000000000002</v>
      </c>
      <c r="I905">
        <v>0.41</v>
      </c>
      <c r="J905">
        <v>12</v>
      </c>
      <c r="K905">
        <v>4</v>
      </c>
      <c r="L905" t="s">
        <v>52</v>
      </c>
      <c r="M905" t="s">
        <v>53</v>
      </c>
      <c r="N905" t="s">
        <v>54</v>
      </c>
      <c r="O905">
        <v>9</v>
      </c>
      <c r="P905" t="s">
        <v>46</v>
      </c>
      <c r="Q905">
        <v>1.9</v>
      </c>
      <c r="R905" t="str" cm="1">
        <f t="array" ref="R9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05" t="e">
        <f>IF(Table13[[#This Row],[Category All]]="Category 1", "Yes",NA())</f>
        <v>#N/A</v>
      </c>
      <c r="T905" t="e">
        <f>IF(Table13[[#This Row],[Category All]]="Category 2", "Yes",NA())</f>
        <v>#N/A</v>
      </c>
      <c r="U905" t="str">
        <f>IF(Table13[[#This Row],[Category All]]="Category 3", "Yes",NA())</f>
        <v>Yes</v>
      </c>
      <c r="V905">
        <f>SUM(1,(1/3)*(Table13[[#This Row],[Length]]-0.5),(1/3)*(Table13[[#This Row],[Diameter]]-0.4),(1/3)*(Table13[[#This Row],[Height]]-0.4)*Table13[[#This Row],[Whole_weight]]*0.5)</f>
        <v>1.0369833333333331</v>
      </c>
      <c r="W905" cm="1">
        <f t="array" ref="W9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1.0369833333333331</v>
      </c>
      <c r="X905" t="e">
        <f>IF(Table13[[#This Row],[Category All]]="Category 1",Table13[[#This Row],[Base Abalone Value]]*1.5,NA())</f>
        <v>#N/A</v>
      </c>
      <c r="Y905" t="e">
        <f>IF(Table13[[#This Row],[Category All]]="Category 2",Table13[[#This Row],[Base Abalone Value]]*0.8,NA())</f>
        <v>#N/A</v>
      </c>
      <c r="Z905">
        <f>IF(Table13[[#This Row],[Category All]]="Category 3",Table13[[#This Row],[Base Abalone Value]],NA())</f>
        <v>1.0369833333333331</v>
      </c>
      <c r="AA905" s="2" t="e">
        <f>IF(Table13[[#This Row],[Gender]]="M",Table13[[#This Row],[Whole_weight]],NA())</f>
        <v>#N/A</v>
      </c>
      <c r="AB905" s="2">
        <f>IF(Table13[[#This Row],[Gender]]="F",Table13[[#This Row],[Whole_weight]],NA())</f>
        <v>1.3905000000000001</v>
      </c>
      <c r="AC905" s="2" t="e">
        <f>IF(Table13[[#This Row],[Gender]]="I",Table13[[#This Row],[Whole_weight]],NA())</f>
        <v>#N/A</v>
      </c>
      <c r="AD905" s="2" t="e">
        <f>IF(Table13[[#This Row],[Gender]]="M",Table13[[#This Row],[Diameter]],NA())</f>
        <v>#N/A</v>
      </c>
      <c r="AE905" s="2">
        <f>IF(Table13[[#This Row],[Gender]]="F",Table13[[#This Row],[Diameter]],NA())</f>
        <v>0.51</v>
      </c>
      <c r="AF905" s="2" t="e">
        <f>IF(Table13[[#This Row],[Gender]]="I",Table13[[#This Row],[Diameter]],NA())</f>
        <v>#N/A</v>
      </c>
    </row>
    <row r="906" spans="1:32" x14ac:dyDescent="0.2">
      <c r="A906">
        <v>921</v>
      </c>
      <c r="B906" t="s">
        <v>11</v>
      </c>
      <c r="C906">
        <v>0.41499999999999998</v>
      </c>
      <c r="D906">
        <v>0.33</v>
      </c>
      <c r="E906">
        <v>0.09</v>
      </c>
      <c r="F906">
        <v>0.35949999999999999</v>
      </c>
      <c r="G906">
        <v>0.17</v>
      </c>
      <c r="H906">
        <v>8.1000000000000003E-2</v>
      </c>
      <c r="I906">
        <v>0.09</v>
      </c>
      <c r="J906">
        <v>6</v>
      </c>
      <c r="K906">
        <v>14</v>
      </c>
      <c r="L906" t="s">
        <v>23</v>
      </c>
      <c r="M906" t="s">
        <v>24</v>
      </c>
      <c r="N906" t="s">
        <v>25</v>
      </c>
      <c r="O906">
        <v>8</v>
      </c>
      <c r="P906" t="s">
        <v>19</v>
      </c>
      <c r="Q906">
        <v>12.3</v>
      </c>
      <c r="R906" t="str" cm="1">
        <f t="array" ref="R9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06" t="e">
        <f>IF(Table13[[#This Row],[Category All]]="Category 1", "Yes",NA())</f>
        <v>#N/A</v>
      </c>
      <c r="T906" t="str">
        <f>IF(Table13[[#This Row],[Category All]]="Category 2", "Yes",NA())</f>
        <v>Yes</v>
      </c>
      <c r="U906" t="e">
        <f>IF(Table13[[#This Row],[Category All]]="Category 3", "Yes",NA())</f>
        <v>#N/A</v>
      </c>
      <c r="V906">
        <f>SUM(1,(1/3)*(Table13[[#This Row],[Length]]-0.5),(1/3)*(Table13[[#This Row],[Diameter]]-0.4),(1/3)*(Table13[[#This Row],[Height]]-0.4)*Table13[[#This Row],[Whole_weight]]*0.5)</f>
        <v>0.92975916666666669</v>
      </c>
      <c r="W906" cm="1">
        <f t="array" ref="W9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0.74380733333333338</v>
      </c>
      <c r="X906" t="e">
        <f>IF(Table13[[#This Row],[Category All]]="Category 1",Table13[[#This Row],[Base Abalone Value]]*1.5,NA())</f>
        <v>#N/A</v>
      </c>
      <c r="Y906">
        <f>IF(Table13[[#This Row],[Category All]]="Category 2",Table13[[#This Row],[Base Abalone Value]]*0.8,NA())</f>
        <v>0.74380733333333338</v>
      </c>
      <c r="Z906" t="e">
        <f>IF(Table13[[#This Row],[Category All]]="Category 3",Table13[[#This Row],[Base Abalone Value]],NA())</f>
        <v>#N/A</v>
      </c>
      <c r="AA906" s="2" t="e">
        <f>IF(Table13[[#This Row],[Gender]]="M",Table13[[#This Row],[Whole_weight]],NA())</f>
        <v>#N/A</v>
      </c>
      <c r="AB906" s="2" t="e">
        <f>IF(Table13[[#This Row],[Gender]]="F",Table13[[#This Row],[Whole_weight]],NA())</f>
        <v>#N/A</v>
      </c>
      <c r="AC906" s="2">
        <f>IF(Table13[[#This Row],[Gender]]="I",Table13[[#This Row],[Whole_weight]],NA())</f>
        <v>0.35949999999999999</v>
      </c>
      <c r="AD906" s="2" t="e">
        <f>IF(Table13[[#This Row],[Gender]]="M",Table13[[#This Row],[Diameter]],NA())</f>
        <v>#N/A</v>
      </c>
      <c r="AE906" s="2" t="e">
        <f>IF(Table13[[#This Row],[Gender]]="F",Table13[[#This Row],[Diameter]],NA())</f>
        <v>#N/A</v>
      </c>
      <c r="AF906" s="2">
        <f>IF(Table13[[#This Row],[Gender]]="I",Table13[[#This Row],[Diameter]],NA())</f>
        <v>0.33</v>
      </c>
    </row>
    <row r="907" spans="1:32" x14ac:dyDescent="0.2">
      <c r="A907">
        <v>3540</v>
      </c>
      <c r="B907" t="s">
        <v>11</v>
      </c>
      <c r="C907">
        <v>0.435</v>
      </c>
      <c r="D907">
        <v>0.34</v>
      </c>
      <c r="E907">
        <v>0.12</v>
      </c>
      <c r="F907">
        <v>0.39600000000000002</v>
      </c>
      <c r="G907">
        <v>0.17749999999999999</v>
      </c>
      <c r="H907">
        <v>8.1000000000000003E-2</v>
      </c>
      <c r="I907">
        <v>0.125</v>
      </c>
      <c r="J907">
        <v>8</v>
      </c>
      <c r="K907">
        <v>10</v>
      </c>
      <c r="L907" t="s">
        <v>16</v>
      </c>
      <c r="M907" t="s">
        <v>17</v>
      </c>
      <c r="N907" t="s">
        <v>18</v>
      </c>
      <c r="O907">
        <v>3</v>
      </c>
      <c r="P907" t="s">
        <v>48</v>
      </c>
      <c r="Q907">
        <v>3.6</v>
      </c>
      <c r="R907" t="str" cm="1">
        <f t="array" ref="R9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07" t="e">
        <f>IF(Table13[[#This Row],[Category All]]="Category 1", "Yes",NA())</f>
        <v>#N/A</v>
      </c>
      <c r="T907" t="str">
        <f>IF(Table13[[#This Row],[Category All]]="Category 2", "Yes",NA())</f>
        <v>Yes</v>
      </c>
      <c r="U907" t="e">
        <f>IF(Table13[[#This Row],[Category All]]="Category 3", "Yes",NA())</f>
        <v>#N/A</v>
      </c>
      <c r="V907">
        <f>SUM(1,(1/3)*(Table13[[#This Row],[Length]]-0.5),(1/3)*(Table13[[#This Row],[Diameter]]-0.4),(1/3)*(Table13[[#This Row],[Height]]-0.4)*Table13[[#This Row],[Whole_weight]]*0.5)</f>
        <v>0.93985333333333321</v>
      </c>
      <c r="W907" cm="1">
        <f t="array" ref="W9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0.75188266666666659</v>
      </c>
      <c r="X907" t="e">
        <f>IF(Table13[[#This Row],[Category All]]="Category 1",Table13[[#This Row],[Base Abalone Value]]*1.5,NA())</f>
        <v>#N/A</v>
      </c>
      <c r="Y907">
        <f>IF(Table13[[#This Row],[Category All]]="Category 2",Table13[[#This Row],[Base Abalone Value]]*0.8,NA())</f>
        <v>0.75188266666666659</v>
      </c>
      <c r="Z907" t="e">
        <f>IF(Table13[[#This Row],[Category All]]="Category 3",Table13[[#This Row],[Base Abalone Value]],NA())</f>
        <v>#N/A</v>
      </c>
      <c r="AA907" s="2" t="e">
        <f>IF(Table13[[#This Row],[Gender]]="M",Table13[[#This Row],[Whole_weight]],NA())</f>
        <v>#N/A</v>
      </c>
      <c r="AB907" s="2" t="e">
        <f>IF(Table13[[#This Row],[Gender]]="F",Table13[[#This Row],[Whole_weight]],NA())</f>
        <v>#N/A</v>
      </c>
      <c r="AC907" s="2">
        <f>IF(Table13[[#This Row],[Gender]]="I",Table13[[#This Row],[Whole_weight]],NA())</f>
        <v>0.39600000000000002</v>
      </c>
      <c r="AD907" s="2" t="e">
        <f>IF(Table13[[#This Row],[Gender]]="M",Table13[[#This Row],[Diameter]],NA())</f>
        <v>#N/A</v>
      </c>
      <c r="AE907" s="2" t="e">
        <f>IF(Table13[[#This Row],[Gender]]="F",Table13[[#This Row],[Diameter]],NA())</f>
        <v>#N/A</v>
      </c>
      <c r="AF907" s="2">
        <f>IF(Table13[[#This Row],[Gender]]="I",Table13[[#This Row],[Diameter]],NA())</f>
        <v>0.34</v>
      </c>
    </row>
    <row r="908" spans="1:32" x14ac:dyDescent="0.2">
      <c r="A908">
        <v>2590</v>
      </c>
      <c r="B908" t="s">
        <v>15</v>
      </c>
      <c r="C908">
        <v>0.57499999999999996</v>
      </c>
      <c r="D908">
        <v>0.45</v>
      </c>
      <c r="E908">
        <v>0.155</v>
      </c>
      <c r="F908">
        <v>0.94799999999999995</v>
      </c>
      <c r="G908">
        <v>0.42899999999999999</v>
      </c>
      <c r="H908">
        <v>0.20599999999999999</v>
      </c>
      <c r="I908">
        <v>0.25900000000000001</v>
      </c>
      <c r="J908">
        <v>7</v>
      </c>
      <c r="K908">
        <v>7</v>
      </c>
      <c r="L908" t="s">
        <v>35</v>
      </c>
      <c r="M908" t="s">
        <v>36</v>
      </c>
      <c r="N908" t="s">
        <v>37</v>
      </c>
      <c r="O908">
        <v>10</v>
      </c>
      <c r="P908" t="s">
        <v>38</v>
      </c>
      <c r="Q908">
        <v>24.1</v>
      </c>
      <c r="R908" t="str" cm="1">
        <f t="array" ref="R9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08" t="e">
        <f>IF(Table13[[#This Row],[Category All]]="Category 1", "Yes",NA())</f>
        <v>#N/A</v>
      </c>
      <c r="T908" t="e">
        <f>IF(Table13[[#This Row],[Category All]]="Category 2", "Yes",NA())</f>
        <v>#N/A</v>
      </c>
      <c r="U908" t="str">
        <f>IF(Table13[[#This Row],[Category All]]="Category 3", "Yes",NA())</f>
        <v>Yes</v>
      </c>
      <c r="V908">
        <f>SUM(1,(1/3)*(Table13[[#This Row],[Length]]-0.5),(1/3)*(Table13[[#This Row],[Diameter]]-0.4),(1/3)*(Table13[[#This Row],[Height]]-0.4)*Table13[[#This Row],[Whole_weight]]*0.5)</f>
        <v>1.0029566666666665</v>
      </c>
      <c r="W908" cm="1">
        <f t="array" ref="W9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1.0029566666666665</v>
      </c>
      <c r="X908" t="e">
        <f>IF(Table13[[#This Row],[Category All]]="Category 1",Table13[[#This Row],[Base Abalone Value]]*1.5,NA())</f>
        <v>#N/A</v>
      </c>
      <c r="Y908" t="e">
        <f>IF(Table13[[#This Row],[Category All]]="Category 2",Table13[[#This Row],[Base Abalone Value]]*0.8,NA())</f>
        <v>#N/A</v>
      </c>
      <c r="Z908">
        <f>IF(Table13[[#This Row],[Category All]]="Category 3",Table13[[#This Row],[Base Abalone Value]],NA())</f>
        <v>1.0029566666666665</v>
      </c>
      <c r="AA908" s="2">
        <f>IF(Table13[[#This Row],[Gender]]="M",Table13[[#This Row],[Whole_weight]],NA())</f>
        <v>0.94799999999999995</v>
      </c>
      <c r="AB908" s="2" t="e">
        <f>IF(Table13[[#This Row],[Gender]]="F",Table13[[#This Row],[Whole_weight]],NA())</f>
        <v>#N/A</v>
      </c>
      <c r="AC908" s="2" t="e">
        <f>IF(Table13[[#This Row],[Gender]]="I",Table13[[#This Row],[Whole_weight]],NA())</f>
        <v>#N/A</v>
      </c>
      <c r="AD908" s="2">
        <f>IF(Table13[[#This Row],[Gender]]="M",Table13[[#This Row],[Diameter]],NA())</f>
        <v>0.45</v>
      </c>
      <c r="AE908" s="2" t="e">
        <f>IF(Table13[[#This Row],[Gender]]="F",Table13[[#This Row],[Diameter]],NA())</f>
        <v>#N/A</v>
      </c>
      <c r="AF908" s="2" t="e">
        <f>IF(Table13[[#This Row],[Gender]]="I",Table13[[#This Row],[Diameter]],NA())</f>
        <v>#N/A</v>
      </c>
    </row>
    <row r="909" spans="1:32" x14ac:dyDescent="0.2">
      <c r="A909">
        <v>3936</v>
      </c>
      <c r="B909" t="s">
        <v>15</v>
      </c>
      <c r="C909">
        <v>0.52</v>
      </c>
      <c r="D909">
        <v>0.41</v>
      </c>
      <c r="E909">
        <v>0.115</v>
      </c>
      <c r="F909">
        <v>0.77</v>
      </c>
      <c r="G909">
        <v>0.26300000000000001</v>
      </c>
      <c r="H909">
        <v>0.157</v>
      </c>
      <c r="I909">
        <v>0.26</v>
      </c>
      <c r="J909">
        <v>11</v>
      </c>
      <c r="K909">
        <v>5</v>
      </c>
      <c r="L909" t="s">
        <v>26</v>
      </c>
      <c r="M909" t="s">
        <v>27</v>
      </c>
      <c r="N909" t="s">
        <v>28</v>
      </c>
      <c r="O909">
        <v>6</v>
      </c>
      <c r="P909" t="s">
        <v>47</v>
      </c>
      <c r="Q909">
        <v>14.1</v>
      </c>
      <c r="R909" t="str" cm="1">
        <f t="array" ref="R9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09" t="e">
        <f>IF(Table13[[#This Row],[Category All]]="Category 1", "Yes",NA())</f>
        <v>#N/A</v>
      </c>
      <c r="T909" t="str">
        <f>IF(Table13[[#This Row],[Category All]]="Category 2", "Yes",NA())</f>
        <v>Yes</v>
      </c>
      <c r="U909" t="e">
        <f>IF(Table13[[#This Row],[Category All]]="Category 3", "Yes",NA())</f>
        <v>#N/A</v>
      </c>
      <c r="V909">
        <f>SUM(1,(1/3)*(Table13[[#This Row],[Length]]-0.5),(1/3)*(Table13[[#This Row],[Diameter]]-0.4),(1/3)*(Table13[[#This Row],[Height]]-0.4)*Table13[[#This Row],[Whole_weight]]*0.5)</f>
        <v>0.97342499999999998</v>
      </c>
      <c r="W909" cm="1">
        <f t="array" ref="W9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0.77873999999999999</v>
      </c>
      <c r="X909" t="e">
        <f>IF(Table13[[#This Row],[Category All]]="Category 1",Table13[[#This Row],[Base Abalone Value]]*1.5,NA())</f>
        <v>#N/A</v>
      </c>
      <c r="Y909">
        <f>IF(Table13[[#This Row],[Category All]]="Category 2",Table13[[#This Row],[Base Abalone Value]]*0.8,NA())</f>
        <v>0.77873999999999999</v>
      </c>
      <c r="Z909" t="e">
        <f>IF(Table13[[#This Row],[Category All]]="Category 3",Table13[[#This Row],[Base Abalone Value]],NA())</f>
        <v>#N/A</v>
      </c>
      <c r="AA909" s="2">
        <f>IF(Table13[[#This Row],[Gender]]="M",Table13[[#This Row],[Whole_weight]],NA())</f>
        <v>0.77</v>
      </c>
      <c r="AB909" s="2" t="e">
        <f>IF(Table13[[#This Row],[Gender]]="F",Table13[[#This Row],[Whole_weight]],NA())</f>
        <v>#N/A</v>
      </c>
      <c r="AC909" s="2" t="e">
        <f>IF(Table13[[#This Row],[Gender]]="I",Table13[[#This Row],[Whole_weight]],NA())</f>
        <v>#N/A</v>
      </c>
      <c r="AD909" s="2">
        <f>IF(Table13[[#This Row],[Gender]]="M",Table13[[#This Row],[Diameter]],NA())</f>
        <v>0.41</v>
      </c>
      <c r="AE909" s="2" t="e">
        <f>IF(Table13[[#This Row],[Gender]]="F",Table13[[#This Row],[Diameter]],NA())</f>
        <v>#N/A</v>
      </c>
      <c r="AF909" s="2" t="e">
        <f>IF(Table13[[#This Row],[Gender]]="I",Table13[[#This Row],[Diameter]],NA())</f>
        <v>#N/A</v>
      </c>
    </row>
    <row r="910" spans="1:32" x14ac:dyDescent="0.2">
      <c r="A910">
        <v>3001</v>
      </c>
      <c r="B910" t="s">
        <v>15</v>
      </c>
      <c r="C910">
        <v>0.64</v>
      </c>
      <c r="D910">
        <v>0.48499999999999999</v>
      </c>
      <c r="E910">
        <v>0.16</v>
      </c>
      <c r="F910">
        <v>1.006</v>
      </c>
      <c r="G910">
        <v>0.45600000000000002</v>
      </c>
      <c r="H910">
        <v>0.22450000000000001</v>
      </c>
      <c r="I910">
        <v>0.28349999999999997</v>
      </c>
      <c r="J910">
        <v>9</v>
      </c>
      <c r="K910">
        <v>3</v>
      </c>
      <c r="L910" t="s">
        <v>43</v>
      </c>
      <c r="M910" t="s">
        <v>44</v>
      </c>
      <c r="N910" t="s">
        <v>45</v>
      </c>
      <c r="O910">
        <v>6</v>
      </c>
      <c r="P910" t="s">
        <v>47</v>
      </c>
      <c r="Q910">
        <v>14.1</v>
      </c>
      <c r="R910" t="str" cm="1">
        <f t="array" ref="R9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10" t="e">
        <f>IF(Table13[[#This Row],[Category All]]="Category 1", "Yes",NA())</f>
        <v>#N/A</v>
      </c>
      <c r="T910" t="e">
        <f>IF(Table13[[#This Row],[Category All]]="Category 2", "Yes",NA())</f>
        <v>#N/A</v>
      </c>
      <c r="U910" t="str">
        <f>IF(Table13[[#This Row],[Category All]]="Category 3", "Yes",NA())</f>
        <v>Yes</v>
      </c>
      <c r="V910">
        <f>SUM(1,(1/3)*(Table13[[#This Row],[Length]]-0.5),(1/3)*(Table13[[#This Row],[Diameter]]-0.4),(1/3)*(Table13[[#This Row],[Height]]-0.4)*Table13[[#This Row],[Whole_weight]]*0.5)</f>
        <v>1.0347599999999999</v>
      </c>
      <c r="W910" cm="1">
        <f t="array" ref="W9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1.0347599999999999</v>
      </c>
      <c r="X910" t="e">
        <f>IF(Table13[[#This Row],[Category All]]="Category 1",Table13[[#This Row],[Base Abalone Value]]*1.5,NA())</f>
        <v>#N/A</v>
      </c>
      <c r="Y910" t="e">
        <f>IF(Table13[[#This Row],[Category All]]="Category 2",Table13[[#This Row],[Base Abalone Value]]*0.8,NA())</f>
        <v>#N/A</v>
      </c>
      <c r="Z910">
        <f>IF(Table13[[#This Row],[Category All]]="Category 3",Table13[[#This Row],[Base Abalone Value]],NA())</f>
        <v>1.0347599999999999</v>
      </c>
      <c r="AA910" s="2">
        <f>IF(Table13[[#This Row],[Gender]]="M",Table13[[#This Row],[Whole_weight]],NA())</f>
        <v>1.006</v>
      </c>
      <c r="AB910" s="2" t="e">
        <f>IF(Table13[[#This Row],[Gender]]="F",Table13[[#This Row],[Whole_weight]],NA())</f>
        <v>#N/A</v>
      </c>
      <c r="AC910" s="2" t="e">
        <f>IF(Table13[[#This Row],[Gender]]="I",Table13[[#This Row],[Whole_weight]],NA())</f>
        <v>#N/A</v>
      </c>
      <c r="AD910" s="2">
        <f>IF(Table13[[#This Row],[Gender]]="M",Table13[[#This Row],[Diameter]],NA())</f>
        <v>0.48499999999999999</v>
      </c>
      <c r="AE910" s="2" t="e">
        <f>IF(Table13[[#This Row],[Gender]]="F",Table13[[#This Row],[Diameter]],NA())</f>
        <v>#N/A</v>
      </c>
      <c r="AF910" s="2" t="e">
        <f>IF(Table13[[#This Row],[Gender]]="I",Table13[[#This Row],[Diameter]],NA())</f>
        <v>#N/A</v>
      </c>
    </row>
    <row r="911" spans="1:32" x14ac:dyDescent="0.2">
      <c r="A911">
        <v>1740</v>
      </c>
      <c r="B911" t="s">
        <v>15</v>
      </c>
      <c r="C911">
        <v>0.67500000000000004</v>
      </c>
      <c r="D911">
        <v>0.52500000000000002</v>
      </c>
      <c r="E911">
        <v>0.16</v>
      </c>
      <c r="F911">
        <v>1.2835000000000001</v>
      </c>
      <c r="G911">
        <v>0.57199999999999995</v>
      </c>
      <c r="H911">
        <v>0.27550000000000002</v>
      </c>
      <c r="I911">
        <v>0.35449999999999998</v>
      </c>
      <c r="J911">
        <v>13</v>
      </c>
      <c r="K911">
        <v>6</v>
      </c>
      <c r="L911" t="s">
        <v>39</v>
      </c>
      <c r="M911" t="s">
        <v>40</v>
      </c>
      <c r="N911" t="s">
        <v>41</v>
      </c>
      <c r="O911">
        <v>7</v>
      </c>
      <c r="P911" t="s">
        <v>42</v>
      </c>
      <c r="Q911">
        <v>2.5</v>
      </c>
      <c r="R911" t="str" cm="1">
        <f t="array" ref="R9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11" t="e">
        <f>IF(Table13[[#This Row],[Category All]]="Category 1", "Yes",NA())</f>
        <v>#N/A</v>
      </c>
      <c r="T911" t="e">
        <f>IF(Table13[[#This Row],[Category All]]="Category 2", "Yes",NA())</f>
        <v>#N/A</v>
      </c>
      <c r="U911" t="str">
        <f>IF(Table13[[#This Row],[Category All]]="Category 3", "Yes",NA())</f>
        <v>Yes</v>
      </c>
      <c r="V911">
        <f>SUM(1,(1/3)*(Table13[[#This Row],[Length]]-0.5),(1/3)*(Table13[[#This Row],[Diameter]]-0.4),(1/3)*(Table13[[#This Row],[Height]]-0.4)*Table13[[#This Row],[Whole_weight]]*0.5)</f>
        <v>1.0486600000000001</v>
      </c>
      <c r="W911" cm="1">
        <f t="array" ref="W9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1.0486600000000001</v>
      </c>
      <c r="X911" t="e">
        <f>IF(Table13[[#This Row],[Category All]]="Category 1",Table13[[#This Row],[Base Abalone Value]]*1.5,NA())</f>
        <v>#N/A</v>
      </c>
      <c r="Y911" t="e">
        <f>IF(Table13[[#This Row],[Category All]]="Category 2",Table13[[#This Row],[Base Abalone Value]]*0.8,NA())</f>
        <v>#N/A</v>
      </c>
      <c r="Z911">
        <f>IF(Table13[[#This Row],[Category All]]="Category 3",Table13[[#This Row],[Base Abalone Value]],NA())</f>
        <v>1.0486600000000001</v>
      </c>
      <c r="AA911" s="2">
        <f>IF(Table13[[#This Row],[Gender]]="M",Table13[[#This Row],[Whole_weight]],NA())</f>
        <v>1.2835000000000001</v>
      </c>
      <c r="AB911" s="2" t="e">
        <f>IF(Table13[[#This Row],[Gender]]="F",Table13[[#This Row],[Whole_weight]],NA())</f>
        <v>#N/A</v>
      </c>
      <c r="AC911" s="2" t="e">
        <f>IF(Table13[[#This Row],[Gender]]="I",Table13[[#This Row],[Whole_weight]],NA())</f>
        <v>#N/A</v>
      </c>
      <c r="AD911" s="2">
        <f>IF(Table13[[#This Row],[Gender]]="M",Table13[[#This Row],[Diameter]],NA())</f>
        <v>0.52500000000000002</v>
      </c>
      <c r="AE911" s="2" t="e">
        <f>IF(Table13[[#This Row],[Gender]]="F",Table13[[#This Row],[Diameter]],NA())</f>
        <v>#N/A</v>
      </c>
      <c r="AF911" s="2" t="e">
        <f>IF(Table13[[#This Row],[Gender]]="I",Table13[[#This Row],[Diameter]],NA())</f>
        <v>#N/A</v>
      </c>
    </row>
    <row r="912" spans="1:32" x14ac:dyDescent="0.2">
      <c r="A912">
        <v>682</v>
      </c>
      <c r="B912" t="s">
        <v>15</v>
      </c>
      <c r="C912">
        <v>0.48499999999999999</v>
      </c>
      <c r="D912">
        <v>0.37</v>
      </c>
      <c r="E912">
        <v>0.14000000000000001</v>
      </c>
      <c r="F912">
        <v>0.57250000000000001</v>
      </c>
      <c r="G912">
        <v>0.20399999999999999</v>
      </c>
      <c r="H912">
        <v>0.14149999999999999</v>
      </c>
      <c r="I912">
        <v>0.17499999999999999</v>
      </c>
      <c r="J912">
        <v>10</v>
      </c>
      <c r="K912">
        <v>12</v>
      </c>
      <c r="L912" t="s">
        <v>1</v>
      </c>
      <c r="M912" t="s">
        <v>2</v>
      </c>
      <c r="N912" t="s">
        <v>3</v>
      </c>
      <c r="O912">
        <v>2</v>
      </c>
      <c r="P912" t="s">
        <v>7</v>
      </c>
      <c r="Q912">
        <v>18</v>
      </c>
      <c r="R912" t="str" cm="1">
        <f t="array" ref="R9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12" t="e">
        <f>IF(Table13[[#This Row],[Category All]]="Category 1", "Yes",NA())</f>
        <v>#N/A</v>
      </c>
      <c r="T912" t="str">
        <f>IF(Table13[[#This Row],[Category All]]="Category 2", "Yes",NA())</f>
        <v>Yes</v>
      </c>
      <c r="U912" t="e">
        <f>IF(Table13[[#This Row],[Category All]]="Category 3", "Yes",NA())</f>
        <v>#N/A</v>
      </c>
      <c r="V912">
        <f>SUM(1,(1/3)*(Table13[[#This Row],[Length]]-0.5),(1/3)*(Table13[[#This Row],[Diameter]]-0.4),(1/3)*(Table13[[#This Row],[Height]]-0.4)*Table13[[#This Row],[Whole_weight]]*0.5)</f>
        <v>0.96019166666666667</v>
      </c>
      <c r="W912" cm="1">
        <f t="array" ref="W9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0.76815333333333335</v>
      </c>
      <c r="X912" t="e">
        <f>IF(Table13[[#This Row],[Category All]]="Category 1",Table13[[#This Row],[Base Abalone Value]]*1.5,NA())</f>
        <v>#N/A</v>
      </c>
      <c r="Y912">
        <f>IF(Table13[[#This Row],[Category All]]="Category 2",Table13[[#This Row],[Base Abalone Value]]*0.8,NA())</f>
        <v>0.76815333333333335</v>
      </c>
      <c r="Z912" t="e">
        <f>IF(Table13[[#This Row],[Category All]]="Category 3",Table13[[#This Row],[Base Abalone Value]],NA())</f>
        <v>#N/A</v>
      </c>
      <c r="AA912" s="2">
        <f>IF(Table13[[#This Row],[Gender]]="M",Table13[[#This Row],[Whole_weight]],NA())</f>
        <v>0.57250000000000001</v>
      </c>
      <c r="AB912" s="2" t="e">
        <f>IF(Table13[[#This Row],[Gender]]="F",Table13[[#This Row],[Whole_weight]],NA())</f>
        <v>#N/A</v>
      </c>
      <c r="AC912" s="2" t="e">
        <f>IF(Table13[[#This Row],[Gender]]="I",Table13[[#This Row],[Whole_weight]],NA())</f>
        <v>#N/A</v>
      </c>
      <c r="AD912" s="2">
        <f>IF(Table13[[#This Row],[Gender]]="M",Table13[[#This Row],[Diameter]],NA())</f>
        <v>0.37</v>
      </c>
      <c r="AE912" s="2" t="e">
        <f>IF(Table13[[#This Row],[Gender]]="F",Table13[[#This Row],[Diameter]],NA())</f>
        <v>#N/A</v>
      </c>
      <c r="AF912" s="2" t="e">
        <f>IF(Table13[[#This Row],[Gender]]="I",Table13[[#This Row],[Diameter]],NA())</f>
        <v>#N/A</v>
      </c>
    </row>
    <row r="913" spans="1:32" x14ac:dyDescent="0.2">
      <c r="A913">
        <v>1846</v>
      </c>
      <c r="B913" t="s">
        <v>11</v>
      </c>
      <c r="C913">
        <v>0.44500000000000001</v>
      </c>
      <c r="D913">
        <v>0.33</v>
      </c>
      <c r="E913">
        <v>0.11</v>
      </c>
      <c r="F913">
        <v>0.35799999999999998</v>
      </c>
      <c r="G913">
        <v>0.1525</v>
      </c>
      <c r="H913">
        <v>6.7000000000000004E-2</v>
      </c>
      <c r="I913">
        <v>0.11849999999999999</v>
      </c>
      <c r="J913">
        <v>8</v>
      </c>
      <c r="K913">
        <v>8</v>
      </c>
      <c r="L913" t="s">
        <v>29</v>
      </c>
      <c r="M913" t="s">
        <v>30</v>
      </c>
      <c r="N913" t="s">
        <v>31</v>
      </c>
      <c r="O913">
        <v>9</v>
      </c>
      <c r="P913" t="s">
        <v>46</v>
      </c>
      <c r="Q913">
        <v>1.9</v>
      </c>
      <c r="R913" t="str" cm="1">
        <f t="array" ref="R9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13" t="e">
        <f>IF(Table13[[#This Row],[Category All]]="Category 1", "Yes",NA())</f>
        <v>#N/A</v>
      </c>
      <c r="T913" t="str">
        <f>IF(Table13[[#This Row],[Category All]]="Category 2", "Yes",NA())</f>
        <v>Yes</v>
      </c>
      <c r="U913" t="e">
        <f>IF(Table13[[#This Row],[Category All]]="Category 3", "Yes",NA())</f>
        <v>#N/A</v>
      </c>
      <c r="V913">
        <f>SUM(1,(1/3)*(Table13[[#This Row],[Length]]-0.5),(1/3)*(Table13[[#This Row],[Diameter]]-0.4),(1/3)*(Table13[[#This Row],[Height]]-0.4)*Table13[[#This Row],[Whole_weight]]*0.5)</f>
        <v>0.94103000000000003</v>
      </c>
      <c r="W913" cm="1">
        <f t="array" ref="W9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0.75282400000000005</v>
      </c>
      <c r="X913" t="e">
        <f>IF(Table13[[#This Row],[Category All]]="Category 1",Table13[[#This Row],[Base Abalone Value]]*1.5,NA())</f>
        <v>#N/A</v>
      </c>
      <c r="Y913">
        <f>IF(Table13[[#This Row],[Category All]]="Category 2",Table13[[#This Row],[Base Abalone Value]]*0.8,NA())</f>
        <v>0.75282400000000005</v>
      </c>
      <c r="Z913" t="e">
        <f>IF(Table13[[#This Row],[Category All]]="Category 3",Table13[[#This Row],[Base Abalone Value]],NA())</f>
        <v>#N/A</v>
      </c>
      <c r="AA913" s="2" t="e">
        <f>IF(Table13[[#This Row],[Gender]]="M",Table13[[#This Row],[Whole_weight]],NA())</f>
        <v>#N/A</v>
      </c>
      <c r="AB913" s="2" t="e">
        <f>IF(Table13[[#This Row],[Gender]]="F",Table13[[#This Row],[Whole_weight]],NA())</f>
        <v>#N/A</v>
      </c>
      <c r="AC913" s="2">
        <f>IF(Table13[[#This Row],[Gender]]="I",Table13[[#This Row],[Whole_weight]],NA())</f>
        <v>0.35799999999999998</v>
      </c>
      <c r="AD913" s="2" t="e">
        <f>IF(Table13[[#This Row],[Gender]]="M",Table13[[#This Row],[Diameter]],NA())</f>
        <v>#N/A</v>
      </c>
      <c r="AE913" s="2" t="e">
        <f>IF(Table13[[#This Row],[Gender]]="F",Table13[[#This Row],[Diameter]],NA())</f>
        <v>#N/A</v>
      </c>
      <c r="AF913" s="2">
        <f>IF(Table13[[#This Row],[Gender]]="I",Table13[[#This Row],[Diameter]],NA())</f>
        <v>0.33</v>
      </c>
    </row>
    <row r="914" spans="1:32" x14ac:dyDescent="0.2">
      <c r="A914">
        <v>3038</v>
      </c>
      <c r="B914" t="s">
        <v>15</v>
      </c>
      <c r="C914">
        <v>0.56000000000000005</v>
      </c>
      <c r="D914">
        <v>0.45</v>
      </c>
      <c r="E914">
        <v>0.14499999999999999</v>
      </c>
      <c r="F914">
        <v>0.89400000000000002</v>
      </c>
      <c r="G914">
        <v>0.38850000000000001</v>
      </c>
      <c r="H914">
        <v>0.20949999999999999</v>
      </c>
      <c r="I914">
        <v>0.26400000000000001</v>
      </c>
      <c r="J914">
        <v>9</v>
      </c>
      <c r="K914">
        <v>8</v>
      </c>
      <c r="L914" t="s">
        <v>29</v>
      </c>
      <c r="M914" t="s">
        <v>30</v>
      </c>
      <c r="N914" t="s">
        <v>31</v>
      </c>
      <c r="O914">
        <v>4</v>
      </c>
      <c r="P914" t="s">
        <v>10</v>
      </c>
      <c r="Q914">
        <v>6.1</v>
      </c>
      <c r="R914" t="str" cm="1">
        <f t="array" ref="R9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14" t="e">
        <f>IF(Table13[[#This Row],[Category All]]="Category 1", "Yes",NA())</f>
        <v>#N/A</v>
      </c>
      <c r="T914" t="str">
        <f>IF(Table13[[#This Row],[Category All]]="Category 2", "Yes",NA())</f>
        <v>Yes</v>
      </c>
      <c r="U914" t="e">
        <f>IF(Table13[[#This Row],[Category All]]="Category 3", "Yes",NA())</f>
        <v>#N/A</v>
      </c>
      <c r="V914">
        <f>SUM(1,(1/3)*(Table13[[#This Row],[Length]]-0.5),(1/3)*(Table13[[#This Row],[Diameter]]-0.4),(1/3)*(Table13[[#This Row],[Height]]-0.4)*Table13[[#This Row],[Whole_weight]]*0.5)</f>
        <v>0.99867166666666662</v>
      </c>
      <c r="W914" cm="1">
        <f t="array" ref="W9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0.79893733333333339</v>
      </c>
      <c r="X914" t="e">
        <f>IF(Table13[[#This Row],[Category All]]="Category 1",Table13[[#This Row],[Base Abalone Value]]*1.5,NA())</f>
        <v>#N/A</v>
      </c>
      <c r="Y914">
        <f>IF(Table13[[#This Row],[Category All]]="Category 2",Table13[[#This Row],[Base Abalone Value]]*0.8,NA())</f>
        <v>0.79893733333333339</v>
      </c>
      <c r="Z914" t="e">
        <f>IF(Table13[[#This Row],[Category All]]="Category 3",Table13[[#This Row],[Base Abalone Value]],NA())</f>
        <v>#N/A</v>
      </c>
      <c r="AA914" s="2">
        <f>IF(Table13[[#This Row],[Gender]]="M",Table13[[#This Row],[Whole_weight]],NA())</f>
        <v>0.89400000000000002</v>
      </c>
      <c r="AB914" s="2" t="e">
        <f>IF(Table13[[#This Row],[Gender]]="F",Table13[[#This Row],[Whole_weight]],NA())</f>
        <v>#N/A</v>
      </c>
      <c r="AC914" s="2" t="e">
        <f>IF(Table13[[#This Row],[Gender]]="I",Table13[[#This Row],[Whole_weight]],NA())</f>
        <v>#N/A</v>
      </c>
      <c r="AD914" s="2">
        <f>IF(Table13[[#This Row],[Gender]]="M",Table13[[#This Row],[Diameter]],NA())</f>
        <v>0.45</v>
      </c>
      <c r="AE914" s="2" t="e">
        <f>IF(Table13[[#This Row],[Gender]]="F",Table13[[#This Row],[Diameter]],NA())</f>
        <v>#N/A</v>
      </c>
      <c r="AF914" s="2" t="e">
        <f>IF(Table13[[#This Row],[Gender]]="I",Table13[[#This Row],[Diameter]],NA())</f>
        <v>#N/A</v>
      </c>
    </row>
    <row r="915" spans="1:32" x14ac:dyDescent="0.2">
      <c r="A915">
        <v>1443</v>
      </c>
      <c r="B915" t="s">
        <v>11</v>
      </c>
      <c r="C915">
        <v>0.41</v>
      </c>
      <c r="D915">
        <v>0.32</v>
      </c>
      <c r="E915">
        <v>9.5000000000000001E-2</v>
      </c>
      <c r="F915">
        <v>0.29049999999999998</v>
      </c>
      <c r="G915">
        <v>0.14099999999999999</v>
      </c>
      <c r="H915">
        <v>6.3E-2</v>
      </c>
      <c r="I915">
        <v>7.2999999999999995E-2</v>
      </c>
      <c r="J915">
        <v>5</v>
      </c>
      <c r="K915">
        <v>9</v>
      </c>
      <c r="L915" t="s">
        <v>20</v>
      </c>
      <c r="M915" t="s">
        <v>21</v>
      </c>
      <c r="N915" t="s">
        <v>22</v>
      </c>
      <c r="O915">
        <v>7</v>
      </c>
      <c r="P915" t="s">
        <v>42</v>
      </c>
      <c r="Q915">
        <v>2.5</v>
      </c>
      <c r="R915" t="str" cm="1">
        <f t="array" ref="R9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15" t="e">
        <f>IF(Table13[[#This Row],[Category All]]="Category 1", "Yes",NA())</f>
        <v>#N/A</v>
      </c>
      <c r="T915" t="str">
        <f>IF(Table13[[#This Row],[Category All]]="Category 2", "Yes",NA())</f>
        <v>Yes</v>
      </c>
      <c r="U915" t="e">
        <f>IF(Table13[[#This Row],[Category All]]="Category 3", "Yes",NA())</f>
        <v>#N/A</v>
      </c>
      <c r="V915">
        <f>SUM(1,(1/3)*(Table13[[#This Row],[Length]]-0.5),(1/3)*(Table13[[#This Row],[Diameter]]-0.4),(1/3)*(Table13[[#This Row],[Height]]-0.4)*Table13[[#This Row],[Whole_weight]]*0.5)</f>
        <v>0.92856625000000004</v>
      </c>
      <c r="W915" cm="1">
        <f t="array" ref="W9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0.7428530000000001</v>
      </c>
      <c r="X915" t="e">
        <f>IF(Table13[[#This Row],[Category All]]="Category 1",Table13[[#This Row],[Base Abalone Value]]*1.5,NA())</f>
        <v>#N/A</v>
      </c>
      <c r="Y915">
        <f>IF(Table13[[#This Row],[Category All]]="Category 2",Table13[[#This Row],[Base Abalone Value]]*0.8,NA())</f>
        <v>0.7428530000000001</v>
      </c>
      <c r="Z915" t="e">
        <f>IF(Table13[[#This Row],[Category All]]="Category 3",Table13[[#This Row],[Base Abalone Value]],NA())</f>
        <v>#N/A</v>
      </c>
      <c r="AA915" s="2" t="e">
        <f>IF(Table13[[#This Row],[Gender]]="M",Table13[[#This Row],[Whole_weight]],NA())</f>
        <v>#N/A</v>
      </c>
      <c r="AB915" s="2" t="e">
        <f>IF(Table13[[#This Row],[Gender]]="F",Table13[[#This Row],[Whole_weight]],NA())</f>
        <v>#N/A</v>
      </c>
      <c r="AC915" s="2">
        <f>IF(Table13[[#This Row],[Gender]]="I",Table13[[#This Row],[Whole_weight]],NA())</f>
        <v>0.29049999999999998</v>
      </c>
      <c r="AD915" s="2" t="e">
        <f>IF(Table13[[#This Row],[Gender]]="M",Table13[[#This Row],[Diameter]],NA())</f>
        <v>#N/A</v>
      </c>
      <c r="AE915" s="2" t="e">
        <f>IF(Table13[[#This Row],[Gender]]="F",Table13[[#This Row],[Diameter]],NA())</f>
        <v>#N/A</v>
      </c>
      <c r="AF915" s="2">
        <f>IF(Table13[[#This Row],[Gender]]="I",Table13[[#This Row],[Diameter]],NA())</f>
        <v>0.32</v>
      </c>
    </row>
    <row r="916" spans="1:32" x14ac:dyDescent="0.2">
      <c r="A916">
        <v>1778</v>
      </c>
      <c r="B916" t="s">
        <v>11</v>
      </c>
      <c r="C916">
        <v>0.48499999999999999</v>
      </c>
      <c r="D916">
        <v>0.34499999999999997</v>
      </c>
      <c r="E916">
        <v>0.16</v>
      </c>
      <c r="F916">
        <v>0.86899999999999999</v>
      </c>
      <c r="G916">
        <v>0.3085</v>
      </c>
      <c r="H916">
        <v>0.185</v>
      </c>
      <c r="I916">
        <v>0.31900000000000001</v>
      </c>
      <c r="J916">
        <v>9</v>
      </c>
      <c r="K916">
        <v>14</v>
      </c>
      <c r="L916" t="s">
        <v>23</v>
      </c>
      <c r="M916" t="s">
        <v>24</v>
      </c>
      <c r="N916" t="s">
        <v>25</v>
      </c>
      <c r="O916">
        <v>5</v>
      </c>
      <c r="P916" t="s">
        <v>14</v>
      </c>
      <c r="Q916">
        <v>12.8</v>
      </c>
      <c r="R916" t="str" cm="1">
        <f t="array" ref="R9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16" t="e">
        <f>IF(Table13[[#This Row],[Category All]]="Category 1", "Yes",NA())</f>
        <v>#N/A</v>
      </c>
      <c r="T916" t="str">
        <f>IF(Table13[[#This Row],[Category All]]="Category 2", "Yes",NA())</f>
        <v>Yes</v>
      </c>
      <c r="U916" t="e">
        <f>IF(Table13[[#This Row],[Category All]]="Category 3", "Yes",NA())</f>
        <v>#N/A</v>
      </c>
      <c r="V916">
        <f>SUM(1,(1/3)*(Table13[[#This Row],[Length]]-0.5),(1/3)*(Table13[[#This Row],[Diameter]]-0.4),(1/3)*(Table13[[#This Row],[Height]]-0.4)*Table13[[#This Row],[Whole_weight]]*0.5)</f>
        <v>0.94190666666666667</v>
      </c>
      <c r="W916" cm="1">
        <f t="array" ref="W9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0.75352533333333338</v>
      </c>
      <c r="X916" t="e">
        <f>IF(Table13[[#This Row],[Category All]]="Category 1",Table13[[#This Row],[Base Abalone Value]]*1.5,NA())</f>
        <v>#N/A</v>
      </c>
      <c r="Y916">
        <f>IF(Table13[[#This Row],[Category All]]="Category 2",Table13[[#This Row],[Base Abalone Value]]*0.8,NA())</f>
        <v>0.75352533333333338</v>
      </c>
      <c r="Z916" t="e">
        <f>IF(Table13[[#This Row],[Category All]]="Category 3",Table13[[#This Row],[Base Abalone Value]],NA())</f>
        <v>#N/A</v>
      </c>
      <c r="AA916" s="2" t="e">
        <f>IF(Table13[[#This Row],[Gender]]="M",Table13[[#This Row],[Whole_weight]],NA())</f>
        <v>#N/A</v>
      </c>
      <c r="AB916" s="2" t="e">
        <f>IF(Table13[[#This Row],[Gender]]="F",Table13[[#This Row],[Whole_weight]],NA())</f>
        <v>#N/A</v>
      </c>
      <c r="AC916" s="2">
        <f>IF(Table13[[#This Row],[Gender]]="I",Table13[[#This Row],[Whole_weight]],NA())</f>
        <v>0.86899999999999999</v>
      </c>
      <c r="AD916" s="2" t="e">
        <f>IF(Table13[[#This Row],[Gender]]="M",Table13[[#This Row],[Diameter]],NA())</f>
        <v>#N/A</v>
      </c>
      <c r="AE916" s="2" t="e">
        <f>IF(Table13[[#This Row],[Gender]]="F",Table13[[#This Row],[Diameter]],NA())</f>
        <v>#N/A</v>
      </c>
      <c r="AF916" s="2">
        <f>IF(Table13[[#This Row],[Gender]]="I",Table13[[#This Row],[Diameter]],NA())</f>
        <v>0.34499999999999997</v>
      </c>
    </row>
    <row r="917" spans="1:32" x14ac:dyDescent="0.2">
      <c r="A917">
        <v>3268</v>
      </c>
      <c r="B917" t="s">
        <v>0</v>
      </c>
      <c r="C917">
        <v>0.4</v>
      </c>
      <c r="D917">
        <v>0.33500000000000002</v>
      </c>
      <c r="E917">
        <v>0.115</v>
      </c>
      <c r="F917">
        <v>0.4335</v>
      </c>
      <c r="G917">
        <v>0.21049999999999999</v>
      </c>
      <c r="H917">
        <v>0.1205</v>
      </c>
      <c r="I917">
        <v>0.12</v>
      </c>
      <c r="J917">
        <v>10</v>
      </c>
      <c r="K917">
        <v>4</v>
      </c>
      <c r="L917" t="s">
        <v>52</v>
      </c>
      <c r="M917" t="s">
        <v>53</v>
      </c>
      <c r="N917" t="s">
        <v>54</v>
      </c>
      <c r="O917">
        <v>4</v>
      </c>
      <c r="P917" t="s">
        <v>10</v>
      </c>
      <c r="Q917">
        <v>6.1</v>
      </c>
      <c r="R917" t="str" cm="1">
        <f t="array" ref="R9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17" t="e">
        <f>IF(Table13[[#This Row],[Category All]]="Category 1", "Yes",NA())</f>
        <v>#N/A</v>
      </c>
      <c r="T917" t="str">
        <f>IF(Table13[[#This Row],[Category All]]="Category 2", "Yes",NA())</f>
        <v>Yes</v>
      </c>
      <c r="U917" t="e">
        <f>IF(Table13[[#This Row],[Category All]]="Category 3", "Yes",NA())</f>
        <v>#N/A</v>
      </c>
      <c r="V917">
        <f>SUM(1,(1/3)*(Table13[[#This Row],[Length]]-0.5),(1/3)*(Table13[[#This Row],[Diameter]]-0.4),(1/3)*(Table13[[#This Row],[Height]]-0.4)*Table13[[#This Row],[Whole_weight]]*0.5)</f>
        <v>0.92440875000000011</v>
      </c>
      <c r="W917" cm="1">
        <f t="array" ref="W9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0.73952700000000016</v>
      </c>
      <c r="X917" t="e">
        <f>IF(Table13[[#This Row],[Category All]]="Category 1",Table13[[#This Row],[Base Abalone Value]]*1.5,NA())</f>
        <v>#N/A</v>
      </c>
      <c r="Y917">
        <f>IF(Table13[[#This Row],[Category All]]="Category 2",Table13[[#This Row],[Base Abalone Value]]*0.8,NA())</f>
        <v>0.73952700000000016</v>
      </c>
      <c r="Z917" t="e">
        <f>IF(Table13[[#This Row],[Category All]]="Category 3",Table13[[#This Row],[Base Abalone Value]],NA())</f>
        <v>#N/A</v>
      </c>
      <c r="AA917" s="2" t="e">
        <f>IF(Table13[[#This Row],[Gender]]="M",Table13[[#This Row],[Whole_weight]],NA())</f>
        <v>#N/A</v>
      </c>
      <c r="AB917" s="2">
        <f>IF(Table13[[#This Row],[Gender]]="F",Table13[[#This Row],[Whole_weight]],NA())</f>
        <v>0.4335</v>
      </c>
      <c r="AC917" s="2" t="e">
        <f>IF(Table13[[#This Row],[Gender]]="I",Table13[[#This Row],[Whole_weight]],NA())</f>
        <v>#N/A</v>
      </c>
      <c r="AD917" s="2" t="e">
        <f>IF(Table13[[#This Row],[Gender]]="M",Table13[[#This Row],[Diameter]],NA())</f>
        <v>#N/A</v>
      </c>
      <c r="AE917" s="2">
        <f>IF(Table13[[#This Row],[Gender]]="F",Table13[[#This Row],[Diameter]],NA())</f>
        <v>0.33500000000000002</v>
      </c>
      <c r="AF917" s="2" t="e">
        <f>IF(Table13[[#This Row],[Gender]]="I",Table13[[#This Row],[Diameter]],NA())</f>
        <v>#N/A</v>
      </c>
    </row>
    <row r="918" spans="1:32" x14ac:dyDescent="0.2">
      <c r="A918">
        <v>879</v>
      </c>
      <c r="B918" t="s">
        <v>0</v>
      </c>
      <c r="C918">
        <v>0.63500000000000001</v>
      </c>
      <c r="D918">
        <v>0.48499999999999999</v>
      </c>
      <c r="E918">
        <v>0.16500000000000001</v>
      </c>
      <c r="F918">
        <v>1.2945</v>
      </c>
      <c r="G918">
        <v>0.66800000000000004</v>
      </c>
      <c r="H918">
        <v>0.26050000000000001</v>
      </c>
      <c r="I918">
        <v>0.27150000000000002</v>
      </c>
      <c r="J918">
        <v>9</v>
      </c>
      <c r="K918">
        <v>14</v>
      </c>
      <c r="L918" t="s">
        <v>23</v>
      </c>
      <c r="M918" t="s">
        <v>24</v>
      </c>
      <c r="N918" t="s">
        <v>25</v>
      </c>
      <c r="O918">
        <v>9</v>
      </c>
      <c r="P918" t="s">
        <v>46</v>
      </c>
      <c r="Q918">
        <v>1.9</v>
      </c>
      <c r="R918" t="str" cm="1">
        <f t="array" ref="R9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18" t="e">
        <f>IF(Table13[[#This Row],[Category All]]="Category 1", "Yes",NA())</f>
        <v>#N/A</v>
      </c>
      <c r="T918" t="e">
        <f>IF(Table13[[#This Row],[Category All]]="Category 2", "Yes",NA())</f>
        <v>#N/A</v>
      </c>
      <c r="U918" t="str">
        <f>IF(Table13[[#This Row],[Category All]]="Category 3", "Yes",NA())</f>
        <v>Yes</v>
      </c>
      <c r="V918">
        <f>SUM(1,(1/3)*(Table13[[#This Row],[Length]]-0.5),(1/3)*(Table13[[#This Row],[Diameter]]-0.4),(1/3)*(Table13[[#This Row],[Height]]-0.4)*Table13[[#This Row],[Whole_weight]]*0.5)</f>
        <v>1.0226320833333333</v>
      </c>
      <c r="W918" cm="1">
        <f t="array" ref="W9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1.0226320833333333</v>
      </c>
      <c r="X918" t="e">
        <f>IF(Table13[[#This Row],[Category All]]="Category 1",Table13[[#This Row],[Base Abalone Value]]*1.5,NA())</f>
        <v>#N/A</v>
      </c>
      <c r="Y918" t="e">
        <f>IF(Table13[[#This Row],[Category All]]="Category 2",Table13[[#This Row],[Base Abalone Value]]*0.8,NA())</f>
        <v>#N/A</v>
      </c>
      <c r="Z918">
        <f>IF(Table13[[#This Row],[Category All]]="Category 3",Table13[[#This Row],[Base Abalone Value]],NA())</f>
        <v>1.0226320833333333</v>
      </c>
      <c r="AA918" s="2" t="e">
        <f>IF(Table13[[#This Row],[Gender]]="M",Table13[[#This Row],[Whole_weight]],NA())</f>
        <v>#N/A</v>
      </c>
      <c r="AB918" s="2">
        <f>IF(Table13[[#This Row],[Gender]]="F",Table13[[#This Row],[Whole_weight]],NA())</f>
        <v>1.2945</v>
      </c>
      <c r="AC918" s="2" t="e">
        <f>IF(Table13[[#This Row],[Gender]]="I",Table13[[#This Row],[Whole_weight]],NA())</f>
        <v>#N/A</v>
      </c>
      <c r="AD918" s="2" t="e">
        <f>IF(Table13[[#This Row],[Gender]]="M",Table13[[#This Row],[Diameter]],NA())</f>
        <v>#N/A</v>
      </c>
      <c r="AE918" s="2">
        <f>IF(Table13[[#This Row],[Gender]]="F",Table13[[#This Row],[Diameter]],NA())</f>
        <v>0.48499999999999999</v>
      </c>
      <c r="AF918" s="2" t="e">
        <f>IF(Table13[[#This Row],[Gender]]="I",Table13[[#This Row],[Diameter]],NA())</f>
        <v>#N/A</v>
      </c>
    </row>
    <row r="919" spans="1:32" x14ac:dyDescent="0.2">
      <c r="A919">
        <v>507</v>
      </c>
      <c r="B919" t="s">
        <v>15</v>
      </c>
      <c r="C919">
        <v>0.56000000000000005</v>
      </c>
      <c r="D919">
        <v>0.46</v>
      </c>
      <c r="E919">
        <v>0.23499999999999999</v>
      </c>
      <c r="F919">
        <v>0.83950000000000002</v>
      </c>
      <c r="G919">
        <v>0.33250000000000002</v>
      </c>
      <c r="H919">
        <v>0.157</v>
      </c>
      <c r="I919">
        <v>0.30499999999999999</v>
      </c>
      <c r="J919">
        <v>12</v>
      </c>
      <c r="K919">
        <v>1</v>
      </c>
      <c r="L919" t="s">
        <v>8</v>
      </c>
      <c r="M919" t="s">
        <v>9</v>
      </c>
      <c r="N919" t="s">
        <v>3</v>
      </c>
      <c r="O919">
        <v>9</v>
      </c>
      <c r="P919" t="s">
        <v>46</v>
      </c>
      <c r="Q919">
        <v>1.9</v>
      </c>
      <c r="R919" t="str" cm="1">
        <f t="array" ref="R9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19" t="e">
        <f>IF(Table13[[#This Row],[Category All]]="Category 1", "Yes",NA())</f>
        <v>#N/A</v>
      </c>
      <c r="T919" t="str">
        <f>IF(Table13[[#This Row],[Category All]]="Category 2", "Yes",NA())</f>
        <v>Yes</v>
      </c>
      <c r="U919" t="e">
        <f>IF(Table13[[#This Row],[Category All]]="Category 3", "Yes",NA())</f>
        <v>#N/A</v>
      </c>
      <c r="V919">
        <f>SUM(1,(1/3)*(Table13[[#This Row],[Length]]-0.5),(1/3)*(Table13[[#This Row],[Diameter]]-0.4),(1/3)*(Table13[[#This Row],[Height]]-0.4)*Table13[[#This Row],[Whole_weight]]*0.5)</f>
        <v>1.0169137500000001</v>
      </c>
      <c r="W919" cm="1">
        <f t="array" ref="W9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0.81353100000000012</v>
      </c>
      <c r="X919" t="e">
        <f>IF(Table13[[#This Row],[Category All]]="Category 1",Table13[[#This Row],[Base Abalone Value]]*1.5,NA())</f>
        <v>#N/A</v>
      </c>
      <c r="Y919">
        <f>IF(Table13[[#This Row],[Category All]]="Category 2",Table13[[#This Row],[Base Abalone Value]]*0.8,NA())</f>
        <v>0.81353100000000012</v>
      </c>
      <c r="Z919" t="e">
        <f>IF(Table13[[#This Row],[Category All]]="Category 3",Table13[[#This Row],[Base Abalone Value]],NA())</f>
        <v>#N/A</v>
      </c>
      <c r="AA919" s="2">
        <f>IF(Table13[[#This Row],[Gender]]="M",Table13[[#This Row],[Whole_weight]],NA())</f>
        <v>0.83950000000000002</v>
      </c>
      <c r="AB919" s="2" t="e">
        <f>IF(Table13[[#This Row],[Gender]]="F",Table13[[#This Row],[Whole_weight]],NA())</f>
        <v>#N/A</v>
      </c>
      <c r="AC919" s="2" t="e">
        <f>IF(Table13[[#This Row],[Gender]]="I",Table13[[#This Row],[Whole_weight]],NA())</f>
        <v>#N/A</v>
      </c>
      <c r="AD919" s="2">
        <f>IF(Table13[[#This Row],[Gender]]="M",Table13[[#This Row],[Diameter]],NA())</f>
        <v>0.46</v>
      </c>
      <c r="AE919" s="2" t="e">
        <f>IF(Table13[[#This Row],[Gender]]="F",Table13[[#This Row],[Diameter]],NA())</f>
        <v>#N/A</v>
      </c>
      <c r="AF919" s="2" t="e">
        <f>IF(Table13[[#This Row],[Gender]]="I",Table13[[#This Row],[Diameter]],NA())</f>
        <v>#N/A</v>
      </c>
    </row>
    <row r="920" spans="1:32" x14ac:dyDescent="0.2">
      <c r="A920">
        <v>496</v>
      </c>
      <c r="B920" t="s">
        <v>0</v>
      </c>
      <c r="C920">
        <v>0.625</v>
      </c>
      <c r="D920">
        <v>0.5</v>
      </c>
      <c r="E920">
        <v>0.15</v>
      </c>
      <c r="F920">
        <v>0.95299999999999996</v>
      </c>
      <c r="G920">
        <v>0.34449999999999997</v>
      </c>
      <c r="H920">
        <v>0.2235</v>
      </c>
      <c r="I920">
        <v>0.30499999999999999</v>
      </c>
      <c r="J920">
        <v>15</v>
      </c>
      <c r="K920">
        <v>9</v>
      </c>
      <c r="L920" t="s">
        <v>20</v>
      </c>
      <c r="M920" t="s">
        <v>21</v>
      </c>
      <c r="N920" t="s">
        <v>22</v>
      </c>
      <c r="O920">
        <v>6</v>
      </c>
      <c r="P920" t="s">
        <v>47</v>
      </c>
      <c r="Q920">
        <v>14.1</v>
      </c>
      <c r="R920" t="str" cm="1">
        <f t="array" ref="R9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20" t="e">
        <f>IF(Table13[[#This Row],[Category All]]="Category 1", "Yes",NA())</f>
        <v>#N/A</v>
      </c>
      <c r="T920" t="str">
        <f>IF(Table13[[#This Row],[Category All]]="Category 2", "Yes",NA())</f>
        <v>Yes</v>
      </c>
      <c r="U920" t="e">
        <f>IF(Table13[[#This Row],[Category All]]="Category 3", "Yes",NA())</f>
        <v>#N/A</v>
      </c>
      <c r="V920">
        <f>SUM(1,(1/3)*(Table13[[#This Row],[Length]]-0.5),(1/3)*(Table13[[#This Row],[Diameter]]-0.4),(1/3)*(Table13[[#This Row],[Height]]-0.4)*Table13[[#This Row],[Whole_weight]]*0.5)</f>
        <v>1.0352916666666669</v>
      </c>
      <c r="W920" cm="1">
        <f t="array" ref="W9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0.8282333333333336</v>
      </c>
      <c r="X920" t="e">
        <f>IF(Table13[[#This Row],[Category All]]="Category 1",Table13[[#This Row],[Base Abalone Value]]*1.5,NA())</f>
        <v>#N/A</v>
      </c>
      <c r="Y920">
        <f>IF(Table13[[#This Row],[Category All]]="Category 2",Table13[[#This Row],[Base Abalone Value]]*0.8,NA())</f>
        <v>0.8282333333333336</v>
      </c>
      <c r="Z920" t="e">
        <f>IF(Table13[[#This Row],[Category All]]="Category 3",Table13[[#This Row],[Base Abalone Value]],NA())</f>
        <v>#N/A</v>
      </c>
      <c r="AA920" s="2" t="e">
        <f>IF(Table13[[#This Row],[Gender]]="M",Table13[[#This Row],[Whole_weight]],NA())</f>
        <v>#N/A</v>
      </c>
      <c r="AB920" s="2">
        <f>IF(Table13[[#This Row],[Gender]]="F",Table13[[#This Row],[Whole_weight]],NA())</f>
        <v>0.95299999999999996</v>
      </c>
      <c r="AC920" s="2" t="e">
        <f>IF(Table13[[#This Row],[Gender]]="I",Table13[[#This Row],[Whole_weight]],NA())</f>
        <v>#N/A</v>
      </c>
      <c r="AD920" s="2" t="e">
        <f>IF(Table13[[#This Row],[Gender]]="M",Table13[[#This Row],[Diameter]],NA())</f>
        <v>#N/A</v>
      </c>
      <c r="AE920" s="2">
        <f>IF(Table13[[#This Row],[Gender]]="F",Table13[[#This Row],[Diameter]],NA())</f>
        <v>0.5</v>
      </c>
      <c r="AF920" s="2" t="e">
        <f>IF(Table13[[#This Row],[Gender]]="I",Table13[[#This Row],[Diameter]],NA())</f>
        <v>#N/A</v>
      </c>
    </row>
    <row r="921" spans="1:32" x14ac:dyDescent="0.2">
      <c r="A921">
        <v>500</v>
      </c>
      <c r="B921" t="s">
        <v>15</v>
      </c>
      <c r="C921">
        <v>0.55500000000000005</v>
      </c>
      <c r="D921">
        <v>0.45</v>
      </c>
      <c r="E921">
        <v>0.17499999999999999</v>
      </c>
      <c r="F921">
        <v>0.874</v>
      </c>
      <c r="G921">
        <v>0.32750000000000001</v>
      </c>
      <c r="H921">
        <v>0.20200000000000001</v>
      </c>
      <c r="I921">
        <v>0.30499999999999999</v>
      </c>
      <c r="J921">
        <v>10</v>
      </c>
      <c r="K921">
        <v>7</v>
      </c>
      <c r="L921" t="s">
        <v>35</v>
      </c>
      <c r="M921" t="s">
        <v>36</v>
      </c>
      <c r="N921" t="s">
        <v>37</v>
      </c>
      <c r="O921">
        <v>2</v>
      </c>
      <c r="P921" t="s">
        <v>7</v>
      </c>
      <c r="Q921">
        <v>18</v>
      </c>
      <c r="R921" t="str" cm="1">
        <f t="array" ref="R9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21" t="e">
        <f>IF(Table13[[#This Row],[Category All]]="Category 1", "Yes",NA())</f>
        <v>#N/A</v>
      </c>
      <c r="T921" t="str">
        <f>IF(Table13[[#This Row],[Category All]]="Category 2", "Yes",NA())</f>
        <v>Yes</v>
      </c>
      <c r="U921" t="e">
        <f>IF(Table13[[#This Row],[Category All]]="Category 3", "Yes",NA())</f>
        <v>#N/A</v>
      </c>
      <c r="V921">
        <f>SUM(1,(1/3)*(Table13[[#This Row],[Length]]-0.5),(1/3)*(Table13[[#This Row],[Diameter]]-0.4),(1/3)*(Table13[[#This Row],[Height]]-0.4)*Table13[[#This Row],[Whole_weight]]*0.5)</f>
        <v>1.0022249999999999</v>
      </c>
      <c r="W921" cm="1">
        <f t="array" ref="W9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0.80177999999999994</v>
      </c>
      <c r="X921" t="e">
        <f>IF(Table13[[#This Row],[Category All]]="Category 1",Table13[[#This Row],[Base Abalone Value]]*1.5,NA())</f>
        <v>#N/A</v>
      </c>
      <c r="Y921">
        <f>IF(Table13[[#This Row],[Category All]]="Category 2",Table13[[#This Row],[Base Abalone Value]]*0.8,NA())</f>
        <v>0.80177999999999994</v>
      </c>
      <c r="Z921" t="e">
        <f>IF(Table13[[#This Row],[Category All]]="Category 3",Table13[[#This Row],[Base Abalone Value]],NA())</f>
        <v>#N/A</v>
      </c>
      <c r="AA921" s="2">
        <f>IF(Table13[[#This Row],[Gender]]="M",Table13[[#This Row],[Whole_weight]],NA())</f>
        <v>0.874</v>
      </c>
      <c r="AB921" s="2" t="e">
        <f>IF(Table13[[#This Row],[Gender]]="F",Table13[[#This Row],[Whole_weight]],NA())</f>
        <v>#N/A</v>
      </c>
      <c r="AC921" s="2" t="e">
        <f>IF(Table13[[#This Row],[Gender]]="I",Table13[[#This Row],[Whole_weight]],NA())</f>
        <v>#N/A</v>
      </c>
      <c r="AD921" s="2">
        <f>IF(Table13[[#This Row],[Gender]]="M",Table13[[#This Row],[Diameter]],NA())</f>
        <v>0.45</v>
      </c>
      <c r="AE921" s="2" t="e">
        <f>IF(Table13[[#This Row],[Gender]]="F",Table13[[#This Row],[Diameter]],NA())</f>
        <v>#N/A</v>
      </c>
      <c r="AF921" s="2" t="e">
        <f>IF(Table13[[#This Row],[Gender]]="I",Table13[[#This Row],[Diameter]],NA())</f>
        <v>#N/A</v>
      </c>
    </row>
    <row r="922" spans="1:32" x14ac:dyDescent="0.2">
      <c r="A922">
        <v>878</v>
      </c>
      <c r="B922" t="s">
        <v>0</v>
      </c>
      <c r="C922">
        <v>0.63500000000000001</v>
      </c>
      <c r="D922">
        <v>0.5</v>
      </c>
      <c r="E922">
        <v>0.15</v>
      </c>
      <c r="F922">
        <v>1.3759999999999999</v>
      </c>
      <c r="G922">
        <v>0.64949999999999997</v>
      </c>
      <c r="H922">
        <v>0.36099999999999999</v>
      </c>
      <c r="I922">
        <v>0.31</v>
      </c>
      <c r="J922">
        <v>10</v>
      </c>
      <c r="K922">
        <v>10</v>
      </c>
      <c r="L922" t="s">
        <v>16</v>
      </c>
      <c r="M922" t="s">
        <v>17</v>
      </c>
      <c r="N922" t="s">
        <v>18</v>
      </c>
      <c r="O922">
        <v>2</v>
      </c>
      <c r="P922" t="s">
        <v>7</v>
      </c>
      <c r="Q922">
        <v>18</v>
      </c>
      <c r="R922" t="str" cm="1">
        <f t="array" ref="R9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22" t="e">
        <f>IF(Table13[[#This Row],[Category All]]="Category 1", "Yes",NA())</f>
        <v>#N/A</v>
      </c>
      <c r="T922" t="e">
        <f>IF(Table13[[#This Row],[Category All]]="Category 2", "Yes",NA())</f>
        <v>#N/A</v>
      </c>
      <c r="U922" t="str">
        <f>IF(Table13[[#This Row],[Category All]]="Category 3", "Yes",NA())</f>
        <v>Yes</v>
      </c>
      <c r="V922">
        <f>SUM(1,(1/3)*(Table13[[#This Row],[Length]]-0.5),(1/3)*(Table13[[#This Row],[Diameter]]-0.4),(1/3)*(Table13[[#This Row],[Height]]-0.4)*Table13[[#This Row],[Whole_weight]]*0.5)</f>
        <v>1.0209999999999999</v>
      </c>
      <c r="W922" cm="1">
        <f t="array" ref="W9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1.0209999999999999</v>
      </c>
      <c r="X922" t="e">
        <f>IF(Table13[[#This Row],[Category All]]="Category 1",Table13[[#This Row],[Base Abalone Value]]*1.5,NA())</f>
        <v>#N/A</v>
      </c>
      <c r="Y922" t="e">
        <f>IF(Table13[[#This Row],[Category All]]="Category 2",Table13[[#This Row],[Base Abalone Value]]*0.8,NA())</f>
        <v>#N/A</v>
      </c>
      <c r="Z922">
        <f>IF(Table13[[#This Row],[Category All]]="Category 3",Table13[[#This Row],[Base Abalone Value]],NA())</f>
        <v>1.0209999999999999</v>
      </c>
      <c r="AA922" s="2" t="e">
        <f>IF(Table13[[#This Row],[Gender]]="M",Table13[[#This Row],[Whole_weight]],NA())</f>
        <v>#N/A</v>
      </c>
      <c r="AB922" s="2">
        <f>IF(Table13[[#This Row],[Gender]]="F",Table13[[#This Row],[Whole_weight]],NA())</f>
        <v>1.3759999999999999</v>
      </c>
      <c r="AC922" s="2" t="e">
        <f>IF(Table13[[#This Row],[Gender]]="I",Table13[[#This Row],[Whole_weight]],NA())</f>
        <v>#N/A</v>
      </c>
      <c r="AD922" s="2" t="e">
        <f>IF(Table13[[#This Row],[Gender]]="M",Table13[[#This Row],[Diameter]],NA())</f>
        <v>#N/A</v>
      </c>
      <c r="AE922" s="2">
        <f>IF(Table13[[#This Row],[Gender]]="F",Table13[[#This Row],[Diameter]],NA())</f>
        <v>0.5</v>
      </c>
      <c r="AF922" s="2" t="e">
        <f>IF(Table13[[#This Row],[Gender]]="I",Table13[[#This Row],[Diameter]],NA())</f>
        <v>#N/A</v>
      </c>
    </row>
    <row r="923" spans="1:32" x14ac:dyDescent="0.2">
      <c r="A923">
        <v>3591</v>
      </c>
      <c r="B923" t="s">
        <v>0</v>
      </c>
      <c r="C923">
        <v>0.65</v>
      </c>
      <c r="D923">
        <v>0.52</v>
      </c>
      <c r="E923">
        <v>0.19500000000000001</v>
      </c>
      <c r="F923">
        <v>1.6274999999999999</v>
      </c>
      <c r="G923">
        <v>0.68899999999999995</v>
      </c>
      <c r="H923">
        <v>0.39050000000000001</v>
      </c>
      <c r="I923">
        <v>0.432</v>
      </c>
      <c r="J923">
        <v>11</v>
      </c>
      <c r="K923">
        <v>6</v>
      </c>
      <c r="L923" t="s">
        <v>39</v>
      </c>
      <c r="M923" t="s">
        <v>40</v>
      </c>
      <c r="N923" t="s">
        <v>41</v>
      </c>
      <c r="O923">
        <v>10</v>
      </c>
      <c r="P923" t="s">
        <v>38</v>
      </c>
      <c r="Q923">
        <v>24.1</v>
      </c>
      <c r="R923" t="str" cm="1">
        <f t="array" ref="R9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23" t="e">
        <f>IF(Table13[[#This Row],[Category All]]="Category 1", "Yes",NA())</f>
        <v>#N/A</v>
      </c>
      <c r="T923" t="e">
        <f>IF(Table13[[#This Row],[Category All]]="Category 2", "Yes",NA())</f>
        <v>#N/A</v>
      </c>
      <c r="U923" t="str">
        <f>IF(Table13[[#This Row],[Category All]]="Category 3", "Yes",NA())</f>
        <v>Yes</v>
      </c>
      <c r="V923">
        <f>SUM(1,(1/3)*(Table13[[#This Row],[Length]]-0.5),(1/3)*(Table13[[#This Row],[Diameter]]-0.4),(1/3)*(Table13[[#This Row],[Height]]-0.4)*Table13[[#This Row],[Whole_weight]]*0.5)</f>
        <v>1.03439375</v>
      </c>
      <c r="W923" cm="1">
        <f t="array" ref="W9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1.03439375</v>
      </c>
      <c r="X923" t="e">
        <f>IF(Table13[[#This Row],[Category All]]="Category 1",Table13[[#This Row],[Base Abalone Value]]*1.5,NA())</f>
        <v>#N/A</v>
      </c>
      <c r="Y923" t="e">
        <f>IF(Table13[[#This Row],[Category All]]="Category 2",Table13[[#This Row],[Base Abalone Value]]*0.8,NA())</f>
        <v>#N/A</v>
      </c>
      <c r="Z923">
        <f>IF(Table13[[#This Row],[Category All]]="Category 3",Table13[[#This Row],[Base Abalone Value]],NA())</f>
        <v>1.03439375</v>
      </c>
      <c r="AA923" s="2" t="e">
        <f>IF(Table13[[#This Row],[Gender]]="M",Table13[[#This Row],[Whole_weight]],NA())</f>
        <v>#N/A</v>
      </c>
      <c r="AB923" s="2">
        <f>IF(Table13[[#This Row],[Gender]]="F",Table13[[#This Row],[Whole_weight]],NA())</f>
        <v>1.6274999999999999</v>
      </c>
      <c r="AC923" s="2" t="e">
        <f>IF(Table13[[#This Row],[Gender]]="I",Table13[[#This Row],[Whole_weight]],NA())</f>
        <v>#N/A</v>
      </c>
      <c r="AD923" s="2" t="e">
        <f>IF(Table13[[#This Row],[Gender]]="M",Table13[[#This Row],[Diameter]],NA())</f>
        <v>#N/A</v>
      </c>
      <c r="AE923" s="2">
        <f>IF(Table13[[#This Row],[Gender]]="F",Table13[[#This Row],[Diameter]],NA())</f>
        <v>0.52</v>
      </c>
      <c r="AF923" s="2" t="e">
        <f>IF(Table13[[#This Row],[Gender]]="I",Table13[[#This Row],[Diameter]],NA())</f>
        <v>#N/A</v>
      </c>
    </row>
    <row r="924" spans="1:32" x14ac:dyDescent="0.2">
      <c r="A924">
        <v>518</v>
      </c>
      <c r="B924" t="s">
        <v>15</v>
      </c>
      <c r="C924">
        <v>0.28000000000000003</v>
      </c>
      <c r="D924">
        <v>0.2</v>
      </c>
      <c r="E924">
        <v>0.08</v>
      </c>
      <c r="F924">
        <v>9.1499999999999998E-2</v>
      </c>
      <c r="G924">
        <v>3.3000000000000002E-2</v>
      </c>
      <c r="H924">
        <v>2.1499999999999998E-2</v>
      </c>
      <c r="I924">
        <v>0.03</v>
      </c>
      <c r="J924">
        <v>5</v>
      </c>
      <c r="K924">
        <v>12</v>
      </c>
      <c r="L924" t="s">
        <v>1</v>
      </c>
      <c r="M924" t="s">
        <v>2</v>
      </c>
      <c r="N924" t="s">
        <v>3</v>
      </c>
      <c r="O924">
        <v>7</v>
      </c>
      <c r="P924" t="s">
        <v>42</v>
      </c>
      <c r="Q924">
        <v>2.5</v>
      </c>
      <c r="R924" t="str" cm="1">
        <f t="array" ref="R9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24" t="e">
        <f>IF(Table13[[#This Row],[Category All]]="Category 1", "Yes",NA())</f>
        <v>#N/A</v>
      </c>
      <c r="T924" t="str">
        <f>IF(Table13[[#This Row],[Category All]]="Category 2", "Yes",NA())</f>
        <v>Yes</v>
      </c>
      <c r="U924" t="e">
        <f>IF(Table13[[#This Row],[Category All]]="Category 3", "Yes",NA())</f>
        <v>#N/A</v>
      </c>
      <c r="V924">
        <f>SUM(1,(1/3)*(Table13[[#This Row],[Length]]-0.5),(1/3)*(Table13[[#This Row],[Diameter]]-0.4),(1/3)*(Table13[[#This Row],[Height]]-0.4)*Table13[[#This Row],[Whole_weight]]*0.5)</f>
        <v>0.85511999999999999</v>
      </c>
      <c r="W924" cm="1">
        <f t="array" ref="W9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0.68409600000000004</v>
      </c>
      <c r="X924" t="e">
        <f>IF(Table13[[#This Row],[Category All]]="Category 1",Table13[[#This Row],[Base Abalone Value]]*1.5,NA())</f>
        <v>#N/A</v>
      </c>
      <c r="Y924">
        <f>IF(Table13[[#This Row],[Category All]]="Category 2",Table13[[#This Row],[Base Abalone Value]]*0.8,NA())</f>
        <v>0.68409600000000004</v>
      </c>
      <c r="Z924" t="e">
        <f>IF(Table13[[#This Row],[Category All]]="Category 3",Table13[[#This Row],[Base Abalone Value]],NA())</f>
        <v>#N/A</v>
      </c>
      <c r="AA924" s="2">
        <f>IF(Table13[[#This Row],[Gender]]="M",Table13[[#This Row],[Whole_weight]],NA())</f>
        <v>9.1499999999999998E-2</v>
      </c>
      <c r="AB924" s="2" t="e">
        <f>IF(Table13[[#This Row],[Gender]]="F",Table13[[#This Row],[Whole_weight]],NA())</f>
        <v>#N/A</v>
      </c>
      <c r="AC924" s="2" t="e">
        <f>IF(Table13[[#This Row],[Gender]]="I",Table13[[#This Row],[Whole_weight]],NA())</f>
        <v>#N/A</v>
      </c>
      <c r="AD924" s="2">
        <f>IF(Table13[[#This Row],[Gender]]="M",Table13[[#This Row],[Diameter]],NA())</f>
        <v>0.2</v>
      </c>
      <c r="AE924" s="2" t="e">
        <f>IF(Table13[[#This Row],[Gender]]="F",Table13[[#This Row],[Diameter]],NA())</f>
        <v>#N/A</v>
      </c>
      <c r="AF924" s="2" t="e">
        <f>IF(Table13[[#This Row],[Gender]]="I",Table13[[#This Row],[Diameter]],NA())</f>
        <v>#N/A</v>
      </c>
    </row>
    <row r="925" spans="1:32" x14ac:dyDescent="0.2">
      <c r="A925">
        <v>2940</v>
      </c>
      <c r="B925" t="s">
        <v>0</v>
      </c>
      <c r="C925">
        <v>0.625</v>
      </c>
      <c r="D925">
        <v>0.49</v>
      </c>
      <c r="E925">
        <v>0.14499999999999999</v>
      </c>
      <c r="F925">
        <v>0.92</v>
      </c>
      <c r="G925">
        <v>0.437</v>
      </c>
      <c r="H925">
        <v>0.17349999999999999</v>
      </c>
      <c r="I925">
        <v>0.28000000000000003</v>
      </c>
      <c r="J925">
        <v>10</v>
      </c>
      <c r="K925">
        <v>7</v>
      </c>
      <c r="L925" t="s">
        <v>35</v>
      </c>
      <c r="M925" t="s">
        <v>36</v>
      </c>
      <c r="N925" t="s">
        <v>37</v>
      </c>
      <c r="O925">
        <v>1</v>
      </c>
      <c r="P925" t="s">
        <v>4</v>
      </c>
      <c r="Q925">
        <v>22.1</v>
      </c>
      <c r="R925" t="str" cm="1">
        <f t="array" ref="R9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25" t="e">
        <f>IF(Table13[[#This Row],[Category All]]="Category 1", "Yes",NA())</f>
        <v>#N/A</v>
      </c>
      <c r="T925" t="e">
        <f>IF(Table13[[#This Row],[Category All]]="Category 2", "Yes",NA())</f>
        <v>#N/A</v>
      </c>
      <c r="U925" t="str">
        <f>IF(Table13[[#This Row],[Category All]]="Category 3", "Yes",NA())</f>
        <v>Yes</v>
      </c>
      <c r="V925">
        <f>SUM(1,(1/3)*(Table13[[#This Row],[Length]]-0.5),(1/3)*(Table13[[#This Row],[Diameter]]-0.4),(1/3)*(Table13[[#This Row],[Height]]-0.4)*Table13[[#This Row],[Whole_weight]]*0.5)</f>
        <v>1.0325666666666669</v>
      </c>
      <c r="W925" cm="1">
        <f t="array" ref="W9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1.0325666666666669</v>
      </c>
      <c r="X925" t="e">
        <f>IF(Table13[[#This Row],[Category All]]="Category 1",Table13[[#This Row],[Base Abalone Value]]*1.5,NA())</f>
        <v>#N/A</v>
      </c>
      <c r="Y925" t="e">
        <f>IF(Table13[[#This Row],[Category All]]="Category 2",Table13[[#This Row],[Base Abalone Value]]*0.8,NA())</f>
        <v>#N/A</v>
      </c>
      <c r="Z925">
        <f>IF(Table13[[#This Row],[Category All]]="Category 3",Table13[[#This Row],[Base Abalone Value]],NA())</f>
        <v>1.0325666666666669</v>
      </c>
      <c r="AA925" s="2" t="e">
        <f>IF(Table13[[#This Row],[Gender]]="M",Table13[[#This Row],[Whole_weight]],NA())</f>
        <v>#N/A</v>
      </c>
      <c r="AB925" s="2">
        <f>IF(Table13[[#This Row],[Gender]]="F",Table13[[#This Row],[Whole_weight]],NA())</f>
        <v>0.92</v>
      </c>
      <c r="AC925" s="2" t="e">
        <f>IF(Table13[[#This Row],[Gender]]="I",Table13[[#This Row],[Whole_weight]],NA())</f>
        <v>#N/A</v>
      </c>
      <c r="AD925" s="2" t="e">
        <f>IF(Table13[[#This Row],[Gender]]="M",Table13[[#This Row],[Diameter]],NA())</f>
        <v>#N/A</v>
      </c>
      <c r="AE925" s="2">
        <f>IF(Table13[[#This Row],[Gender]]="F",Table13[[#This Row],[Diameter]],NA())</f>
        <v>0.49</v>
      </c>
      <c r="AF925" s="2" t="e">
        <f>IF(Table13[[#This Row],[Gender]]="I",Table13[[#This Row],[Diameter]],NA())</f>
        <v>#N/A</v>
      </c>
    </row>
    <row r="926" spans="1:32" x14ac:dyDescent="0.2">
      <c r="A926">
        <v>2151</v>
      </c>
      <c r="B926" t="s">
        <v>15</v>
      </c>
      <c r="C926">
        <v>0.44500000000000001</v>
      </c>
      <c r="D926">
        <v>0.35499999999999998</v>
      </c>
      <c r="E926">
        <v>0.11</v>
      </c>
      <c r="F926">
        <v>0.4415</v>
      </c>
      <c r="G926">
        <v>0.18049999999999999</v>
      </c>
      <c r="H926">
        <v>0.10349999999999999</v>
      </c>
      <c r="I926">
        <v>0.15049999999999999</v>
      </c>
      <c r="J926">
        <v>10</v>
      </c>
      <c r="K926">
        <v>4</v>
      </c>
      <c r="L926" t="s">
        <v>52</v>
      </c>
      <c r="M926" t="s">
        <v>53</v>
      </c>
      <c r="N926" t="s">
        <v>54</v>
      </c>
      <c r="O926">
        <v>3</v>
      </c>
      <c r="P926" t="s">
        <v>48</v>
      </c>
      <c r="Q926">
        <v>3.6</v>
      </c>
      <c r="R926" t="str" cm="1">
        <f t="array" ref="R9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26" t="e">
        <f>IF(Table13[[#This Row],[Category All]]="Category 1", "Yes",NA())</f>
        <v>#N/A</v>
      </c>
      <c r="T926" t="str">
        <f>IF(Table13[[#This Row],[Category All]]="Category 2", "Yes",NA())</f>
        <v>Yes</v>
      </c>
      <c r="U926" t="e">
        <f>IF(Table13[[#This Row],[Category All]]="Category 3", "Yes",NA())</f>
        <v>#N/A</v>
      </c>
      <c r="V926">
        <f>SUM(1,(1/3)*(Table13[[#This Row],[Length]]-0.5),(1/3)*(Table13[[#This Row],[Diameter]]-0.4),(1/3)*(Table13[[#This Row],[Height]]-0.4)*Table13[[#This Row],[Whole_weight]]*0.5)</f>
        <v>0.94532749999999999</v>
      </c>
      <c r="W926" cm="1">
        <f t="array" ref="W9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0.75626199999999999</v>
      </c>
      <c r="X926" t="e">
        <f>IF(Table13[[#This Row],[Category All]]="Category 1",Table13[[#This Row],[Base Abalone Value]]*1.5,NA())</f>
        <v>#N/A</v>
      </c>
      <c r="Y926">
        <f>IF(Table13[[#This Row],[Category All]]="Category 2",Table13[[#This Row],[Base Abalone Value]]*0.8,NA())</f>
        <v>0.75626199999999999</v>
      </c>
      <c r="Z926" t="e">
        <f>IF(Table13[[#This Row],[Category All]]="Category 3",Table13[[#This Row],[Base Abalone Value]],NA())</f>
        <v>#N/A</v>
      </c>
      <c r="AA926" s="2">
        <f>IF(Table13[[#This Row],[Gender]]="M",Table13[[#This Row],[Whole_weight]],NA())</f>
        <v>0.4415</v>
      </c>
      <c r="AB926" s="2" t="e">
        <f>IF(Table13[[#This Row],[Gender]]="F",Table13[[#This Row],[Whole_weight]],NA())</f>
        <v>#N/A</v>
      </c>
      <c r="AC926" s="2" t="e">
        <f>IF(Table13[[#This Row],[Gender]]="I",Table13[[#This Row],[Whole_weight]],NA())</f>
        <v>#N/A</v>
      </c>
      <c r="AD926" s="2">
        <f>IF(Table13[[#This Row],[Gender]]="M",Table13[[#This Row],[Diameter]],NA())</f>
        <v>0.35499999999999998</v>
      </c>
      <c r="AE926" s="2" t="e">
        <f>IF(Table13[[#This Row],[Gender]]="F",Table13[[#This Row],[Diameter]],NA())</f>
        <v>#N/A</v>
      </c>
      <c r="AF926" s="2" t="e">
        <f>IF(Table13[[#This Row],[Gender]]="I",Table13[[#This Row],[Diameter]],NA())</f>
        <v>#N/A</v>
      </c>
    </row>
    <row r="927" spans="1:32" x14ac:dyDescent="0.2">
      <c r="A927">
        <v>1563</v>
      </c>
      <c r="B927" t="s">
        <v>11</v>
      </c>
      <c r="C927">
        <v>0.45</v>
      </c>
      <c r="D927">
        <v>0.33500000000000002</v>
      </c>
      <c r="E927">
        <v>0.11</v>
      </c>
      <c r="F927">
        <v>0.41949999999999998</v>
      </c>
      <c r="G927">
        <v>0.18099999999999999</v>
      </c>
      <c r="H927">
        <v>8.5000000000000006E-2</v>
      </c>
      <c r="I927">
        <v>0.13450000000000001</v>
      </c>
      <c r="J927">
        <v>7</v>
      </c>
      <c r="K927">
        <v>7</v>
      </c>
      <c r="L927" t="s">
        <v>35</v>
      </c>
      <c r="M927" t="s">
        <v>36</v>
      </c>
      <c r="N927" t="s">
        <v>37</v>
      </c>
      <c r="O927">
        <v>2</v>
      </c>
      <c r="P927" t="s">
        <v>7</v>
      </c>
      <c r="Q927">
        <v>18</v>
      </c>
      <c r="R927" t="str" cm="1">
        <f t="array" ref="R9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27" t="e">
        <f>IF(Table13[[#This Row],[Category All]]="Category 1", "Yes",NA())</f>
        <v>#N/A</v>
      </c>
      <c r="T927" t="str">
        <f>IF(Table13[[#This Row],[Category All]]="Category 2", "Yes",NA())</f>
        <v>Yes</v>
      </c>
      <c r="U927" t="e">
        <f>IF(Table13[[#This Row],[Category All]]="Category 3", "Yes",NA())</f>
        <v>#N/A</v>
      </c>
      <c r="V927">
        <f>SUM(1,(1/3)*(Table13[[#This Row],[Length]]-0.5),(1/3)*(Table13[[#This Row],[Diameter]]-0.4),(1/3)*(Table13[[#This Row],[Height]]-0.4)*Table13[[#This Row],[Whole_weight]]*0.5)</f>
        <v>0.94139083333333329</v>
      </c>
      <c r="W927" cm="1">
        <f t="array" ref="W9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0.75311266666666665</v>
      </c>
      <c r="X927" t="e">
        <f>IF(Table13[[#This Row],[Category All]]="Category 1",Table13[[#This Row],[Base Abalone Value]]*1.5,NA())</f>
        <v>#N/A</v>
      </c>
      <c r="Y927">
        <f>IF(Table13[[#This Row],[Category All]]="Category 2",Table13[[#This Row],[Base Abalone Value]]*0.8,NA())</f>
        <v>0.75311266666666665</v>
      </c>
      <c r="Z927" t="e">
        <f>IF(Table13[[#This Row],[Category All]]="Category 3",Table13[[#This Row],[Base Abalone Value]],NA())</f>
        <v>#N/A</v>
      </c>
      <c r="AA927" s="2" t="e">
        <f>IF(Table13[[#This Row],[Gender]]="M",Table13[[#This Row],[Whole_weight]],NA())</f>
        <v>#N/A</v>
      </c>
      <c r="AB927" s="2" t="e">
        <f>IF(Table13[[#This Row],[Gender]]="F",Table13[[#This Row],[Whole_weight]],NA())</f>
        <v>#N/A</v>
      </c>
      <c r="AC927" s="2">
        <f>IF(Table13[[#This Row],[Gender]]="I",Table13[[#This Row],[Whole_weight]],NA())</f>
        <v>0.41949999999999998</v>
      </c>
      <c r="AD927" s="2" t="e">
        <f>IF(Table13[[#This Row],[Gender]]="M",Table13[[#This Row],[Diameter]],NA())</f>
        <v>#N/A</v>
      </c>
      <c r="AE927" s="2" t="e">
        <f>IF(Table13[[#This Row],[Gender]]="F",Table13[[#This Row],[Diameter]],NA())</f>
        <v>#N/A</v>
      </c>
      <c r="AF927" s="2">
        <f>IF(Table13[[#This Row],[Gender]]="I",Table13[[#This Row],[Diameter]],NA())</f>
        <v>0.33500000000000002</v>
      </c>
    </row>
    <row r="928" spans="1:32" x14ac:dyDescent="0.2">
      <c r="A928">
        <v>366</v>
      </c>
      <c r="B928" t="s">
        <v>15</v>
      </c>
      <c r="C928">
        <v>0.63</v>
      </c>
      <c r="D928">
        <v>0.51500000000000001</v>
      </c>
      <c r="E928">
        <v>0.16</v>
      </c>
      <c r="F928">
        <v>1.016</v>
      </c>
      <c r="G928">
        <v>0.42149999999999999</v>
      </c>
      <c r="H928">
        <v>0.24399999999999999</v>
      </c>
      <c r="I928">
        <v>0.35499999999999998</v>
      </c>
      <c r="J928">
        <v>19</v>
      </c>
      <c r="K928">
        <v>7</v>
      </c>
      <c r="L928" t="s">
        <v>35</v>
      </c>
      <c r="M928" t="s">
        <v>36</v>
      </c>
      <c r="N928" t="s">
        <v>37</v>
      </c>
      <c r="O928">
        <v>5</v>
      </c>
      <c r="P928" t="s">
        <v>14</v>
      </c>
      <c r="Q928">
        <v>12.8</v>
      </c>
      <c r="R928" t="str" cm="1">
        <f t="array" ref="R9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28" t="e">
        <f>IF(Table13[[#This Row],[Category All]]="Category 1", "Yes",NA())</f>
        <v>#N/A</v>
      </c>
      <c r="T928" t="str">
        <f>IF(Table13[[#This Row],[Category All]]="Category 2", "Yes",NA())</f>
        <v>Yes</v>
      </c>
      <c r="U928" t="e">
        <f>IF(Table13[[#This Row],[Category All]]="Category 3", "Yes",NA())</f>
        <v>#N/A</v>
      </c>
      <c r="V928">
        <f>SUM(1,(1/3)*(Table13[[#This Row],[Length]]-0.5),(1/3)*(Table13[[#This Row],[Diameter]]-0.4),(1/3)*(Table13[[#This Row],[Height]]-0.4)*Table13[[#This Row],[Whole_weight]]*0.5)</f>
        <v>1.0410266666666668</v>
      </c>
      <c r="W928" cm="1">
        <f t="array" ref="W9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0.83282133333333341</v>
      </c>
      <c r="X928" t="e">
        <f>IF(Table13[[#This Row],[Category All]]="Category 1",Table13[[#This Row],[Base Abalone Value]]*1.5,NA())</f>
        <v>#N/A</v>
      </c>
      <c r="Y928">
        <f>IF(Table13[[#This Row],[Category All]]="Category 2",Table13[[#This Row],[Base Abalone Value]]*0.8,NA())</f>
        <v>0.83282133333333341</v>
      </c>
      <c r="Z928" t="e">
        <f>IF(Table13[[#This Row],[Category All]]="Category 3",Table13[[#This Row],[Base Abalone Value]],NA())</f>
        <v>#N/A</v>
      </c>
      <c r="AA928" s="2">
        <f>IF(Table13[[#This Row],[Gender]]="M",Table13[[#This Row],[Whole_weight]],NA())</f>
        <v>1.016</v>
      </c>
      <c r="AB928" s="2" t="e">
        <f>IF(Table13[[#This Row],[Gender]]="F",Table13[[#This Row],[Whole_weight]],NA())</f>
        <v>#N/A</v>
      </c>
      <c r="AC928" s="2" t="e">
        <f>IF(Table13[[#This Row],[Gender]]="I",Table13[[#This Row],[Whole_weight]],NA())</f>
        <v>#N/A</v>
      </c>
      <c r="AD928" s="2">
        <f>IF(Table13[[#This Row],[Gender]]="M",Table13[[#This Row],[Diameter]],NA())</f>
        <v>0.51500000000000001</v>
      </c>
      <c r="AE928" s="2" t="e">
        <f>IF(Table13[[#This Row],[Gender]]="F",Table13[[#This Row],[Diameter]],NA())</f>
        <v>#N/A</v>
      </c>
      <c r="AF928" s="2" t="e">
        <f>IF(Table13[[#This Row],[Gender]]="I",Table13[[#This Row],[Diameter]],NA())</f>
        <v>#N/A</v>
      </c>
    </row>
    <row r="929" spans="1:32" x14ac:dyDescent="0.2">
      <c r="A929">
        <v>2463</v>
      </c>
      <c r="B929" t="s">
        <v>15</v>
      </c>
      <c r="C929">
        <v>0.44</v>
      </c>
      <c r="D929">
        <v>0.32500000000000001</v>
      </c>
      <c r="E929">
        <v>0.08</v>
      </c>
      <c r="F929">
        <v>0.41299999999999998</v>
      </c>
      <c r="G929">
        <v>0.14399999999999999</v>
      </c>
      <c r="H929">
        <v>0.10150000000000001</v>
      </c>
      <c r="I929">
        <v>0.13</v>
      </c>
      <c r="J929">
        <v>8</v>
      </c>
      <c r="K929">
        <v>13</v>
      </c>
      <c r="L929" t="s">
        <v>12</v>
      </c>
      <c r="M929" t="s">
        <v>13</v>
      </c>
      <c r="N929" t="s">
        <v>3</v>
      </c>
      <c r="O929">
        <v>6</v>
      </c>
      <c r="P929" t="s">
        <v>47</v>
      </c>
      <c r="Q929">
        <v>14.1</v>
      </c>
      <c r="R929" t="str" cm="1">
        <f t="array" ref="R9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29" t="e">
        <f>IF(Table13[[#This Row],[Category All]]="Category 1", "Yes",NA())</f>
        <v>#N/A</v>
      </c>
      <c r="T929" t="str">
        <f>IF(Table13[[#This Row],[Category All]]="Category 2", "Yes",NA())</f>
        <v>Yes</v>
      </c>
      <c r="U929" t="e">
        <f>IF(Table13[[#This Row],[Category All]]="Category 3", "Yes",NA())</f>
        <v>#N/A</v>
      </c>
      <c r="V929">
        <f>SUM(1,(1/3)*(Table13[[#This Row],[Length]]-0.5),(1/3)*(Table13[[#This Row],[Diameter]]-0.4),(1/3)*(Table13[[#This Row],[Height]]-0.4)*Table13[[#This Row],[Whole_weight]]*0.5)</f>
        <v>0.93297333333333332</v>
      </c>
      <c r="W929" cm="1">
        <f t="array" ref="W9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0.74637866666666675</v>
      </c>
      <c r="X929" t="e">
        <f>IF(Table13[[#This Row],[Category All]]="Category 1",Table13[[#This Row],[Base Abalone Value]]*1.5,NA())</f>
        <v>#N/A</v>
      </c>
      <c r="Y929">
        <f>IF(Table13[[#This Row],[Category All]]="Category 2",Table13[[#This Row],[Base Abalone Value]]*0.8,NA())</f>
        <v>0.74637866666666675</v>
      </c>
      <c r="Z929" t="e">
        <f>IF(Table13[[#This Row],[Category All]]="Category 3",Table13[[#This Row],[Base Abalone Value]],NA())</f>
        <v>#N/A</v>
      </c>
      <c r="AA929" s="2">
        <f>IF(Table13[[#This Row],[Gender]]="M",Table13[[#This Row],[Whole_weight]],NA())</f>
        <v>0.41299999999999998</v>
      </c>
      <c r="AB929" s="2" t="e">
        <f>IF(Table13[[#This Row],[Gender]]="F",Table13[[#This Row],[Whole_weight]],NA())</f>
        <v>#N/A</v>
      </c>
      <c r="AC929" s="2" t="e">
        <f>IF(Table13[[#This Row],[Gender]]="I",Table13[[#This Row],[Whole_weight]],NA())</f>
        <v>#N/A</v>
      </c>
      <c r="AD929" s="2">
        <f>IF(Table13[[#This Row],[Gender]]="M",Table13[[#This Row],[Diameter]],NA())</f>
        <v>0.32500000000000001</v>
      </c>
      <c r="AE929" s="2" t="e">
        <f>IF(Table13[[#This Row],[Gender]]="F",Table13[[#This Row],[Diameter]],NA())</f>
        <v>#N/A</v>
      </c>
      <c r="AF929" s="2" t="e">
        <f>IF(Table13[[#This Row],[Gender]]="I",Table13[[#This Row],[Diameter]],NA())</f>
        <v>#N/A</v>
      </c>
    </row>
    <row r="930" spans="1:32" x14ac:dyDescent="0.2">
      <c r="A930">
        <v>414</v>
      </c>
      <c r="B930" t="s">
        <v>15</v>
      </c>
      <c r="C930">
        <v>0.54500000000000004</v>
      </c>
      <c r="D930">
        <v>0.44</v>
      </c>
      <c r="E930">
        <v>0.12</v>
      </c>
      <c r="F930">
        <v>0.85650000000000004</v>
      </c>
      <c r="G930">
        <v>0.34749999999999998</v>
      </c>
      <c r="H930">
        <v>0.17150000000000001</v>
      </c>
      <c r="I930">
        <v>0.24</v>
      </c>
      <c r="J930">
        <v>12</v>
      </c>
      <c r="K930">
        <v>14</v>
      </c>
      <c r="L930" t="s">
        <v>23</v>
      </c>
      <c r="M930" t="s">
        <v>24</v>
      </c>
      <c r="N930" t="s">
        <v>25</v>
      </c>
      <c r="O930">
        <v>6</v>
      </c>
      <c r="P930" t="s">
        <v>47</v>
      </c>
      <c r="Q930">
        <v>14.1</v>
      </c>
      <c r="R930" t="str" cm="1">
        <f t="array" ref="R9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30" t="e">
        <f>IF(Table13[[#This Row],[Category All]]="Category 1", "Yes",NA())</f>
        <v>#N/A</v>
      </c>
      <c r="T930" t="str">
        <f>IF(Table13[[#This Row],[Category All]]="Category 2", "Yes",NA())</f>
        <v>Yes</v>
      </c>
      <c r="U930" t="e">
        <f>IF(Table13[[#This Row],[Category All]]="Category 3", "Yes",NA())</f>
        <v>#N/A</v>
      </c>
      <c r="V930">
        <f>SUM(1,(1/3)*(Table13[[#This Row],[Length]]-0.5),(1/3)*(Table13[[#This Row],[Diameter]]-0.4),(1/3)*(Table13[[#This Row],[Height]]-0.4)*Table13[[#This Row],[Whole_weight]]*0.5)</f>
        <v>0.98836333333333348</v>
      </c>
      <c r="W930" cm="1">
        <f t="array" ref="W9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0.79069066666666687</v>
      </c>
      <c r="X930" t="e">
        <f>IF(Table13[[#This Row],[Category All]]="Category 1",Table13[[#This Row],[Base Abalone Value]]*1.5,NA())</f>
        <v>#N/A</v>
      </c>
      <c r="Y930">
        <f>IF(Table13[[#This Row],[Category All]]="Category 2",Table13[[#This Row],[Base Abalone Value]]*0.8,NA())</f>
        <v>0.79069066666666687</v>
      </c>
      <c r="Z930" t="e">
        <f>IF(Table13[[#This Row],[Category All]]="Category 3",Table13[[#This Row],[Base Abalone Value]],NA())</f>
        <v>#N/A</v>
      </c>
      <c r="AA930" s="2">
        <f>IF(Table13[[#This Row],[Gender]]="M",Table13[[#This Row],[Whole_weight]],NA())</f>
        <v>0.85650000000000004</v>
      </c>
      <c r="AB930" s="2" t="e">
        <f>IF(Table13[[#This Row],[Gender]]="F",Table13[[#This Row],[Whole_weight]],NA())</f>
        <v>#N/A</v>
      </c>
      <c r="AC930" s="2" t="e">
        <f>IF(Table13[[#This Row],[Gender]]="I",Table13[[#This Row],[Whole_weight]],NA())</f>
        <v>#N/A</v>
      </c>
      <c r="AD930" s="2">
        <f>IF(Table13[[#This Row],[Gender]]="M",Table13[[#This Row],[Diameter]],NA())</f>
        <v>0.44</v>
      </c>
      <c r="AE930" s="2" t="e">
        <f>IF(Table13[[#This Row],[Gender]]="F",Table13[[#This Row],[Diameter]],NA())</f>
        <v>#N/A</v>
      </c>
      <c r="AF930" s="2" t="e">
        <f>IF(Table13[[#This Row],[Gender]]="I",Table13[[#This Row],[Diameter]],NA())</f>
        <v>#N/A</v>
      </c>
    </row>
    <row r="931" spans="1:32" x14ac:dyDescent="0.2">
      <c r="A931">
        <v>2257</v>
      </c>
      <c r="B931" t="s">
        <v>15</v>
      </c>
      <c r="C931">
        <v>0.52</v>
      </c>
      <c r="D931">
        <v>0.38</v>
      </c>
      <c r="E931">
        <v>0.13500000000000001</v>
      </c>
      <c r="F931">
        <v>0.58250000000000002</v>
      </c>
      <c r="G931">
        <v>0.2505</v>
      </c>
      <c r="H931">
        <v>0.1565</v>
      </c>
      <c r="I931">
        <v>0.17499999999999999</v>
      </c>
      <c r="J931">
        <v>8</v>
      </c>
      <c r="K931">
        <v>2</v>
      </c>
      <c r="L931" t="s">
        <v>32</v>
      </c>
      <c r="M931" t="s">
        <v>33</v>
      </c>
      <c r="N931" t="s">
        <v>34</v>
      </c>
      <c r="O931">
        <v>1</v>
      </c>
      <c r="P931" t="s">
        <v>4</v>
      </c>
      <c r="Q931">
        <v>22.1</v>
      </c>
      <c r="R931" t="str" cm="1">
        <f t="array" ref="R9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31" t="e">
        <f>IF(Table13[[#This Row],[Category All]]="Category 1", "Yes",NA())</f>
        <v>#N/A</v>
      </c>
      <c r="T931" t="str">
        <f>IF(Table13[[#This Row],[Category All]]="Category 2", "Yes",NA())</f>
        <v>Yes</v>
      </c>
      <c r="U931" t="e">
        <f>IF(Table13[[#This Row],[Category All]]="Category 3", "Yes",NA())</f>
        <v>#N/A</v>
      </c>
      <c r="V931">
        <f>SUM(1,(1/3)*(Table13[[#This Row],[Length]]-0.5),(1/3)*(Table13[[#This Row],[Diameter]]-0.4),(1/3)*(Table13[[#This Row],[Height]]-0.4)*Table13[[#This Row],[Whole_weight]]*0.5)</f>
        <v>0.9742729166666666</v>
      </c>
      <c r="W931" cm="1">
        <f t="array" ref="W9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0.77941833333333332</v>
      </c>
      <c r="X931" t="e">
        <f>IF(Table13[[#This Row],[Category All]]="Category 1",Table13[[#This Row],[Base Abalone Value]]*1.5,NA())</f>
        <v>#N/A</v>
      </c>
      <c r="Y931">
        <f>IF(Table13[[#This Row],[Category All]]="Category 2",Table13[[#This Row],[Base Abalone Value]]*0.8,NA())</f>
        <v>0.77941833333333332</v>
      </c>
      <c r="Z931" t="e">
        <f>IF(Table13[[#This Row],[Category All]]="Category 3",Table13[[#This Row],[Base Abalone Value]],NA())</f>
        <v>#N/A</v>
      </c>
      <c r="AA931" s="2">
        <f>IF(Table13[[#This Row],[Gender]]="M",Table13[[#This Row],[Whole_weight]],NA())</f>
        <v>0.58250000000000002</v>
      </c>
      <c r="AB931" s="2" t="e">
        <f>IF(Table13[[#This Row],[Gender]]="F",Table13[[#This Row],[Whole_weight]],NA())</f>
        <v>#N/A</v>
      </c>
      <c r="AC931" s="2" t="e">
        <f>IF(Table13[[#This Row],[Gender]]="I",Table13[[#This Row],[Whole_weight]],NA())</f>
        <v>#N/A</v>
      </c>
      <c r="AD931" s="2">
        <f>IF(Table13[[#This Row],[Gender]]="M",Table13[[#This Row],[Diameter]],NA())</f>
        <v>0.38</v>
      </c>
      <c r="AE931" s="2" t="e">
        <f>IF(Table13[[#This Row],[Gender]]="F",Table13[[#This Row],[Diameter]],NA())</f>
        <v>#N/A</v>
      </c>
      <c r="AF931" s="2" t="e">
        <f>IF(Table13[[#This Row],[Gender]]="I",Table13[[#This Row],[Diameter]],NA())</f>
        <v>#N/A</v>
      </c>
    </row>
    <row r="932" spans="1:32" x14ac:dyDescent="0.2">
      <c r="A932">
        <v>3212</v>
      </c>
      <c r="B932" t="s">
        <v>0</v>
      </c>
      <c r="C932">
        <v>0.6</v>
      </c>
      <c r="D932">
        <v>0.48</v>
      </c>
      <c r="E932">
        <v>0.16500000000000001</v>
      </c>
      <c r="F932">
        <v>1.1345000000000001</v>
      </c>
      <c r="G932">
        <v>0.45350000000000001</v>
      </c>
      <c r="H932">
        <v>0.27</v>
      </c>
      <c r="I932">
        <v>0.33500000000000002</v>
      </c>
      <c r="J932">
        <v>10</v>
      </c>
      <c r="K932">
        <v>14</v>
      </c>
      <c r="L932" t="s">
        <v>23</v>
      </c>
      <c r="M932" t="s">
        <v>24</v>
      </c>
      <c r="N932" t="s">
        <v>25</v>
      </c>
      <c r="O932">
        <v>5</v>
      </c>
      <c r="P932" t="s">
        <v>14</v>
      </c>
      <c r="Q932">
        <v>12.8</v>
      </c>
      <c r="R932" t="str" cm="1">
        <f t="array" ref="R9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32" t="e">
        <f>IF(Table13[[#This Row],[Category All]]="Category 1", "Yes",NA())</f>
        <v>#N/A</v>
      </c>
      <c r="T932" t="e">
        <f>IF(Table13[[#This Row],[Category All]]="Category 2", "Yes",NA())</f>
        <v>#N/A</v>
      </c>
      <c r="U932" t="str">
        <f>IF(Table13[[#This Row],[Category All]]="Category 3", "Yes",NA())</f>
        <v>Yes</v>
      </c>
      <c r="V932">
        <f>SUM(1,(1/3)*(Table13[[#This Row],[Length]]-0.5),(1/3)*(Table13[[#This Row],[Diameter]]-0.4),(1/3)*(Table13[[#This Row],[Height]]-0.4)*Table13[[#This Row],[Whole_weight]]*0.5)</f>
        <v>1.0155654166666666</v>
      </c>
      <c r="W932" cm="1">
        <f t="array" ref="W9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1.0155654166666666</v>
      </c>
      <c r="X932" t="e">
        <f>IF(Table13[[#This Row],[Category All]]="Category 1",Table13[[#This Row],[Base Abalone Value]]*1.5,NA())</f>
        <v>#N/A</v>
      </c>
      <c r="Y932" t="e">
        <f>IF(Table13[[#This Row],[Category All]]="Category 2",Table13[[#This Row],[Base Abalone Value]]*0.8,NA())</f>
        <v>#N/A</v>
      </c>
      <c r="Z932">
        <f>IF(Table13[[#This Row],[Category All]]="Category 3",Table13[[#This Row],[Base Abalone Value]],NA())</f>
        <v>1.0155654166666666</v>
      </c>
      <c r="AA932" s="2" t="e">
        <f>IF(Table13[[#This Row],[Gender]]="M",Table13[[#This Row],[Whole_weight]],NA())</f>
        <v>#N/A</v>
      </c>
      <c r="AB932" s="2">
        <f>IF(Table13[[#This Row],[Gender]]="F",Table13[[#This Row],[Whole_weight]],NA())</f>
        <v>1.1345000000000001</v>
      </c>
      <c r="AC932" s="2" t="e">
        <f>IF(Table13[[#This Row],[Gender]]="I",Table13[[#This Row],[Whole_weight]],NA())</f>
        <v>#N/A</v>
      </c>
      <c r="AD932" s="2" t="e">
        <f>IF(Table13[[#This Row],[Gender]]="M",Table13[[#This Row],[Diameter]],NA())</f>
        <v>#N/A</v>
      </c>
      <c r="AE932" s="2">
        <f>IF(Table13[[#This Row],[Gender]]="F",Table13[[#This Row],[Diameter]],NA())</f>
        <v>0.48</v>
      </c>
      <c r="AF932" s="2" t="e">
        <f>IF(Table13[[#This Row],[Gender]]="I",Table13[[#This Row],[Diameter]],NA())</f>
        <v>#N/A</v>
      </c>
    </row>
    <row r="933" spans="1:32" x14ac:dyDescent="0.2">
      <c r="A933">
        <v>391</v>
      </c>
      <c r="B933" t="s">
        <v>11</v>
      </c>
      <c r="C933">
        <v>0.41499999999999998</v>
      </c>
      <c r="D933">
        <v>0.32500000000000001</v>
      </c>
      <c r="E933">
        <v>0.1</v>
      </c>
      <c r="F933">
        <v>0.32150000000000001</v>
      </c>
      <c r="G933">
        <v>0.1535</v>
      </c>
      <c r="H933">
        <v>5.9499999999999997E-2</v>
      </c>
      <c r="I933">
        <v>0.105</v>
      </c>
      <c r="J933">
        <v>10</v>
      </c>
      <c r="K933">
        <v>9</v>
      </c>
      <c r="L933" t="s">
        <v>20</v>
      </c>
      <c r="M933" t="s">
        <v>21</v>
      </c>
      <c r="N933" t="s">
        <v>22</v>
      </c>
      <c r="O933">
        <v>3</v>
      </c>
      <c r="P933" t="s">
        <v>48</v>
      </c>
      <c r="Q933">
        <v>3.6</v>
      </c>
      <c r="R933" t="str" cm="1">
        <f t="array" ref="R9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33" t="e">
        <f>IF(Table13[[#This Row],[Category All]]="Category 1", "Yes",NA())</f>
        <v>#N/A</v>
      </c>
      <c r="T933" t="str">
        <f>IF(Table13[[#This Row],[Category All]]="Category 2", "Yes",NA())</f>
        <v>Yes</v>
      </c>
      <c r="U933" t="e">
        <f>IF(Table13[[#This Row],[Category All]]="Category 3", "Yes",NA())</f>
        <v>#N/A</v>
      </c>
      <c r="V933">
        <f>SUM(1,(1/3)*(Table13[[#This Row],[Length]]-0.5),(1/3)*(Table13[[#This Row],[Diameter]]-0.4),(1/3)*(Table13[[#This Row],[Height]]-0.4)*Table13[[#This Row],[Whole_weight]]*0.5)</f>
        <v>0.93059166666666671</v>
      </c>
      <c r="W933" cm="1">
        <f t="array" ref="W9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0.74447333333333343</v>
      </c>
      <c r="X933" t="e">
        <f>IF(Table13[[#This Row],[Category All]]="Category 1",Table13[[#This Row],[Base Abalone Value]]*1.5,NA())</f>
        <v>#N/A</v>
      </c>
      <c r="Y933">
        <f>IF(Table13[[#This Row],[Category All]]="Category 2",Table13[[#This Row],[Base Abalone Value]]*0.8,NA())</f>
        <v>0.74447333333333343</v>
      </c>
      <c r="Z933" t="e">
        <f>IF(Table13[[#This Row],[Category All]]="Category 3",Table13[[#This Row],[Base Abalone Value]],NA())</f>
        <v>#N/A</v>
      </c>
      <c r="AA933" s="2" t="e">
        <f>IF(Table13[[#This Row],[Gender]]="M",Table13[[#This Row],[Whole_weight]],NA())</f>
        <v>#N/A</v>
      </c>
      <c r="AB933" s="2" t="e">
        <f>IF(Table13[[#This Row],[Gender]]="F",Table13[[#This Row],[Whole_weight]],NA())</f>
        <v>#N/A</v>
      </c>
      <c r="AC933" s="2">
        <f>IF(Table13[[#This Row],[Gender]]="I",Table13[[#This Row],[Whole_weight]],NA())</f>
        <v>0.32150000000000001</v>
      </c>
      <c r="AD933" s="2" t="e">
        <f>IF(Table13[[#This Row],[Gender]]="M",Table13[[#This Row],[Diameter]],NA())</f>
        <v>#N/A</v>
      </c>
      <c r="AE933" s="2" t="e">
        <f>IF(Table13[[#This Row],[Gender]]="F",Table13[[#This Row],[Diameter]],NA())</f>
        <v>#N/A</v>
      </c>
      <c r="AF933" s="2">
        <f>IF(Table13[[#This Row],[Gender]]="I",Table13[[#This Row],[Diameter]],NA())</f>
        <v>0.32500000000000001</v>
      </c>
    </row>
    <row r="934" spans="1:32" x14ac:dyDescent="0.2">
      <c r="A934">
        <v>2573</v>
      </c>
      <c r="B934" t="s">
        <v>11</v>
      </c>
      <c r="C934">
        <v>0.47499999999999998</v>
      </c>
      <c r="D934">
        <v>0.38500000000000001</v>
      </c>
      <c r="E934">
        <v>0.11</v>
      </c>
      <c r="F934">
        <v>0.57350000000000001</v>
      </c>
      <c r="G934">
        <v>0.311</v>
      </c>
      <c r="H934">
        <v>0.10249999999999999</v>
      </c>
      <c r="I934">
        <v>0.13600000000000001</v>
      </c>
      <c r="J934">
        <v>7</v>
      </c>
      <c r="K934">
        <v>15</v>
      </c>
      <c r="L934" t="s">
        <v>49</v>
      </c>
      <c r="M934" t="s">
        <v>50</v>
      </c>
      <c r="N934" t="s">
        <v>3</v>
      </c>
      <c r="O934">
        <v>7</v>
      </c>
      <c r="P934" t="s">
        <v>42</v>
      </c>
      <c r="Q934">
        <v>2.5</v>
      </c>
      <c r="R934" t="str" cm="1">
        <f t="array" ref="R9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34" t="e">
        <f>IF(Table13[[#This Row],[Category All]]="Category 1", "Yes",NA())</f>
        <v>#N/A</v>
      </c>
      <c r="T934" t="str">
        <f>IF(Table13[[#This Row],[Category All]]="Category 2", "Yes",NA())</f>
        <v>Yes</v>
      </c>
      <c r="U934" t="e">
        <f>IF(Table13[[#This Row],[Category All]]="Category 3", "Yes",NA())</f>
        <v>#N/A</v>
      </c>
      <c r="V934">
        <f>SUM(1,(1/3)*(Table13[[#This Row],[Length]]-0.5),(1/3)*(Table13[[#This Row],[Diameter]]-0.4),(1/3)*(Table13[[#This Row],[Height]]-0.4)*Table13[[#This Row],[Whole_weight]]*0.5)</f>
        <v>0.95894750000000006</v>
      </c>
      <c r="W934" cm="1">
        <f t="array" ref="W9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0.76715800000000012</v>
      </c>
      <c r="X934" t="e">
        <f>IF(Table13[[#This Row],[Category All]]="Category 1",Table13[[#This Row],[Base Abalone Value]]*1.5,NA())</f>
        <v>#N/A</v>
      </c>
      <c r="Y934">
        <f>IF(Table13[[#This Row],[Category All]]="Category 2",Table13[[#This Row],[Base Abalone Value]]*0.8,NA())</f>
        <v>0.76715800000000012</v>
      </c>
      <c r="Z934" t="e">
        <f>IF(Table13[[#This Row],[Category All]]="Category 3",Table13[[#This Row],[Base Abalone Value]],NA())</f>
        <v>#N/A</v>
      </c>
      <c r="AA934" s="2" t="e">
        <f>IF(Table13[[#This Row],[Gender]]="M",Table13[[#This Row],[Whole_weight]],NA())</f>
        <v>#N/A</v>
      </c>
      <c r="AB934" s="2" t="e">
        <f>IF(Table13[[#This Row],[Gender]]="F",Table13[[#This Row],[Whole_weight]],NA())</f>
        <v>#N/A</v>
      </c>
      <c r="AC934" s="2">
        <f>IF(Table13[[#This Row],[Gender]]="I",Table13[[#This Row],[Whole_weight]],NA())</f>
        <v>0.57350000000000001</v>
      </c>
      <c r="AD934" s="2" t="e">
        <f>IF(Table13[[#This Row],[Gender]]="M",Table13[[#This Row],[Diameter]],NA())</f>
        <v>#N/A</v>
      </c>
      <c r="AE934" s="2" t="e">
        <f>IF(Table13[[#This Row],[Gender]]="F",Table13[[#This Row],[Diameter]],NA())</f>
        <v>#N/A</v>
      </c>
      <c r="AF934" s="2">
        <f>IF(Table13[[#This Row],[Gender]]="I",Table13[[#This Row],[Diameter]],NA())</f>
        <v>0.38500000000000001</v>
      </c>
    </row>
    <row r="935" spans="1:32" x14ac:dyDescent="0.2">
      <c r="A935">
        <v>3943</v>
      </c>
      <c r="B935" t="s">
        <v>0</v>
      </c>
      <c r="C935">
        <v>0.52500000000000002</v>
      </c>
      <c r="D935">
        <v>0.4</v>
      </c>
      <c r="E935">
        <v>0.115</v>
      </c>
      <c r="F935">
        <v>0.62949999999999995</v>
      </c>
      <c r="G935">
        <v>0.2555</v>
      </c>
      <c r="H935">
        <v>0.14399999999999999</v>
      </c>
      <c r="I935">
        <v>0.18</v>
      </c>
      <c r="J935">
        <v>11</v>
      </c>
      <c r="K935">
        <v>7</v>
      </c>
      <c r="L935" t="s">
        <v>35</v>
      </c>
      <c r="M935" t="s">
        <v>36</v>
      </c>
      <c r="N935" t="s">
        <v>37</v>
      </c>
      <c r="O935">
        <v>7</v>
      </c>
      <c r="P935" t="s">
        <v>42</v>
      </c>
      <c r="Q935">
        <v>2.5</v>
      </c>
      <c r="R935" t="str" cm="1">
        <f t="array" ref="R9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35" t="e">
        <f>IF(Table13[[#This Row],[Category All]]="Category 1", "Yes",NA())</f>
        <v>#N/A</v>
      </c>
      <c r="T935" t="str">
        <f>IF(Table13[[#This Row],[Category All]]="Category 2", "Yes",NA())</f>
        <v>Yes</v>
      </c>
      <c r="U935" t="e">
        <f>IF(Table13[[#This Row],[Category All]]="Category 3", "Yes",NA())</f>
        <v>#N/A</v>
      </c>
      <c r="V935">
        <f>SUM(1,(1/3)*(Table13[[#This Row],[Length]]-0.5),(1/3)*(Table13[[#This Row],[Diameter]]-0.4),(1/3)*(Table13[[#This Row],[Height]]-0.4)*Table13[[#This Row],[Whole_weight]]*0.5)</f>
        <v>0.97843208333333331</v>
      </c>
      <c r="W935" cm="1">
        <f t="array" ref="W9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0.78274566666666667</v>
      </c>
      <c r="X935" t="e">
        <f>IF(Table13[[#This Row],[Category All]]="Category 1",Table13[[#This Row],[Base Abalone Value]]*1.5,NA())</f>
        <v>#N/A</v>
      </c>
      <c r="Y935">
        <f>IF(Table13[[#This Row],[Category All]]="Category 2",Table13[[#This Row],[Base Abalone Value]]*0.8,NA())</f>
        <v>0.78274566666666667</v>
      </c>
      <c r="Z935" t="e">
        <f>IF(Table13[[#This Row],[Category All]]="Category 3",Table13[[#This Row],[Base Abalone Value]],NA())</f>
        <v>#N/A</v>
      </c>
      <c r="AA935" s="2" t="e">
        <f>IF(Table13[[#This Row],[Gender]]="M",Table13[[#This Row],[Whole_weight]],NA())</f>
        <v>#N/A</v>
      </c>
      <c r="AB935" s="2">
        <f>IF(Table13[[#This Row],[Gender]]="F",Table13[[#This Row],[Whole_weight]],NA())</f>
        <v>0.62949999999999995</v>
      </c>
      <c r="AC935" s="2" t="e">
        <f>IF(Table13[[#This Row],[Gender]]="I",Table13[[#This Row],[Whole_weight]],NA())</f>
        <v>#N/A</v>
      </c>
      <c r="AD935" s="2" t="e">
        <f>IF(Table13[[#This Row],[Gender]]="M",Table13[[#This Row],[Diameter]],NA())</f>
        <v>#N/A</v>
      </c>
      <c r="AE935" s="2">
        <f>IF(Table13[[#This Row],[Gender]]="F",Table13[[#This Row],[Diameter]],NA())</f>
        <v>0.4</v>
      </c>
      <c r="AF935" s="2" t="e">
        <f>IF(Table13[[#This Row],[Gender]]="I",Table13[[#This Row],[Diameter]],NA())</f>
        <v>#N/A</v>
      </c>
    </row>
    <row r="936" spans="1:32" x14ac:dyDescent="0.2">
      <c r="A936">
        <v>3067</v>
      </c>
      <c r="B936" t="s">
        <v>0</v>
      </c>
      <c r="C936">
        <v>0.64</v>
      </c>
      <c r="D936">
        <v>0.5</v>
      </c>
      <c r="E936">
        <v>0.15</v>
      </c>
      <c r="F936">
        <v>1.2015</v>
      </c>
      <c r="G936">
        <v>0.55900000000000005</v>
      </c>
      <c r="H936">
        <v>0.23100000000000001</v>
      </c>
      <c r="I936">
        <v>0.33550000000000002</v>
      </c>
      <c r="J936">
        <v>9</v>
      </c>
      <c r="K936">
        <v>13</v>
      </c>
      <c r="L936" t="s">
        <v>12</v>
      </c>
      <c r="M936" t="s">
        <v>13</v>
      </c>
      <c r="N936" t="s">
        <v>3</v>
      </c>
      <c r="O936">
        <v>2</v>
      </c>
      <c r="P936" t="s">
        <v>7</v>
      </c>
      <c r="Q936">
        <v>18</v>
      </c>
      <c r="R936" t="str" cm="1">
        <f t="array" ref="R9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36" t="e">
        <f>IF(Table13[[#This Row],[Category All]]="Category 1", "Yes",NA())</f>
        <v>#N/A</v>
      </c>
      <c r="T936" t="e">
        <f>IF(Table13[[#This Row],[Category All]]="Category 2", "Yes",NA())</f>
        <v>#N/A</v>
      </c>
      <c r="U936" t="str">
        <f>IF(Table13[[#This Row],[Category All]]="Category 3", "Yes",NA())</f>
        <v>Yes</v>
      </c>
      <c r="V936">
        <f>SUM(1,(1/3)*(Table13[[#This Row],[Length]]-0.5),(1/3)*(Table13[[#This Row],[Diameter]]-0.4),(1/3)*(Table13[[#This Row],[Height]]-0.4)*Table13[[#This Row],[Whole_weight]]*0.5)</f>
        <v>1.0299375000000002</v>
      </c>
      <c r="W936" cm="1">
        <f t="array" ref="W9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1.0299375000000002</v>
      </c>
      <c r="X936" t="e">
        <f>IF(Table13[[#This Row],[Category All]]="Category 1",Table13[[#This Row],[Base Abalone Value]]*1.5,NA())</f>
        <v>#N/A</v>
      </c>
      <c r="Y936" t="e">
        <f>IF(Table13[[#This Row],[Category All]]="Category 2",Table13[[#This Row],[Base Abalone Value]]*0.8,NA())</f>
        <v>#N/A</v>
      </c>
      <c r="Z936">
        <f>IF(Table13[[#This Row],[Category All]]="Category 3",Table13[[#This Row],[Base Abalone Value]],NA())</f>
        <v>1.0299375000000002</v>
      </c>
      <c r="AA936" s="2" t="e">
        <f>IF(Table13[[#This Row],[Gender]]="M",Table13[[#This Row],[Whole_weight]],NA())</f>
        <v>#N/A</v>
      </c>
      <c r="AB936" s="2">
        <f>IF(Table13[[#This Row],[Gender]]="F",Table13[[#This Row],[Whole_weight]],NA())</f>
        <v>1.2015</v>
      </c>
      <c r="AC936" s="2" t="e">
        <f>IF(Table13[[#This Row],[Gender]]="I",Table13[[#This Row],[Whole_weight]],NA())</f>
        <v>#N/A</v>
      </c>
      <c r="AD936" s="2" t="e">
        <f>IF(Table13[[#This Row],[Gender]]="M",Table13[[#This Row],[Diameter]],NA())</f>
        <v>#N/A</v>
      </c>
      <c r="AE936" s="2">
        <f>IF(Table13[[#This Row],[Gender]]="F",Table13[[#This Row],[Diameter]],NA())</f>
        <v>0.5</v>
      </c>
      <c r="AF936" s="2" t="e">
        <f>IF(Table13[[#This Row],[Gender]]="I",Table13[[#This Row],[Diameter]],NA())</f>
        <v>#N/A</v>
      </c>
    </row>
    <row r="937" spans="1:32" x14ac:dyDescent="0.2">
      <c r="A937">
        <v>1044</v>
      </c>
      <c r="B937" t="s">
        <v>15</v>
      </c>
      <c r="C937">
        <v>0.68</v>
      </c>
      <c r="D937">
        <v>0.53500000000000003</v>
      </c>
      <c r="E937">
        <v>0.185</v>
      </c>
      <c r="F937">
        <v>1.607</v>
      </c>
      <c r="G937">
        <v>0.72450000000000003</v>
      </c>
      <c r="H937">
        <v>0.32150000000000001</v>
      </c>
      <c r="I937">
        <v>0.498</v>
      </c>
      <c r="J937">
        <v>12</v>
      </c>
      <c r="K937">
        <v>11</v>
      </c>
      <c r="L937" t="s">
        <v>5</v>
      </c>
      <c r="M937" t="s">
        <v>6</v>
      </c>
      <c r="N937" t="s">
        <v>3</v>
      </c>
      <c r="O937">
        <v>6</v>
      </c>
      <c r="P937" t="s">
        <v>47</v>
      </c>
      <c r="Q937">
        <v>14.1</v>
      </c>
      <c r="R937" t="str" cm="1">
        <f t="array" ref="R9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37" t="e">
        <f>IF(Table13[[#This Row],[Category All]]="Category 1", "Yes",NA())</f>
        <v>#N/A</v>
      </c>
      <c r="T937" t="e">
        <f>IF(Table13[[#This Row],[Category All]]="Category 2", "Yes",NA())</f>
        <v>#N/A</v>
      </c>
      <c r="U937" t="str">
        <f>IF(Table13[[#This Row],[Category All]]="Category 3", "Yes",NA())</f>
        <v>Yes</v>
      </c>
      <c r="V937">
        <f>SUM(1,(1/3)*(Table13[[#This Row],[Length]]-0.5),(1/3)*(Table13[[#This Row],[Diameter]]-0.4),(1/3)*(Table13[[#This Row],[Height]]-0.4)*Table13[[#This Row],[Whole_weight]]*0.5)</f>
        <v>1.0474158333333332</v>
      </c>
      <c r="W937" cm="1">
        <f t="array" ref="W9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1.0474158333333332</v>
      </c>
      <c r="X937" t="e">
        <f>IF(Table13[[#This Row],[Category All]]="Category 1",Table13[[#This Row],[Base Abalone Value]]*1.5,NA())</f>
        <v>#N/A</v>
      </c>
      <c r="Y937" t="e">
        <f>IF(Table13[[#This Row],[Category All]]="Category 2",Table13[[#This Row],[Base Abalone Value]]*0.8,NA())</f>
        <v>#N/A</v>
      </c>
      <c r="Z937">
        <f>IF(Table13[[#This Row],[Category All]]="Category 3",Table13[[#This Row],[Base Abalone Value]],NA())</f>
        <v>1.0474158333333332</v>
      </c>
      <c r="AA937" s="2">
        <f>IF(Table13[[#This Row],[Gender]]="M",Table13[[#This Row],[Whole_weight]],NA())</f>
        <v>1.607</v>
      </c>
      <c r="AB937" s="2" t="e">
        <f>IF(Table13[[#This Row],[Gender]]="F",Table13[[#This Row],[Whole_weight]],NA())</f>
        <v>#N/A</v>
      </c>
      <c r="AC937" s="2" t="e">
        <f>IF(Table13[[#This Row],[Gender]]="I",Table13[[#This Row],[Whole_weight]],NA())</f>
        <v>#N/A</v>
      </c>
      <c r="AD937" s="2">
        <f>IF(Table13[[#This Row],[Gender]]="M",Table13[[#This Row],[Diameter]],NA())</f>
        <v>0.53500000000000003</v>
      </c>
      <c r="AE937" s="2" t="e">
        <f>IF(Table13[[#This Row],[Gender]]="F",Table13[[#This Row],[Diameter]],NA())</f>
        <v>#N/A</v>
      </c>
      <c r="AF937" s="2" t="e">
        <f>IF(Table13[[#This Row],[Gender]]="I",Table13[[#This Row],[Diameter]],NA())</f>
        <v>#N/A</v>
      </c>
    </row>
    <row r="938" spans="1:32" x14ac:dyDescent="0.2">
      <c r="A938">
        <v>3522</v>
      </c>
      <c r="B938" t="s">
        <v>11</v>
      </c>
      <c r="C938">
        <v>0.215</v>
      </c>
      <c r="D938">
        <v>0.15</v>
      </c>
      <c r="E938">
        <v>5.5E-2</v>
      </c>
      <c r="F938">
        <v>4.1000000000000002E-2</v>
      </c>
      <c r="G938">
        <v>1.4999999999999999E-2</v>
      </c>
      <c r="H938">
        <v>8.9999999999999993E-3</v>
      </c>
      <c r="I938">
        <v>1.2500000000000001E-2</v>
      </c>
      <c r="J938">
        <v>3</v>
      </c>
      <c r="K938">
        <v>8</v>
      </c>
      <c r="L938" t="s">
        <v>29</v>
      </c>
      <c r="M938" t="s">
        <v>30</v>
      </c>
      <c r="N938" t="s">
        <v>31</v>
      </c>
      <c r="O938">
        <v>4</v>
      </c>
      <c r="P938" t="s">
        <v>10</v>
      </c>
      <c r="Q938">
        <v>6.1</v>
      </c>
      <c r="R938" t="str" cm="1">
        <f t="array" ref="R9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38" t="e">
        <f>IF(Table13[[#This Row],[Category All]]="Category 1", "Yes",NA())</f>
        <v>#N/A</v>
      </c>
      <c r="T938" t="str">
        <f>IF(Table13[[#This Row],[Category All]]="Category 2", "Yes",NA())</f>
        <v>Yes</v>
      </c>
      <c r="U938" t="e">
        <f>IF(Table13[[#This Row],[Category All]]="Category 3", "Yes",NA())</f>
        <v>#N/A</v>
      </c>
      <c r="V938">
        <f>SUM(1,(1/3)*(Table13[[#This Row],[Length]]-0.5),(1/3)*(Table13[[#This Row],[Diameter]]-0.4),(1/3)*(Table13[[#This Row],[Height]]-0.4)*Table13[[#This Row],[Whole_weight]]*0.5)</f>
        <v>0.81930916666666664</v>
      </c>
      <c r="W938" cm="1">
        <f t="array" ref="W9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0.65544733333333338</v>
      </c>
      <c r="X938" t="e">
        <f>IF(Table13[[#This Row],[Category All]]="Category 1",Table13[[#This Row],[Base Abalone Value]]*1.5,NA())</f>
        <v>#N/A</v>
      </c>
      <c r="Y938">
        <f>IF(Table13[[#This Row],[Category All]]="Category 2",Table13[[#This Row],[Base Abalone Value]]*0.8,NA())</f>
        <v>0.65544733333333338</v>
      </c>
      <c r="Z938" t="e">
        <f>IF(Table13[[#This Row],[Category All]]="Category 3",Table13[[#This Row],[Base Abalone Value]],NA())</f>
        <v>#N/A</v>
      </c>
      <c r="AA938" s="2" t="e">
        <f>IF(Table13[[#This Row],[Gender]]="M",Table13[[#This Row],[Whole_weight]],NA())</f>
        <v>#N/A</v>
      </c>
      <c r="AB938" s="2" t="e">
        <f>IF(Table13[[#This Row],[Gender]]="F",Table13[[#This Row],[Whole_weight]],NA())</f>
        <v>#N/A</v>
      </c>
      <c r="AC938" s="2">
        <f>IF(Table13[[#This Row],[Gender]]="I",Table13[[#This Row],[Whole_weight]],NA())</f>
        <v>4.1000000000000002E-2</v>
      </c>
      <c r="AD938" s="2" t="e">
        <f>IF(Table13[[#This Row],[Gender]]="M",Table13[[#This Row],[Diameter]],NA())</f>
        <v>#N/A</v>
      </c>
      <c r="AE938" s="2" t="e">
        <f>IF(Table13[[#This Row],[Gender]]="F",Table13[[#This Row],[Diameter]],NA())</f>
        <v>#N/A</v>
      </c>
      <c r="AF938" s="2">
        <f>IF(Table13[[#This Row],[Gender]]="I",Table13[[#This Row],[Diameter]],NA())</f>
        <v>0.15</v>
      </c>
    </row>
    <row r="939" spans="1:32" x14ac:dyDescent="0.2">
      <c r="A939">
        <v>2285</v>
      </c>
      <c r="B939" t="s">
        <v>11</v>
      </c>
      <c r="C939">
        <v>0.40500000000000003</v>
      </c>
      <c r="D939">
        <v>0.315</v>
      </c>
      <c r="E939">
        <v>0.105</v>
      </c>
      <c r="F939">
        <v>0.34699999999999998</v>
      </c>
      <c r="G939">
        <v>0.1605</v>
      </c>
      <c r="H939">
        <v>7.85E-2</v>
      </c>
      <c r="I939">
        <v>0.1</v>
      </c>
      <c r="J939">
        <v>9</v>
      </c>
      <c r="K939">
        <v>11</v>
      </c>
      <c r="L939" t="s">
        <v>5</v>
      </c>
      <c r="M939" t="s">
        <v>6</v>
      </c>
      <c r="N939" t="s">
        <v>3</v>
      </c>
      <c r="O939">
        <v>6</v>
      </c>
      <c r="P939" t="s">
        <v>47</v>
      </c>
      <c r="Q939">
        <v>14.1</v>
      </c>
      <c r="R939" t="str" cm="1">
        <f t="array" ref="R9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39" t="e">
        <f>IF(Table13[[#This Row],[Category All]]="Category 1", "Yes",NA())</f>
        <v>#N/A</v>
      </c>
      <c r="T939" t="str">
        <f>IF(Table13[[#This Row],[Category All]]="Category 2", "Yes",NA())</f>
        <v>Yes</v>
      </c>
      <c r="U939" t="e">
        <f>IF(Table13[[#This Row],[Category All]]="Category 3", "Yes",NA())</f>
        <v>#N/A</v>
      </c>
      <c r="V939">
        <f>SUM(1,(1/3)*(Table13[[#This Row],[Length]]-0.5),(1/3)*(Table13[[#This Row],[Diameter]]-0.4),(1/3)*(Table13[[#This Row],[Height]]-0.4)*Table13[[#This Row],[Whole_weight]]*0.5)</f>
        <v>0.92293916666666675</v>
      </c>
      <c r="W939" cm="1">
        <f t="array" ref="W9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0.73835133333333347</v>
      </c>
      <c r="X939" t="e">
        <f>IF(Table13[[#This Row],[Category All]]="Category 1",Table13[[#This Row],[Base Abalone Value]]*1.5,NA())</f>
        <v>#N/A</v>
      </c>
      <c r="Y939">
        <f>IF(Table13[[#This Row],[Category All]]="Category 2",Table13[[#This Row],[Base Abalone Value]]*0.8,NA())</f>
        <v>0.73835133333333347</v>
      </c>
      <c r="Z939" t="e">
        <f>IF(Table13[[#This Row],[Category All]]="Category 3",Table13[[#This Row],[Base Abalone Value]],NA())</f>
        <v>#N/A</v>
      </c>
      <c r="AA939" s="2" t="e">
        <f>IF(Table13[[#This Row],[Gender]]="M",Table13[[#This Row],[Whole_weight]],NA())</f>
        <v>#N/A</v>
      </c>
      <c r="AB939" s="2" t="e">
        <f>IF(Table13[[#This Row],[Gender]]="F",Table13[[#This Row],[Whole_weight]],NA())</f>
        <v>#N/A</v>
      </c>
      <c r="AC939" s="2">
        <f>IF(Table13[[#This Row],[Gender]]="I",Table13[[#This Row],[Whole_weight]],NA())</f>
        <v>0.34699999999999998</v>
      </c>
      <c r="AD939" s="2" t="e">
        <f>IF(Table13[[#This Row],[Gender]]="M",Table13[[#This Row],[Diameter]],NA())</f>
        <v>#N/A</v>
      </c>
      <c r="AE939" s="2" t="e">
        <f>IF(Table13[[#This Row],[Gender]]="F",Table13[[#This Row],[Diameter]],NA())</f>
        <v>#N/A</v>
      </c>
      <c r="AF939" s="2">
        <f>IF(Table13[[#This Row],[Gender]]="I",Table13[[#This Row],[Diameter]],NA())</f>
        <v>0.315</v>
      </c>
    </row>
    <row r="940" spans="1:32" x14ac:dyDescent="0.2">
      <c r="A940">
        <v>1980</v>
      </c>
      <c r="B940" t="s">
        <v>15</v>
      </c>
      <c r="C940">
        <v>0.7</v>
      </c>
      <c r="D940">
        <v>0.55000000000000004</v>
      </c>
      <c r="E940">
        <v>0.19500000000000001</v>
      </c>
      <c r="F940">
        <v>1.6245000000000001</v>
      </c>
      <c r="G940">
        <v>0.67500000000000004</v>
      </c>
      <c r="H940">
        <v>0.34699999999999998</v>
      </c>
      <c r="I940">
        <v>0.53500000000000003</v>
      </c>
      <c r="J940">
        <v>13</v>
      </c>
      <c r="K940">
        <v>4</v>
      </c>
      <c r="L940" t="s">
        <v>52</v>
      </c>
      <c r="M940" t="s">
        <v>53</v>
      </c>
      <c r="N940" t="s">
        <v>54</v>
      </c>
      <c r="O940">
        <v>10</v>
      </c>
      <c r="P940" t="s">
        <v>38</v>
      </c>
      <c r="Q940">
        <v>24.1</v>
      </c>
      <c r="R940" t="str" cm="1">
        <f t="array" ref="R9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40" t="e">
        <f>IF(Table13[[#This Row],[Category All]]="Category 1", "Yes",NA())</f>
        <v>#N/A</v>
      </c>
      <c r="T940" t="e">
        <f>IF(Table13[[#This Row],[Category All]]="Category 2", "Yes",NA())</f>
        <v>#N/A</v>
      </c>
      <c r="U940" t="str">
        <f>IF(Table13[[#This Row],[Category All]]="Category 3", "Yes",NA())</f>
        <v>Yes</v>
      </c>
      <c r="V940">
        <f>SUM(1,(1/3)*(Table13[[#This Row],[Length]]-0.5),(1/3)*(Table13[[#This Row],[Diameter]]-0.4),(1/3)*(Table13[[#This Row],[Height]]-0.4)*Table13[[#This Row],[Whole_weight]]*0.5)</f>
        <v>1.0611629166666667</v>
      </c>
      <c r="W940" cm="1">
        <f t="array" ref="W9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1.0611629166666667</v>
      </c>
      <c r="X940" t="e">
        <f>IF(Table13[[#This Row],[Category All]]="Category 1",Table13[[#This Row],[Base Abalone Value]]*1.5,NA())</f>
        <v>#N/A</v>
      </c>
      <c r="Y940" t="e">
        <f>IF(Table13[[#This Row],[Category All]]="Category 2",Table13[[#This Row],[Base Abalone Value]]*0.8,NA())</f>
        <v>#N/A</v>
      </c>
      <c r="Z940">
        <f>IF(Table13[[#This Row],[Category All]]="Category 3",Table13[[#This Row],[Base Abalone Value]],NA())</f>
        <v>1.0611629166666667</v>
      </c>
      <c r="AA940" s="2">
        <f>IF(Table13[[#This Row],[Gender]]="M",Table13[[#This Row],[Whole_weight]],NA())</f>
        <v>1.6245000000000001</v>
      </c>
      <c r="AB940" s="2" t="e">
        <f>IF(Table13[[#This Row],[Gender]]="F",Table13[[#This Row],[Whole_weight]],NA())</f>
        <v>#N/A</v>
      </c>
      <c r="AC940" s="2" t="e">
        <f>IF(Table13[[#This Row],[Gender]]="I",Table13[[#This Row],[Whole_weight]],NA())</f>
        <v>#N/A</v>
      </c>
      <c r="AD940" s="2">
        <f>IF(Table13[[#This Row],[Gender]]="M",Table13[[#This Row],[Diameter]],NA())</f>
        <v>0.55000000000000004</v>
      </c>
      <c r="AE940" s="2" t="e">
        <f>IF(Table13[[#This Row],[Gender]]="F",Table13[[#This Row],[Diameter]],NA())</f>
        <v>#N/A</v>
      </c>
      <c r="AF940" s="2" t="e">
        <f>IF(Table13[[#This Row],[Gender]]="I",Table13[[#This Row],[Diameter]],NA())</f>
        <v>#N/A</v>
      </c>
    </row>
    <row r="941" spans="1:32" x14ac:dyDescent="0.2">
      <c r="A941">
        <v>3089</v>
      </c>
      <c r="B941" t="s">
        <v>11</v>
      </c>
      <c r="C941">
        <v>0.42499999999999999</v>
      </c>
      <c r="D941">
        <v>0.32</v>
      </c>
      <c r="E941">
        <v>8.5000000000000006E-2</v>
      </c>
      <c r="F941">
        <v>0.26200000000000001</v>
      </c>
      <c r="G941">
        <v>0.1235</v>
      </c>
      <c r="H941">
        <v>6.7000000000000004E-2</v>
      </c>
      <c r="I941">
        <v>7.2499999999999995E-2</v>
      </c>
      <c r="J941">
        <v>8</v>
      </c>
      <c r="K941">
        <v>2</v>
      </c>
      <c r="L941" t="s">
        <v>32</v>
      </c>
      <c r="M941" t="s">
        <v>33</v>
      </c>
      <c r="N941" t="s">
        <v>34</v>
      </c>
      <c r="O941">
        <v>7</v>
      </c>
      <c r="P941" t="s">
        <v>42</v>
      </c>
      <c r="Q941">
        <v>2.5</v>
      </c>
      <c r="R941" t="str" cm="1">
        <f t="array" ref="R9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41" t="e">
        <f>IF(Table13[[#This Row],[Category All]]="Category 1", "Yes",NA())</f>
        <v>#N/A</v>
      </c>
      <c r="T941" t="str">
        <f>IF(Table13[[#This Row],[Category All]]="Category 2", "Yes",NA())</f>
        <v>Yes</v>
      </c>
      <c r="U941" t="e">
        <f>IF(Table13[[#This Row],[Category All]]="Category 3", "Yes",NA())</f>
        <v>#N/A</v>
      </c>
      <c r="V941">
        <f>SUM(1,(1/3)*(Table13[[#This Row],[Length]]-0.5),(1/3)*(Table13[[#This Row],[Diameter]]-0.4),(1/3)*(Table13[[#This Row],[Height]]-0.4)*Table13[[#This Row],[Whole_weight]]*0.5)</f>
        <v>0.93457833333333329</v>
      </c>
      <c r="W941" cm="1">
        <f t="array" ref="W9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0.7476626666666667</v>
      </c>
      <c r="X941" t="e">
        <f>IF(Table13[[#This Row],[Category All]]="Category 1",Table13[[#This Row],[Base Abalone Value]]*1.5,NA())</f>
        <v>#N/A</v>
      </c>
      <c r="Y941">
        <f>IF(Table13[[#This Row],[Category All]]="Category 2",Table13[[#This Row],[Base Abalone Value]]*0.8,NA())</f>
        <v>0.7476626666666667</v>
      </c>
      <c r="Z941" t="e">
        <f>IF(Table13[[#This Row],[Category All]]="Category 3",Table13[[#This Row],[Base Abalone Value]],NA())</f>
        <v>#N/A</v>
      </c>
      <c r="AA941" s="2" t="e">
        <f>IF(Table13[[#This Row],[Gender]]="M",Table13[[#This Row],[Whole_weight]],NA())</f>
        <v>#N/A</v>
      </c>
      <c r="AB941" s="2" t="e">
        <f>IF(Table13[[#This Row],[Gender]]="F",Table13[[#This Row],[Whole_weight]],NA())</f>
        <v>#N/A</v>
      </c>
      <c r="AC941" s="2">
        <f>IF(Table13[[#This Row],[Gender]]="I",Table13[[#This Row],[Whole_weight]],NA())</f>
        <v>0.26200000000000001</v>
      </c>
      <c r="AD941" s="2" t="e">
        <f>IF(Table13[[#This Row],[Gender]]="M",Table13[[#This Row],[Diameter]],NA())</f>
        <v>#N/A</v>
      </c>
      <c r="AE941" s="2" t="e">
        <f>IF(Table13[[#This Row],[Gender]]="F",Table13[[#This Row],[Diameter]],NA())</f>
        <v>#N/A</v>
      </c>
      <c r="AF941" s="2">
        <f>IF(Table13[[#This Row],[Gender]]="I",Table13[[#This Row],[Diameter]],NA())</f>
        <v>0.32</v>
      </c>
    </row>
    <row r="942" spans="1:32" x14ac:dyDescent="0.2">
      <c r="A942">
        <v>3046</v>
      </c>
      <c r="B942" t="s">
        <v>0</v>
      </c>
      <c r="C942">
        <v>0.57999999999999996</v>
      </c>
      <c r="D942">
        <v>0.435</v>
      </c>
      <c r="E942">
        <v>0.155</v>
      </c>
      <c r="F942">
        <v>0.87849999999999995</v>
      </c>
      <c r="G942">
        <v>0.42499999999999999</v>
      </c>
      <c r="H942">
        <v>0.16850000000000001</v>
      </c>
      <c r="I942">
        <v>0.24249999999999999</v>
      </c>
      <c r="J942">
        <v>10</v>
      </c>
      <c r="K942">
        <v>4</v>
      </c>
      <c r="L942" t="s">
        <v>52</v>
      </c>
      <c r="M942" t="s">
        <v>53</v>
      </c>
      <c r="N942" t="s">
        <v>54</v>
      </c>
      <c r="O942">
        <v>7</v>
      </c>
      <c r="P942" t="s">
        <v>42</v>
      </c>
      <c r="Q942">
        <v>2.5</v>
      </c>
      <c r="R942" t="str" cm="1">
        <f t="array" ref="R9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42" t="e">
        <f>IF(Table13[[#This Row],[Category All]]="Category 1", "Yes",NA())</f>
        <v>#N/A</v>
      </c>
      <c r="T942" t="e">
        <f>IF(Table13[[#This Row],[Category All]]="Category 2", "Yes",NA())</f>
        <v>#N/A</v>
      </c>
      <c r="U942" t="str">
        <f>IF(Table13[[#This Row],[Category All]]="Category 3", "Yes",NA())</f>
        <v>Yes</v>
      </c>
      <c r="V942">
        <f>SUM(1,(1/3)*(Table13[[#This Row],[Length]]-0.5),(1/3)*(Table13[[#This Row],[Diameter]]-0.4),(1/3)*(Table13[[#This Row],[Height]]-0.4)*Table13[[#This Row],[Whole_weight]]*0.5)</f>
        <v>1.0024612500000001</v>
      </c>
      <c r="W942" cm="1">
        <f t="array" ref="W9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1.0024612500000001</v>
      </c>
      <c r="X942" t="e">
        <f>IF(Table13[[#This Row],[Category All]]="Category 1",Table13[[#This Row],[Base Abalone Value]]*1.5,NA())</f>
        <v>#N/A</v>
      </c>
      <c r="Y942" t="e">
        <f>IF(Table13[[#This Row],[Category All]]="Category 2",Table13[[#This Row],[Base Abalone Value]]*0.8,NA())</f>
        <v>#N/A</v>
      </c>
      <c r="Z942">
        <f>IF(Table13[[#This Row],[Category All]]="Category 3",Table13[[#This Row],[Base Abalone Value]],NA())</f>
        <v>1.0024612500000001</v>
      </c>
      <c r="AA942" s="2" t="e">
        <f>IF(Table13[[#This Row],[Gender]]="M",Table13[[#This Row],[Whole_weight]],NA())</f>
        <v>#N/A</v>
      </c>
      <c r="AB942" s="2">
        <f>IF(Table13[[#This Row],[Gender]]="F",Table13[[#This Row],[Whole_weight]],NA())</f>
        <v>0.87849999999999995</v>
      </c>
      <c r="AC942" s="2" t="e">
        <f>IF(Table13[[#This Row],[Gender]]="I",Table13[[#This Row],[Whole_weight]],NA())</f>
        <v>#N/A</v>
      </c>
      <c r="AD942" s="2" t="e">
        <f>IF(Table13[[#This Row],[Gender]]="M",Table13[[#This Row],[Diameter]],NA())</f>
        <v>#N/A</v>
      </c>
      <c r="AE942" s="2">
        <f>IF(Table13[[#This Row],[Gender]]="F",Table13[[#This Row],[Diameter]],NA())</f>
        <v>0.435</v>
      </c>
      <c r="AF942" s="2" t="e">
        <f>IF(Table13[[#This Row],[Gender]]="I",Table13[[#This Row],[Diameter]],NA())</f>
        <v>#N/A</v>
      </c>
    </row>
    <row r="943" spans="1:32" x14ac:dyDescent="0.2">
      <c r="A943">
        <v>3483</v>
      </c>
      <c r="B943" t="s">
        <v>11</v>
      </c>
      <c r="C943">
        <v>0.47</v>
      </c>
      <c r="D943">
        <v>0.35499999999999998</v>
      </c>
      <c r="E943">
        <v>0.14499999999999999</v>
      </c>
      <c r="F943">
        <v>0.44850000000000001</v>
      </c>
      <c r="G943">
        <v>0.156</v>
      </c>
      <c r="H943">
        <v>0.10199999999999999</v>
      </c>
      <c r="I943">
        <v>0.123</v>
      </c>
      <c r="J943">
        <v>7</v>
      </c>
      <c r="K943">
        <v>9</v>
      </c>
      <c r="L943" t="s">
        <v>20</v>
      </c>
      <c r="M943" t="s">
        <v>21</v>
      </c>
      <c r="N943" t="s">
        <v>22</v>
      </c>
      <c r="O943">
        <v>10</v>
      </c>
      <c r="P943" t="s">
        <v>38</v>
      </c>
      <c r="Q943">
        <v>24.1</v>
      </c>
      <c r="R943" t="str" cm="1">
        <f t="array" ref="R9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43" t="e">
        <f>IF(Table13[[#This Row],[Category All]]="Category 1", "Yes",NA())</f>
        <v>#N/A</v>
      </c>
      <c r="T943" t="str">
        <f>IF(Table13[[#This Row],[Category All]]="Category 2", "Yes",NA())</f>
        <v>Yes</v>
      </c>
      <c r="U943" t="e">
        <f>IF(Table13[[#This Row],[Category All]]="Category 3", "Yes",NA())</f>
        <v>#N/A</v>
      </c>
      <c r="V943">
        <f>SUM(1,(1/3)*(Table13[[#This Row],[Length]]-0.5),(1/3)*(Table13[[#This Row],[Diameter]]-0.4),(1/3)*(Table13[[#This Row],[Height]]-0.4)*Table13[[#This Row],[Whole_weight]]*0.5)</f>
        <v>0.95593874999999995</v>
      </c>
      <c r="W943" cm="1">
        <f t="array" ref="W9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0.76475099999999996</v>
      </c>
      <c r="X943" t="e">
        <f>IF(Table13[[#This Row],[Category All]]="Category 1",Table13[[#This Row],[Base Abalone Value]]*1.5,NA())</f>
        <v>#N/A</v>
      </c>
      <c r="Y943">
        <f>IF(Table13[[#This Row],[Category All]]="Category 2",Table13[[#This Row],[Base Abalone Value]]*0.8,NA())</f>
        <v>0.76475099999999996</v>
      </c>
      <c r="Z943" t="e">
        <f>IF(Table13[[#This Row],[Category All]]="Category 3",Table13[[#This Row],[Base Abalone Value]],NA())</f>
        <v>#N/A</v>
      </c>
      <c r="AA943" s="2" t="e">
        <f>IF(Table13[[#This Row],[Gender]]="M",Table13[[#This Row],[Whole_weight]],NA())</f>
        <v>#N/A</v>
      </c>
      <c r="AB943" s="2" t="e">
        <f>IF(Table13[[#This Row],[Gender]]="F",Table13[[#This Row],[Whole_weight]],NA())</f>
        <v>#N/A</v>
      </c>
      <c r="AC943" s="2">
        <f>IF(Table13[[#This Row],[Gender]]="I",Table13[[#This Row],[Whole_weight]],NA())</f>
        <v>0.44850000000000001</v>
      </c>
      <c r="AD943" s="2" t="e">
        <f>IF(Table13[[#This Row],[Gender]]="M",Table13[[#This Row],[Diameter]],NA())</f>
        <v>#N/A</v>
      </c>
      <c r="AE943" s="2" t="e">
        <f>IF(Table13[[#This Row],[Gender]]="F",Table13[[#This Row],[Diameter]],NA())</f>
        <v>#N/A</v>
      </c>
      <c r="AF943" s="2">
        <f>IF(Table13[[#This Row],[Gender]]="I",Table13[[#This Row],[Diameter]],NA())</f>
        <v>0.35499999999999998</v>
      </c>
    </row>
    <row r="944" spans="1:32" x14ac:dyDescent="0.2">
      <c r="A944">
        <v>2575</v>
      </c>
      <c r="B944" t="s">
        <v>15</v>
      </c>
      <c r="C944">
        <v>0.48</v>
      </c>
      <c r="D944">
        <v>0.37</v>
      </c>
      <c r="E944">
        <v>0.1</v>
      </c>
      <c r="F944">
        <v>0.51349999999999996</v>
      </c>
      <c r="G944">
        <v>0.24299999999999999</v>
      </c>
      <c r="H944">
        <v>0.10150000000000001</v>
      </c>
      <c r="I944">
        <v>0.13500000000000001</v>
      </c>
      <c r="J944">
        <v>8</v>
      </c>
      <c r="K944">
        <v>14</v>
      </c>
      <c r="L944" t="s">
        <v>23</v>
      </c>
      <c r="M944" t="s">
        <v>24</v>
      </c>
      <c r="N944" t="s">
        <v>25</v>
      </c>
      <c r="O944">
        <v>9</v>
      </c>
      <c r="P944" t="s">
        <v>46</v>
      </c>
      <c r="Q944">
        <v>1.9</v>
      </c>
      <c r="R944" t="str" cm="1">
        <f t="array" ref="R9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44" t="e">
        <f>IF(Table13[[#This Row],[Category All]]="Category 1", "Yes",NA())</f>
        <v>#N/A</v>
      </c>
      <c r="T944" t="str">
        <f>IF(Table13[[#This Row],[Category All]]="Category 2", "Yes",NA())</f>
        <v>Yes</v>
      </c>
      <c r="U944" t="e">
        <f>IF(Table13[[#This Row],[Category All]]="Category 3", "Yes",NA())</f>
        <v>#N/A</v>
      </c>
      <c r="V944">
        <f>SUM(1,(1/3)*(Table13[[#This Row],[Length]]-0.5),(1/3)*(Table13[[#This Row],[Diameter]]-0.4),(1/3)*(Table13[[#This Row],[Height]]-0.4)*Table13[[#This Row],[Whole_weight]]*0.5)</f>
        <v>0.95765833333333328</v>
      </c>
      <c r="W944" cm="1">
        <f t="array" ref="W9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0.76612666666666662</v>
      </c>
      <c r="X944" t="e">
        <f>IF(Table13[[#This Row],[Category All]]="Category 1",Table13[[#This Row],[Base Abalone Value]]*1.5,NA())</f>
        <v>#N/A</v>
      </c>
      <c r="Y944">
        <f>IF(Table13[[#This Row],[Category All]]="Category 2",Table13[[#This Row],[Base Abalone Value]]*0.8,NA())</f>
        <v>0.76612666666666662</v>
      </c>
      <c r="Z944" t="e">
        <f>IF(Table13[[#This Row],[Category All]]="Category 3",Table13[[#This Row],[Base Abalone Value]],NA())</f>
        <v>#N/A</v>
      </c>
      <c r="AA944" s="2">
        <f>IF(Table13[[#This Row],[Gender]]="M",Table13[[#This Row],[Whole_weight]],NA())</f>
        <v>0.51349999999999996</v>
      </c>
      <c r="AB944" s="2" t="e">
        <f>IF(Table13[[#This Row],[Gender]]="F",Table13[[#This Row],[Whole_weight]],NA())</f>
        <v>#N/A</v>
      </c>
      <c r="AC944" s="2" t="e">
        <f>IF(Table13[[#This Row],[Gender]]="I",Table13[[#This Row],[Whole_weight]],NA())</f>
        <v>#N/A</v>
      </c>
      <c r="AD944" s="2">
        <f>IF(Table13[[#This Row],[Gender]]="M",Table13[[#This Row],[Diameter]],NA())</f>
        <v>0.37</v>
      </c>
      <c r="AE944" s="2" t="e">
        <f>IF(Table13[[#This Row],[Gender]]="F",Table13[[#This Row],[Diameter]],NA())</f>
        <v>#N/A</v>
      </c>
      <c r="AF944" s="2" t="e">
        <f>IF(Table13[[#This Row],[Gender]]="I",Table13[[#This Row],[Diameter]],NA())</f>
        <v>#N/A</v>
      </c>
    </row>
    <row r="945" spans="1:32" x14ac:dyDescent="0.2">
      <c r="A945">
        <v>2562</v>
      </c>
      <c r="B945" t="s">
        <v>11</v>
      </c>
      <c r="C945">
        <v>0.44</v>
      </c>
      <c r="D945">
        <v>0.34499999999999997</v>
      </c>
      <c r="E945">
        <v>0.115</v>
      </c>
      <c r="F945">
        <v>0.54500000000000004</v>
      </c>
      <c r="G945">
        <v>0.26900000000000002</v>
      </c>
      <c r="H945">
        <v>0.111</v>
      </c>
      <c r="I945">
        <v>0.1305</v>
      </c>
      <c r="J945">
        <v>6</v>
      </c>
      <c r="K945">
        <v>15</v>
      </c>
      <c r="L945" t="s">
        <v>49</v>
      </c>
      <c r="M945" t="s">
        <v>50</v>
      </c>
      <c r="N945" t="s">
        <v>3</v>
      </c>
      <c r="O945">
        <v>6</v>
      </c>
      <c r="P945" t="s">
        <v>47</v>
      </c>
      <c r="Q945">
        <v>14.1</v>
      </c>
      <c r="R945" t="str" cm="1">
        <f t="array" ref="R9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45" t="e">
        <f>IF(Table13[[#This Row],[Category All]]="Category 1", "Yes",NA())</f>
        <v>#N/A</v>
      </c>
      <c r="T945" t="str">
        <f>IF(Table13[[#This Row],[Category All]]="Category 2", "Yes",NA())</f>
        <v>Yes</v>
      </c>
      <c r="U945" t="e">
        <f>IF(Table13[[#This Row],[Category All]]="Category 3", "Yes",NA())</f>
        <v>#N/A</v>
      </c>
      <c r="V945">
        <f>SUM(1,(1/3)*(Table13[[#This Row],[Length]]-0.5),(1/3)*(Table13[[#This Row],[Diameter]]-0.4),(1/3)*(Table13[[#This Row],[Height]]-0.4)*Table13[[#This Row],[Whole_weight]]*0.5)</f>
        <v>0.93577916666666672</v>
      </c>
      <c r="W945" cm="1">
        <f t="array" ref="W9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0.74862333333333342</v>
      </c>
      <c r="X945" t="e">
        <f>IF(Table13[[#This Row],[Category All]]="Category 1",Table13[[#This Row],[Base Abalone Value]]*1.5,NA())</f>
        <v>#N/A</v>
      </c>
      <c r="Y945">
        <f>IF(Table13[[#This Row],[Category All]]="Category 2",Table13[[#This Row],[Base Abalone Value]]*0.8,NA())</f>
        <v>0.74862333333333342</v>
      </c>
      <c r="Z945" t="e">
        <f>IF(Table13[[#This Row],[Category All]]="Category 3",Table13[[#This Row],[Base Abalone Value]],NA())</f>
        <v>#N/A</v>
      </c>
      <c r="AA945" s="2" t="e">
        <f>IF(Table13[[#This Row],[Gender]]="M",Table13[[#This Row],[Whole_weight]],NA())</f>
        <v>#N/A</v>
      </c>
      <c r="AB945" s="2" t="e">
        <f>IF(Table13[[#This Row],[Gender]]="F",Table13[[#This Row],[Whole_weight]],NA())</f>
        <v>#N/A</v>
      </c>
      <c r="AC945" s="2">
        <f>IF(Table13[[#This Row],[Gender]]="I",Table13[[#This Row],[Whole_weight]],NA())</f>
        <v>0.54500000000000004</v>
      </c>
      <c r="AD945" s="2" t="e">
        <f>IF(Table13[[#This Row],[Gender]]="M",Table13[[#This Row],[Diameter]],NA())</f>
        <v>#N/A</v>
      </c>
      <c r="AE945" s="2" t="e">
        <f>IF(Table13[[#This Row],[Gender]]="F",Table13[[#This Row],[Diameter]],NA())</f>
        <v>#N/A</v>
      </c>
      <c r="AF945" s="2">
        <f>IF(Table13[[#This Row],[Gender]]="I",Table13[[#This Row],[Diameter]],NA())</f>
        <v>0.34499999999999997</v>
      </c>
    </row>
    <row r="946" spans="1:32" x14ac:dyDescent="0.2">
      <c r="A946">
        <v>2730</v>
      </c>
      <c r="B946" t="s">
        <v>11</v>
      </c>
      <c r="C946">
        <v>0.40500000000000003</v>
      </c>
      <c r="D946">
        <v>0.30499999999999999</v>
      </c>
      <c r="E946">
        <v>0.1</v>
      </c>
      <c r="F946">
        <v>0.26800000000000002</v>
      </c>
      <c r="G946">
        <v>0.1145</v>
      </c>
      <c r="H946">
        <v>5.2999999999999999E-2</v>
      </c>
      <c r="I946">
        <v>8.5000000000000006E-2</v>
      </c>
      <c r="J946">
        <v>7</v>
      </c>
      <c r="K946">
        <v>6</v>
      </c>
      <c r="L946" t="s">
        <v>39</v>
      </c>
      <c r="M946" t="s">
        <v>40</v>
      </c>
      <c r="N946" t="s">
        <v>41</v>
      </c>
      <c r="O946">
        <v>10</v>
      </c>
      <c r="P946" t="s">
        <v>38</v>
      </c>
      <c r="Q946">
        <v>24.1</v>
      </c>
      <c r="R946" t="str" cm="1">
        <f t="array" ref="R9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46" t="e">
        <f>IF(Table13[[#This Row],[Category All]]="Category 1", "Yes",NA())</f>
        <v>#N/A</v>
      </c>
      <c r="T946" t="str">
        <f>IF(Table13[[#This Row],[Category All]]="Category 2", "Yes",NA())</f>
        <v>Yes</v>
      </c>
      <c r="U946" t="e">
        <f>IF(Table13[[#This Row],[Category All]]="Category 3", "Yes",NA())</f>
        <v>#N/A</v>
      </c>
      <c r="V946">
        <f>SUM(1,(1/3)*(Table13[[#This Row],[Length]]-0.5),(1/3)*(Table13[[#This Row],[Diameter]]-0.4),(1/3)*(Table13[[#This Row],[Height]]-0.4)*Table13[[#This Row],[Whole_weight]]*0.5)</f>
        <v>0.92326666666666679</v>
      </c>
      <c r="W946" cm="1">
        <f t="array" ref="W9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0.73861333333333345</v>
      </c>
      <c r="X946" t="e">
        <f>IF(Table13[[#This Row],[Category All]]="Category 1",Table13[[#This Row],[Base Abalone Value]]*1.5,NA())</f>
        <v>#N/A</v>
      </c>
      <c r="Y946">
        <f>IF(Table13[[#This Row],[Category All]]="Category 2",Table13[[#This Row],[Base Abalone Value]]*0.8,NA())</f>
        <v>0.73861333333333345</v>
      </c>
      <c r="Z946" t="e">
        <f>IF(Table13[[#This Row],[Category All]]="Category 3",Table13[[#This Row],[Base Abalone Value]],NA())</f>
        <v>#N/A</v>
      </c>
      <c r="AA946" s="2" t="e">
        <f>IF(Table13[[#This Row],[Gender]]="M",Table13[[#This Row],[Whole_weight]],NA())</f>
        <v>#N/A</v>
      </c>
      <c r="AB946" s="2" t="e">
        <f>IF(Table13[[#This Row],[Gender]]="F",Table13[[#This Row],[Whole_weight]],NA())</f>
        <v>#N/A</v>
      </c>
      <c r="AC946" s="2">
        <f>IF(Table13[[#This Row],[Gender]]="I",Table13[[#This Row],[Whole_weight]],NA())</f>
        <v>0.26800000000000002</v>
      </c>
      <c r="AD946" s="2" t="e">
        <f>IF(Table13[[#This Row],[Gender]]="M",Table13[[#This Row],[Diameter]],NA())</f>
        <v>#N/A</v>
      </c>
      <c r="AE946" s="2" t="e">
        <f>IF(Table13[[#This Row],[Gender]]="F",Table13[[#This Row],[Diameter]],NA())</f>
        <v>#N/A</v>
      </c>
      <c r="AF946" s="2">
        <f>IF(Table13[[#This Row],[Gender]]="I",Table13[[#This Row],[Diameter]],NA())</f>
        <v>0.30499999999999999</v>
      </c>
    </row>
    <row r="947" spans="1:32" x14ac:dyDescent="0.2">
      <c r="A947">
        <v>3325</v>
      </c>
      <c r="B947" t="s">
        <v>11</v>
      </c>
      <c r="C947">
        <v>0.375</v>
      </c>
      <c r="D947">
        <v>0.28000000000000003</v>
      </c>
      <c r="E947">
        <v>0.1</v>
      </c>
      <c r="F947">
        <v>0.25650000000000001</v>
      </c>
      <c r="G947">
        <v>0.11650000000000001</v>
      </c>
      <c r="H947">
        <v>5.8500000000000003E-2</v>
      </c>
      <c r="I947">
        <v>7.2499999999999995E-2</v>
      </c>
      <c r="J947">
        <v>12</v>
      </c>
      <c r="K947">
        <v>14</v>
      </c>
      <c r="L947" t="s">
        <v>23</v>
      </c>
      <c r="M947" t="s">
        <v>24</v>
      </c>
      <c r="N947" t="s">
        <v>25</v>
      </c>
      <c r="O947">
        <v>3</v>
      </c>
      <c r="P947" t="s">
        <v>48</v>
      </c>
      <c r="Q947">
        <v>3.6</v>
      </c>
      <c r="R947" t="str" cm="1">
        <f t="array" ref="R9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47" t="e">
        <f>IF(Table13[[#This Row],[Category All]]="Category 1", "Yes",NA())</f>
        <v>#N/A</v>
      </c>
      <c r="T947" t="str">
        <f>IF(Table13[[#This Row],[Category All]]="Category 2", "Yes",NA())</f>
        <v>Yes</v>
      </c>
      <c r="U947" t="e">
        <f>IF(Table13[[#This Row],[Category All]]="Category 3", "Yes",NA())</f>
        <v>#N/A</v>
      </c>
      <c r="V947">
        <f>SUM(1,(1/3)*(Table13[[#This Row],[Length]]-0.5),(1/3)*(Table13[[#This Row],[Diameter]]-0.4),(1/3)*(Table13[[#This Row],[Height]]-0.4)*Table13[[#This Row],[Whole_weight]]*0.5)</f>
        <v>0.90550833333333336</v>
      </c>
      <c r="W947" cm="1">
        <f t="array" ref="W9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0.72440666666666675</v>
      </c>
      <c r="X947" t="e">
        <f>IF(Table13[[#This Row],[Category All]]="Category 1",Table13[[#This Row],[Base Abalone Value]]*1.5,NA())</f>
        <v>#N/A</v>
      </c>
      <c r="Y947">
        <f>IF(Table13[[#This Row],[Category All]]="Category 2",Table13[[#This Row],[Base Abalone Value]]*0.8,NA())</f>
        <v>0.72440666666666675</v>
      </c>
      <c r="Z947" t="e">
        <f>IF(Table13[[#This Row],[Category All]]="Category 3",Table13[[#This Row],[Base Abalone Value]],NA())</f>
        <v>#N/A</v>
      </c>
      <c r="AA947" s="2" t="e">
        <f>IF(Table13[[#This Row],[Gender]]="M",Table13[[#This Row],[Whole_weight]],NA())</f>
        <v>#N/A</v>
      </c>
      <c r="AB947" s="2" t="e">
        <f>IF(Table13[[#This Row],[Gender]]="F",Table13[[#This Row],[Whole_weight]],NA())</f>
        <v>#N/A</v>
      </c>
      <c r="AC947" s="2">
        <f>IF(Table13[[#This Row],[Gender]]="I",Table13[[#This Row],[Whole_weight]],NA())</f>
        <v>0.25650000000000001</v>
      </c>
      <c r="AD947" s="2" t="e">
        <f>IF(Table13[[#This Row],[Gender]]="M",Table13[[#This Row],[Diameter]],NA())</f>
        <v>#N/A</v>
      </c>
      <c r="AE947" s="2" t="e">
        <f>IF(Table13[[#This Row],[Gender]]="F",Table13[[#This Row],[Diameter]],NA())</f>
        <v>#N/A</v>
      </c>
      <c r="AF947" s="2">
        <f>IF(Table13[[#This Row],[Gender]]="I",Table13[[#This Row],[Diameter]],NA())</f>
        <v>0.28000000000000003</v>
      </c>
    </row>
    <row r="948" spans="1:32" x14ac:dyDescent="0.2">
      <c r="A948">
        <v>3292</v>
      </c>
      <c r="B948" t="s">
        <v>15</v>
      </c>
      <c r="C948">
        <v>0.53</v>
      </c>
      <c r="D948">
        <v>0.40500000000000003</v>
      </c>
      <c r="E948">
        <v>0.13</v>
      </c>
      <c r="F948">
        <v>0.73799999999999999</v>
      </c>
      <c r="G948">
        <v>0.28449999999999998</v>
      </c>
      <c r="H948">
        <v>0.17</v>
      </c>
      <c r="I948">
        <v>0.193</v>
      </c>
      <c r="J948">
        <v>9</v>
      </c>
      <c r="K948">
        <v>13</v>
      </c>
      <c r="L948" t="s">
        <v>12</v>
      </c>
      <c r="M948" t="s">
        <v>13</v>
      </c>
      <c r="N948" t="s">
        <v>3</v>
      </c>
      <c r="O948">
        <v>3</v>
      </c>
      <c r="P948" t="s">
        <v>48</v>
      </c>
      <c r="Q948">
        <v>3.6</v>
      </c>
      <c r="R948" t="str" cm="1">
        <f t="array" ref="R9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48" t="e">
        <f>IF(Table13[[#This Row],[Category All]]="Category 1", "Yes",NA())</f>
        <v>#N/A</v>
      </c>
      <c r="T948" t="str">
        <f>IF(Table13[[#This Row],[Category All]]="Category 2", "Yes",NA())</f>
        <v>Yes</v>
      </c>
      <c r="U948" t="e">
        <f>IF(Table13[[#This Row],[Category All]]="Category 3", "Yes",NA())</f>
        <v>#N/A</v>
      </c>
      <c r="V948">
        <f>SUM(1,(1/3)*(Table13[[#This Row],[Length]]-0.5),(1/3)*(Table13[[#This Row],[Diameter]]-0.4),(1/3)*(Table13[[#This Row],[Height]]-0.4)*Table13[[#This Row],[Whole_weight]]*0.5)</f>
        <v>0.97845666666666675</v>
      </c>
      <c r="W948" cm="1">
        <f t="array" ref="W9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0.78276533333333342</v>
      </c>
      <c r="X948" t="e">
        <f>IF(Table13[[#This Row],[Category All]]="Category 1",Table13[[#This Row],[Base Abalone Value]]*1.5,NA())</f>
        <v>#N/A</v>
      </c>
      <c r="Y948">
        <f>IF(Table13[[#This Row],[Category All]]="Category 2",Table13[[#This Row],[Base Abalone Value]]*0.8,NA())</f>
        <v>0.78276533333333342</v>
      </c>
      <c r="Z948" t="e">
        <f>IF(Table13[[#This Row],[Category All]]="Category 3",Table13[[#This Row],[Base Abalone Value]],NA())</f>
        <v>#N/A</v>
      </c>
      <c r="AA948" s="2">
        <f>IF(Table13[[#This Row],[Gender]]="M",Table13[[#This Row],[Whole_weight]],NA())</f>
        <v>0.73799999999999999</v>
      </c>
      <c r="AB948" s="2" t="e">
        <f>IF(Table13[[#This Row],[Gender]]="F",Table13[[#This Row],[Whole_weight]],NA())</f>
        <v>#N/A</v>
      </c>
      <c r="AC948" s="2" t="e">
        <f>IF(Table13[[#This Row],[Gender]]="I",Table13[[#This Row],[Whole_weight]],NA())</f>
        <v>#N/A</v>
      </c>
      <c r="AD948" s="2">
        <f>IF(Table13[[#This Row],[Gender]]="M",Table13[[#This Row],[Diameter]],NA())</f>
        <v>0.40500000000000003</v>
      </c>
      <c r="AE948" s="2" t="e">
        <f>IF(Table13[[#This Row],[Gender]]="F",Table13[[#This Row],[Diameter]],NA())</f>
        <v>#N/A</v>
      </c>
      <c r="AF948" s="2" t="e">
        <f>IF(Table13[[#This Row],[Gender]]="I",Table13[[#This Row],[Diameter]],NA())</f>
        <v>#N/A</v>
      </c>
    </row>
    <row r="949" spans="1:32" x14ac:dyDescent="0.2">
      <c r="A949">
        <v>3594</v>
      </c>
      <c r="B949" t="s">
        <v>0</v>
      </c>
      <c r="C949">
        <v>0.65500000000000003</v>
      </c>
      <c r="D949">
        <v>0.53</v>
      </c>
      <c r="E949">
        <v>0.16500000000000001</v>
      </c>
      <c r="F949">
        <v>1.2835000000000001</v>
      </c>
      <c r="G949">
        <v>0.58299999999999996</v>
      </c>
      <c r="H949">
        <v>0.1255</v>
      </c>
      <c r="I949">
        <v>0.4</v>
      </c>
      <c r="J949">
        <v>8</v>
      </c>
      <c r="K949">
        <v>7</v>
      </c>
      <c r="L949" t="s">
        <v>35</v>
      </c>
      <c r="M949" t="s">
        <v>36</v>
      </c>
      <c r="N949" t="s">
        <v>37</v>
      </c>
      <c r="O949">
        <v>1</v>
      </c>
      <c r="P949" t="s">
        <v>4</v>
      </c>
      <c r="Q949">
        <v>22.1</v>
      </c>
      <c r="R949" t="str" cm="1">
        <f t="array" ref="R9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49" t="e">
        <f>IF(Table13[[#This Row],[Category All]]="Category 1", "Yes",NA())</f>
        <v>#N/A</v>
      </c>
      <c r="T949" t="e">
        <f>IF(Table13[[#This Row],[Category All]]="Category 2", "Yes",NA())</f>
        <v>#N/A</v>
      </c>
      <c r="U949" t="str">
        <f>IF(Table13[[#This Row],[Category All]]="Category 3", "Yes",NA())</f>
        <v>Yes</v>
      </c>
      <c r="V949">
        <f>SUM(1,(1/3)*(Table13[[#This Row],[Length]]-0.5),(1/3)*(Table13[[#This Row],[Diameter]]-0.4),(1/3)*(Table13[[#This Row],[Height]]-0.4)*Table13[[#This Row],[Whole_weight]]*0.5)</f>
        <v>1.0447295833333334</v>
      </c>
      <c r="W949" cm="1">
        <f t="array" ref="W9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1.0447295833333334</v>
      </c>
      <c r="X949" t="e">
        <f>IF(Table13[[#This Row],[Category All]]="Category 1",Table13[[#This Row],[Base Abalone Value]]*1.5,NA())</f>
        <v>#N/A</v>
      </c>
      <c r="Y949" t="e">
        <f>IF(Table13[[#This Row],[Category All]]="Category 2",Table13[[#This Row],[Base Abalone Value]]*0.8,NA())</f>
        <v>#N/A</v>
      </c>
      <c r="Z949">
        <f>IF(Table13[[#This Row],[Category All]]="Category 3",Table13[[#This Row],[Base Abalone Value]],NA())</f>
        <v>1.0447295833333334</v>
      </c>
      <c r="AA949" s="2" t="e">
        <f>IF(Table13[[#This Row],[Gender]]="M",Table13[[#This Row],[Whole_weight]],NA())</f>
        <v>#N/A</v>
      </c>
      <c r="AB949" s="2">
        <f>IF(Table13[[#This Row],[Gender]]="F",Table13[[#This Row],[Whole_weight]],NA())</f>
        <v>1.2835000000000001</v>
      </c>
      <c r="AC949" s="2" t="e">
        <f>IF(Table13[[#This Row],[Gender]]="I",Table13[[#This Row],[Whole_weight]],NA())</f>
        <v>#N/A</v>
      </c>
      <c r="AD949" s="2" t="e">
        <f>IF(Table13[[#This Row],[Gender]]="M",Table13[[#This Row],[Diameter]],NA())</f>
        <v>#N/A</v>
      </c>
      <c r="AE949" s="2">
        <f>IF(Table13[[#This Row],[Gender]]="F",Table13[[#This Row],[Diameter]],NA())</f>
        <v>0.53</v>
      </c>
      <c r="AF949" s="2" t="e">
        <f>IF(Table13[[#This Row],[Gender]]="I",Table13[[#This Row],[Diameter]],NA())</f>
        <v>#N/A</v>
      </c>
    </row>
    <row r="950" spans="1:32" x14ac:dyDescent="0.2">
      <c r="A950">
        <v>3278</v>
      </c>
      <c r="B950" t="s">
        <v>0</v>
      </c>
      <c r="C950">
        <v>0.46500000000000002</v>
      </c>
      <c r="D950">
        <v>0.39</v>
      </c>
      <c r="E950">
        <v>0.14000000000000001</v>
      </c>
      <c r="F950">
        <v>0.55549999999999999</v>
      </c>
      <c r="G950">
        <v>0.21299999999999999</v>
      </c>
      <c r="H950">
        <v>0.1075</v>
      </c>
      <c r="I950">
        <v>0.215</v>
      </c>
      <c r="J950">
        <v>15</v>
      </c>
      <c r="K950">
        <v>7</v>
      </c>
      <c r="L950" t="s">
        <v>35</v>
      </c>
      <c r="M950" t="s">
        <v>36</v>
      </c>
      <c r="N950" t="s">
        <v>37</v>
      </c>
      <c r="O950">
        <v>6</v>
      </c>
      <c r="P950" t="s">
        <v>47</v>
      </c>
      <c r="Q950">
        <v>14.1</v>
      </c>
      <c r="R950" t="str" cm="1">
        <f t="array" ref="R9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50" t="e">
        <f>IF(Table13[[#This Row],[Category All]]="Category 1", "Yes",NA())</f>
        <v>#N/A</v>
      </c>
      <c r="T950" t="str">
        <f>IF(Table13[[#This Row],[Category All]]="Category 2", "Yes",NA())</f>
        <v>Yes</v>
      </c>
      <c r="U950" t="e">
        <f>IF(Table13[[#This Row],[Category All]]="Category 3", "Yes",NA())</f>
        <v>#N/A</v>
      </c>
      <c r="V950">
        <f>SUM(1,(1/3)*(Table13[[#This Row],[Length]]-0.5),(1/3)*(Table13[[#This Row],[Diameter]]-0.4),(1/3)*(Table13[[#This Row],[Height]]-0.4)*Table13[[#This Row],[Whole_weight]]*0.5)</f>
        <v>0.96092833333333327</v>
      </c>
      <c r="W950" cm="1">
        <f t="array" ref="W9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0.76874266666666669</v>
      </c>
      <c r="X950" t="e">
        <f>IF(Table13[[#This Row],[Category All]]="Category 1",Table13[[#This Row],[Base Abalone Value]]*1.5,NA())</f>
        <v>#N/A</v>
      </c>
      <c r="Y950">
        <f>IF(Table13[[#This Row],[Category All]]="Category 2",Table13[[#This Row],[Base Abalone Value]]*0.8,NA())</f>
        <v>0.76874266666666669</v>
      </c>
      <c r="Z950" t="e">
        <f>IF(Table13[[#This Row],[Category All]]="Category 3",Table13[[#This Row],[Base Abalone Value]],NA())</f>
        <v>#N/A</v>
      </c>
      <c r="AA950" s="2" t="e">
        <f>IF(Table13[[#This Row],[Gender]]="M",Table13[[#This Row],[Whole_weight]],NA())</f>
        <v>#N/A</v>
      </c>
      <c r="AB950" s="2">
        <f>IF(Table13[[#This Row],[Gender]]="F",Table13[[#This Row],[Whole_weight]],NA())</f>
        <v>0.55549999999999999</v>
      </c>
      <c r="AC950" s="2" t="e">
        <f>IF(Table13[[#This Row],[Gender]]="I",Table13[[#This Row],[Whole_weight]],NA())</f>
        <v>#N/A</v>
      </c>
      <c r="AD950" s="2" t="e">
        <f>IF(Table13[[#This Row],[Gender]]="M",Table13[[#This Row],[Diameter]],NA())</f>
        <v>#N/A</v>
      </c>
      <c r="AE950" s="2">
        <f>IF(Table13[[#This Row],[Gender]]="F",Table13[[#This Row],[Diameter]],NA())</f>
        <v>0.39</v>
      </c>
      <c r="AF950" s="2" t="e">
        <f>IF(Table13[[#This Row],[Gender]]="I",Table13[[#This Row],[Diameter]],NA())</f>
        <v>#N/A</v>
      </c>
    </row>
    <row r="951" spans="1:32" x14ac:dyDescent="0.2">
      <c r="A951">
        <v>3385</v>
      </c>
      <c r="B951" t="s">
        <v>0</v>
      </c>
      <c r="C951">
        <v>0.30499999999999999</v>
      </c>
      <c r="D951">
        <v>0.22500000000000001</v>
      </c>
      <c r="E951">
        <v>7.0000000000000007E-2</v>
      </c>
      <c r="F951">
        <v>0.14849999999999999</v>
      </c>
      <c r="G951">
        <v>5.8500000000000003E-2</v>
      </c>
      <c r="H951">
        <v>3.3500000000000002E-2</v>
      </c>
      <c r="I951">
        <v>4.4999999999999998E-2</v>
      </c>
      <c r="J951">
        <v>7</v>
      </c>
      <c r="K951">
        <v>10</v>
      </c>
      <c r="L951" t="s">
        <v>16</v>
      </c>
      <c r="M951" t="s">
        <v>17</v>
      </c>
      <c r="N951" t="s">
        <v>18</v>
      </c>
      <c r="O951">
        <v>8</v>
      </c>
      <c r="P951" t="s">
        <v>19</v>
      </c>
      <c r="Q951">
        <v>12.3</v>
      </c>
      <c r="R951" t="str" cm="1">
        <f t="array" ref="R9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51" t="e">
        <f>IF(Table13[[#This Row],[Category All]]="Category 1", "Yes",NA())</f>
        <v>#N/A</v>
      </c>
      <c r="T951" t="str">
        <f>IF(Table13[[#This Row],[Category All]]="Category 2", "Yes",NA())</f>
        <v>Yes</v>
      </c>
      <c r="U951" t="e">
        <f>IF(Table13[[#This Row],[Category All]]="Category 3", "Yes",NA())</f>
        <v>#N/A</v>
      </c>
      <c r="V951">
        <f>SUM(1,(1/3)*(Table13[[#This Row],[Length]]-0.5),(1/3)*(Table13[[#This Row],[Diameter]]-0.4),(1/3)*(Table13[[#This Row],[Height]]-0.4)*Table13[[#This Row],[Whole_weight]]*0.5)</f>
        <v>0.86849916666666671</v>
      </c>
      <c r="W951" cm="1">
        <f t="array" ref="W9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0.69479933333333344</v>
      </c>
      <c r="X951" t="e">
        <f>IF(Table13[[#This Row],[Category All]]="Category 1",Table13[[#This Row],[Base Abalone Value]]*1.5,NA())</f>
        <v>#N/A</v>
      </c>
      <c r="Y951">
        <f>IF(Table13[[#This Row],[Category All]]="Category 2",Table13[[#This Row],[Base Abalone Value]]*0.8,NA())</f>
        <v>0.69479933333333344</v>
      </c>
      <c r="Z951" t="e">
        <f>IF(Table13[[#This Row],[Category All]]="Category 3",Table13[[#This Row],[Base Abalone Value]],NA())</f>
        <v>#N/A</v>
      </c>
      <c r="AA951" s="2" t="e">
        <f>IF(Table13[[#This Row],[Gender]]="M",Table13[[#This Row],[Whole_weight]],NA())</f>
        <v>#N/A</v>
      </c>
      <c r="AB951" s="2">
        <f>IF(Table13[[#This Row],[Gender]]="F",Table13[[#This Row],[Whole_weight]],NA())</f>
        <v>0.14849999999999999</v>
      </c>
      <c r="AC951" s="2" t="e">
        <f>IF(Table13[[#This Row],[Gender]]="I",Table13[[#This Row],[Whole_weight]],NA())</f>
        <v>#N/A</v>
      </c>
      <c r="AD951" s="2" t="e">
        <f>IF(Table13[[#This Row],[Gender]]="M",Table13[[#This Row],[Diameter]],NA())</f>
        <v>#N/A</v>
      </c>
      <c r="AE951" s="2">
        <f>IF(Table13[[#This Row],[Gender]]="F",Table13[[#This Row],[Diameter]],NA())</f>
        <v>0.22500000000000001</v>
      </c>
      <c r="AF951" s="2" t="e">
        <f>IF(Table13[[#This Row],[Gender]]="I",Table13[[#This Row],[Diameter]],NA())</f>
        <v>#N/A</v>
      </c>
    </row>
    <row r="952" spans="1:32" x14ac:dyDescent="0.2">
      <c r="A952">
        <v>1859</v>
      </c>
      <c r="B952" t="s">
        <v>0</v>
      </c>
      <c r="C952">
        <v>0.51</v>
      </c>
      <c r="D952">
        <v>0.4</v>
      </c>
      <c r="E952">
        <v>0.12</v>
      </c>
      <c r="F952">
        <v>0.70050000000000001</v>
      </c>
      <c r="G952">
        <v>0.34699999999999998</v>
      </c>
      <c r="H952">
        <v>0.1105</v>
      </c>
      <c r="I952">
        <v>0.19500000000000001</v>
      </c>
      <c r="J952">
        <v>10</v>
      </c>
      <c r="K952">
        <v>2</v>
      </c>
      <c r="L952" t="s">
        <v>32</v>
      </c>
      <c r="M952" t="s">
        <v>33</v>
      </c>
      <c r="N952" t="s">
        <v>34</v>
      </c>
      <c r="O952">
        <v>8</v>
      </c>
      <c r="P952" t="s">
        <v>19</v>
      </c>
      <c r="Q952">
        <v>12.3</v>
      </c>
      <c r="R952" t="str" cm="1">
        <f t="array" ref="R9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52" t="e">
        <f>IF(Table13[[#This Row],[Category All]]="Category 1", "Yes",NA())</f>
        <v>#N/A</v>
      </c>
      <c r="T952" t="str">
        <f>IF(Table13[[#This Row],[Category All]]="Category 2", "Yes",NA())</f>
        <v>Yes</v>
      </c>
      <c r="U952" t="e">
        <f>IF(Table13[[#This Row],[Category All]]="Category 3", "Yes",NA())</f>
        <v>#N/A</v>
      </c>
      <c r="V952">
        <f>SUM(1,(1/3)*(Table13[[#This Row],[Length]]-0.5),(1/3)*(Table13[[#This Row],[Diameter]]-0.4),(1/3)*(Table13[[#This Row],[Height]]-0.4)*Table13[[#This Row],[Whole_weight]]*0.5)</f>
        <v>0.97064333333333341</v>
      </c>
      <c r="W952" cm="1">
        <f t="array" ref="W9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0.7765146666666668</v>
      </c>
      <c r="X952" t="e">
        <f>IF(Table13[[#This Row],[Category All]]="Category 1",Table13[[#This Row],[Base Abalone Value]]*1.5,NA())</f>
        <v>#N/A</v>
      </c>
      <c r="Y952">
        <f>IF(Table13[[#This Row],[Category All]]="Category 2",Table13[[#This Row],[Base Abalone Value]]*0.8,NA())</f>
        <v>0.7765146666666668</v>
      </c>
      <c r="Z952" t="e">
        <f>IF(Table13[[#This Row],[Category All]]="Category 3",Table13[[#This Row],[Base Abalone Value]],NA())</f>
        <v>#N/A</v>
      </c>
      <c r="AA952" s="2" t="e">
        <f>IF(Table13[[#This Row],[Gender]]="M",Table13[[#This Row],[Whole_weight]],NA())</f>
        <v>#N/A</v>
      </c>
      <c r="AB952" s="2">
        <f>IF(Table13[[#This Row],[Gender]]="F",Table13[[#This Row],[Whole_weight]],NA())</f>
        <v>0.70050000000000001</v>
      </c>
      <c r="AC952" s="2" t="e">
        <f>IF(Table13[[#This Row],[Gender]]="I",Table13[[#This Row],[Whole_weight]],NA())</f>
        <v>#N/A</v>
      </c>
      <c r="AD952" s="2" t="e">
        <f>IF(Table13[[#This Row],[Gender]]="M",Table13[[#This Row],[Diameter]],NA())</f>
        <v>#N/A</v>
      </c>
      <c r="AE952" s="2">
        <f>IF(Table13[[#This Row],[Gender]]="F",Table13[[#This Row],[Diameter]],NA())</f>
        <v>0.4</v>
      </c>
      <c r="AF952" s="2" t="e">
        <f>IF(Table13[[#This Row],[Gender]]="I",Table13[[#This Row],[Diameter]],NA())</f>
        <v>#N/A</v>
      </c>
    </row>
    <row r="953" spans="1:32" x14ac:dyDescent="0.2">
      <c r="A953">
        <v>3671</v>
      </c>
      <c r="B953" t="s">
        <v>15</v>
      </c>
      <c r="C953">
        <v>0.59</v>
      </c>
      <c r="D953">
        <v>0.46500000000000002</v>
      </c>
      <c r="E953">
        <v>0.13500000000000001</v>
      </c>
      <c r="F953">
        <v>0.98950000000000005</v>
      </c>
      <c r="G953">
        <v>0.42349999999999999</v>
      </c>
      <c r="H953">
        <v>0.19900000000000001</v>
      </c>
      <c r="I953">
        <v>0.28000000000000003</v>
      </c>
      <c r="J953">
        <v>8</v>
      </c>
      <c r="K953">
        <v>8</v>
      </c>
      <c r="L953" t="s">
        <v>29</v>
      </c>
      <c r="M953" t="s">
        <v>30</v>
      </c>
      <c r="N953" t="s">
        <v>31</v>
      </c>
      <c r="O953">
        <v>4</v>
      </c>
      <c r="P953" t="s">
        <v>10</v>
      </c>
      <c r="Q953">
        <v>6.1</v>
      </c>
      <c r="R953" t="str" cm="1">
        <f t="array" ref="R9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53" t="e">
        <f>IF(Table13[[#This Row],[Category All]]="Category 1", "Yes",NA())</f>
        <v>#N/A</v>
      </c>
      <c r="T953" t="e">
        <f>IF(Table13[[#This Row],[Category All]]="Category 2", "Yes",NA())</f>
        <v>#N/A</v>
      </c>
      <c r="U953" t="str">
        <f>IF(Table13[[#This Row],[Category All]]="Category 3", "Yes",NA())</f>
        <v>Yes</v>
      </c>
      <c r="V953">
        <f>SUM(1,(1/3)*(Table13[[#This Row],[Length]]-0.5),(1/3)*(Table13[[#This Row],[Diameter]]-0.4),(1/3)*(Table13[[#This Row],[Height]]-0.4)*Table13[[#This Row],[Whole_weight]]*0.5)</f>
        <v>1.00796375</v>
      </c>
      <c r="W953" cm="1">
        <f t="array" ref="W9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1.00796375</v>
      </c>
      <c r="X953" t="e">
        <f>IF(Table13[[#This Row],[Category All]]="Category 1",Table13[[#This Row],[Base Abalone Value]]*1.5,NA())</f>
        <v>#N/A</v>
      </c>
      <c r="Y953" t="e">
        <f>IF(Table13[[#This Row],[Category All]]="Category 2",Table13[[#This Row],[Base Abalone Value]]*0.8,NA())</f>
        <v>#N/A</v>
      </c>
      <c r="Z953">
        <f>IF(Table13[[#This Row],[Category All]]="Category 3",Table13[[#This Row],[Base Abalone Value]],NA())</f>
        <v>1.00796375</v>
      </c>
      <c r="AA953" s="2">
        <f>IF(Table13[[#This Row],[Gender]]="M",Table13[[#This Row],[Whole_weight]],NA())</f>
        <v>0.98950000000000005</v>
      </c>
      <c r="AB953" s="2" t="e">
        <f>IF(Table13[[#This Row],[Gender]]="F",Table13[[#This Row],[Whole_weight]],NA())</f>
        <v>#N/A</v>
      </c>
      <c r="AC953" s="2" t="e">
        <f>IF(Table13[[#This Row],[Gender]]="I",Table13[[#This Row],[Whole_weight]],NA())</f>
        <v>#N/A</v>
      </c>
      <c r="AD953" s="2">
        <f>IF(Table13[[#This Row],[Gender]]="M",Table13[[#This Row],[Diameter]],NA())</f>
        <v>0.46500000000000002</v>
      </c>
      <c r="AE953" s="2" t="e">
        <f>IF(Table13[[#This Row],[Gender]]="F",Table13[[#This Row],[Diameter]],NA())</f>
        <v>#N/A</v>
      </c>
      <c r="AF953" s="2" t="e">
        <f>IF(Table13[[#This Row],[Gender]]="I",Table13[[#This Row],[Diameter]],NA())</f>
        <v>#N/A</v>
      </c>
    </row>
    <row r="954" spans="1:32" x14ac:dyDescent="0.2">
      <c r="A954">
        <v>1162</v>
      </c>
      <c r="B954" t="s">
        <v>15</v>
      </c>
      <c r="C954">
        <v>0.61</v>
      </c>
      <c r="D954">
        <v>0.48499999999999999</v>
      </c>
      <c r="E954">
        <v>0.16</v>
      </c>
      <c r="F954">
        <v>1.0145</v>
      </c>
      <c r="G954">
        <v>0.53149999999999997</v>
      </c>
      <c r="H954">
        <v>0.21199999999999999</v>
      </c>
      <c r="I954">
        <v>0.24149999999999999</v>
      </c>
      <c r="J954">
        <v>8</v>
      </c>
      <c r="K954">
        <v>10</v>
      </c>
      <c r="L954" t="s">
        <v>16</v>
      </c>
      <c r="M954" t="s">
        <v>17</v>
      </c>
      <c r="N954" t="s">
        <v>18</v>
      </c>
      <c r="O954">
        <v>9</v>
      </c>
      <c r="P954" t="s">
        <v>46</v>
      </c>
      <c r="Q954">
        <v>1.9</v>
      </c>
      <c r="R954" t="str" cm="1">
        <f t="array" ref="R9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54" t="e">
        <f>IF(Table13[[#This Row],[Category All]]="Category 1", "Yes",NA())</f>
        <v>#N/A</v>
      </c>
      <c r="T954" t="e">
        <f>IF(Table13[[#This Row],[Category All]]="Category 2", "Yes",NA())</f>
        <v>#N/A</v>
      </c>
      <c r="U954" t="str">
        <f>IF(Table13[[#This Row],[Category All]]="Category 3", "Yes",NA())</f>
        <v>Yes</v>
      </c>
      <c r="V954">
        <f>SUM(1,(1/3)*(Table13[[#This Row],[Length]]-0.5),(1/3)*(Table13[[#This Row],[Diameter]]-0.4),(1/3)*(Table13[[#This Row],[Height]]-0.4)*Table13[[#This Row],[Whole_weight]]*0.5)</f>
        <v>1.0244199999999999</v>
      </c>
      <c r="W954" cm="1">
        <f t="array" ref="W9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1.0244199999999999</v>
      </c>
      <c r="X954" t="e">
        <f>IF(Table13[[#This Row],[Category All]]="Category 1",Table13[[#This Row],[Base Abalone Value]]*1.5,NA())</f>
        <v>#N/A</v>
      </c>
      <c r="Y954" t="e">
        <f>IF(Table13[[#This Row],[Category All]]="Category 2",Table13[[#This Row],[Base Abalone Value]]*0.8,NA())</f>
        <v>#N/A</v>
      </c>
      <c r="Z954">
        <f>IF(Table13[[#This Row],[Category All]]="Category 3",Table13[[#This Row],[Base Abalone Value]],NA())</f>
        <v>1.0244199999999999</v>
      </c>
      <c r="AA954" s="2">
        <f>IF(Table13[[#This Row],[Gender]]="M",Table13[[#This Row],[Whole_weight]],NA())</f>
        <v>1.0145</v>
      </c>
      <c r="AB954" s="2" t="e">
        <f>IF(Table13[[#This Row],[Gender]]="F",Table13[[#This Row],[Whole_weight]],NA())</f>
        <v>#N/A</v>
      </c>
      <c r="AC954" s="2" t="e">
        <f>IF(Table13[[#This Row],[Gender]]="I",Table13[[#This Row],[Whole_weight]],NA())</f>
        <v>#N/A</v>
      </c>
      <c r="AD954" s="2">
        <f>IF(Table13[[#This Row],[Gender]]="M",Table13[[#This Row],[Diameter]],NA())</f>
        <v>0.48499999999999999</v>
      </c>
      <c r="AE954" s="2" t="e">
        <f>IF(Table13[[#This Row],[Gender]]="F",Table13[[#This Row],[Diameter]],NA())</f>
        <v>#N/A</v>
      </c>
      <c r="AF954" s="2" t="e">
        <f>IF(Table13[[#This Row],[Gender]]="I",Table13[[#This Row],[Diameter]],NA())</f>
        <v>#N/A</v>
      </c>
    </row>
    <row r="955" spans="1:32" x14ac:dyDescent="0.2">
      <c r="A955">
        <v>3328</v>
      </c>
      <c r="B955" t="s">
        <v>11</v>
      </c>
      <c r="C955">
        <v>0.63500000000000001</v>
      </c>
      <c r="D955">
        <v>0.48</v>
      </c>
      <c r="E955">
        <v>0.2</v>
      </c>
      <c r="F955">
        <v>1.3654999999999999</v>
      </c>
      <c r="G955">
        <v>0.62549999999999994</v>
      </c>
      <c r="H955">
        <v>0.25950000000000001</v>
      </c>
      <c r="I955">
        <v>0.42499999999999999</v>
      </c>
      <c r="J955">
        <v>16</v>
      </c>
      <c r="K955">
        <v>6</v>
      </c>
      <c r="L955" t="s">
        <v>39</v>
      </c>
      <c r="M955" t="s">
        <v>40</v>
      </c>
      <c r="N955" t="s">
        <v>41</v>
      </c>
      <c r="O955">
        <v>3</v>
      </c>
      <c r="P955" t="s">
        <v>48</v>
      </c>
      <c r="Q955">
        <v>3.6</v>
      </c>
      <c r="R955" t="str" cm="1">
        <f t="array" ref="R9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955" t="str">
        <f>IF(Table13[[#This Row],[Category All]]="Category 1", "Yes",NA())</f>
        <v>Yes</v>
      </c>
      <c r="T955" t="e">
        <f>IF(Table13[[#This Row],[Category All]]="Category 2", "Yes",NA())</f>
        <v>#N/A</v>
      </c>
      <c r="U955" t="e">
        <f>IF(Table13[[#This Row],[Category All]]="Category 3", "Yes",NA())</f>
        <v>#N/A</v>
      </c>
      <c r="V955">
        <f>SUM(1,(1/3)*(Table13[[#This Row],[Length]]-0.5),(1/3)*(Table13[[#This Row],[Diameter]]-0.4),(1/3)*(Table13[[#This Row],[Height]]-0.4)*Table13[[#This Row],[Whole_weight]]*0.5)</f>
        <v>1.0261499999999999</v>
      </c>
      <c r="W955" cm="1">
        <f t="array" ref="W9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1.5392249999999998</v>
      </c>
      <c r="X955">
        <f>IF(Table13[[#This Row],[Category All]]="Category 1",Table13[[#This Row],[Base Abalone Value]]*1.5,NA())</f>
        <v>1.5392249999999998</v>
      </c>
      <c r="Y955" t="e">
        <f>IF(Table13[[#This Row],[Category All]]="Category 2",Table13[[#This Row],[Base Abalone Value]]*0.8,NA())</f>
        <v>#N/A</v>
      </c>
      <c r="Z955" t="e">
        <f>IF(Table13[[#This Row],[Category All]]="Category 3",Table13[[#This Row],[Base Abalone Value]],NA())</f>
        <v>#N/A</v>
      </c>
      <c r="AA955" s="2" t="e">
        <f>IF(Table13[[#This Row],[Gender]]="M",Table13[[#This Row],[Whole_weight]],NA())</f>
        <v>#N/A</v>
      </c>
      <c r="AB955" s="2" t="e">
        <f>IF(Table13[[#This Row],[Gender]]="F",Table13[[#This Row],[Whole_weight]],NA())</f>
        <v>#N/A</v>
      </c>
      <c r="AC955" s="2">
        <f>IF(Table13[[#This Row],[Gender]]="I",Table13[[#This Row],[Whole_weight]],NA())</f>
        <v>1.3654999999999999</v>
      </c>
      <c r="AD955" s="2" t="e">
        <f>IF(Table13[[#This Row],[Gender]]="M",Table13[[#This Row],[Diameter]],NA())</f>
        <v>#N/A</v>
      </c>
      <c r="AE955" s="2" t="e">
        <f>IF(Table13[[#This Row],[Gender]]="F",Table13[[#This Row],[Diameter]],NA())</f>
        <v>#N/A</v>
      </c>
      <c r="AF955" s="2">
        <f>IF(Table13[[#This Row],[Gender]]="I",Table13[[#This Row],[Diameter]],NA())</f>
        <v>0.48</v>
      </c>
    </row>
    <row r="956" spans="1:32" x14ac:dyDescent="0.2">
      <c r="A956">
        <v>2577</v>
      </c>
      <c r="B956" t="s">
        <v>11</v>
      </c>
      <c r="C956">
        <v>0.5</v>
      </c>
      <c r="D956">
        <v>0.38</v>
      </c>
      <c r="E956">
        <v>0.11</v>
      </c>
      <c r="F956">
        <v>0.49399999999999999</v>
      </c>
      <c r="G956">
        <v>0.218</v>
      </c>
      <c r="H956">
        <v>0.09</v>
      </c>
      <c r="I956">
        <v>0.13250000000000001</v>
      </c>
      <c r="J956">
        <v>7</v>
      </c>
      <c r="K956">
        <v>15</v>
      </c>
      <c r="L956" t="s">
        <v>49</v>
      </c>
      <c r="M956" t="s">
        <v>50</v>
      </c>
      <c r="N956" t="s">
        <v>3</v>
      </c>
      <c r="O956">
        <v>5</v>
      </c>
      <c r="P956" t="s">
        <v>14</v>
      </c>
      <c r="Q956">
        <v>12.8</v>
      </c>
      <c r="R956" t="str" cm="1">
        <f t="array" ref="R9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56" t="e">
        <f>IF(Table13[[#This Row],[Category All]]="Category 1", "Yes",NA())</f>
        <v>#N/A</v>
      </c>
      <c r="T956" t="str">
        <f>IF(Table13[[#This Row],[Category All]]="Category 2", "Yes",NA())</f>
        <v>Yes</v>
      </c>
      <c r="U956" t="e">
        <f>IF(Table13[[#This Row],[Category All]]="Category 3", "Yes",NA())</f>
        <v>#N/A</v>
      </c>
      <c r="V956">
        <f>SUM(1,(1/3)*(Table13[[#This Row],[Length]]-0.5),(1/3)*(Table13[[#This Row],[Diameter]]-0.4),(1/3)*(Table13[[#This Row],[Height]]-0.4)*Table13[[#This Row],[Whole_weight]]*0.5)</f>
        <v>0.96945666666666663</v>
      </c>
      <c r="W956" cm="1">
        <f t="array" ref="W9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0.77556533333333333</v>
      </c>
      <c r="X956" t="e">
        <f>IF(Table13[[#This Row],[Category All]]="Category 1",Table13[[#This Row],[Base Abalone Value]]*1.5,NA())</f>
        <v>#N/A</v>
      </c>
      <c r="Y956">
        <f>IF(Table13[[#This Row],[Category All]]="Category 2",Table13[[#This Row],[Base Abalone Value]]*0.8,NA())</f>
        <v>0.77556533333333333</v>
      </c>
      <c r="Z956" t="e">
        <f>IF(Table13[[#This Row],[Category All]]="Category 3",Table13[[#This Row],[Base Abalone Value]],NA())</f>
        <v>#N/A</v>
      </c>
      <c r="AA956" s="2" t="e">
        <f>IF(Table13[[#This Row],[Gender]]="M",Table13[[#This Row],[Whole_weight]],NA())</f>
        <v>#N/A</v>
      </c>
      <c r="AB956" s="2" t="e">
        <f>IF(Table13[[#This Row],[Gender]]="F",Table13[[#This Row],[Whole_weight]],NA())</f>
        <v>#N/A</v>
      </c>
      <c r="AC956" s="2">
        <f>IF(Table13[[#This Row],[Gender]]="I",Table13[[#This Row],[Whole_weight]],NA())</f>
        <v>0.49399999999999999</v>
      </c>
      <c r="AD956" s="2" t="e">
        <f>IF(Table13[[#This Row],[Gender]]="M",Table13[[#This Row],[Diameter]],NA())</f>
        <v>#N/A</v>
      </c>
      <c r="AE956" s="2" t="e">
        <f>IF(Table13[[#This Row],[Gender]]="F",Table13[[#This Row],[Diameter]],NA())</f>
        <v>#N/A</v>
      </c>
      <c r="AF956" s="2">
        <f>IF(Table13[[#This Row],[Gender]]="I",Table13[[#This Row],[Diameter]],NA())</f>
        <v>0.38</v>
      </c>
    </row>
    <row r="957" spans="1:32" x14ac:dyDescent="0.2">
      <c r="A957">
        <v>3668</v>
      </c>
      <c r="B957" t="s">
        <v>0</v>
      </c>
      <c r="C957">
        <v>0.58499999999999996</v>
      </c>
      <c r="D957">
        <v>0.42</v>
      </c>
      <c r="E957">
        <v>0.155</v>
      </c>
      <c r="F957">
        <v>1.034</v>
      </c>
      <c r="G957">
        <v>0.437</v>
      </c>
      <c r="H957">
        <v>0.2225</v>
      </c>
      <c r="I957">
        <v>0.32</v>
      </c>
      <c r="J957">
        <v>11</v>
      </c>
      <c r="K957">
        <v>15</v>
      </c>
      <c r="L957" t="s">
        <v>49</v>
      </c>
      <c r="M957" t="s">
        <v>50</v>
      </c>
      <c r="N957" t="s">
        <v>3</v>
      </c>
      <c r="O957">
        <v>3</v>
      </c>
      <c r="P957" t="s">
        <v>48</v>
      </c>
      <c r="Q957">
        <v>3.6</v>
      </c>
      <c r="R957" t="str" cm="1">
        <f t="array" ref="R9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57" t="e">
        <f>IF(Table13[[#This Row],[Category All]]="Category 1", "Yes",NA())</f>
        <v>#N/A</v>
      </c>
      <c r="T957" t="e">
        <f>IF(Table13[[#This Row],[Category All]]="Category 2", "Yes",NA())</f>
        <v>#N/A</v>
      </c>
      <c r="U957" t="str">
        <f>IF(Table13[[#This Row],[Category All]]="Category 3", "Yes",NA())</f>
        <v>Yes</v>
      </c>
      <c r="V957">
        <f>SUM(1,(1/3)*(Table13[[#This Row],[Length]]-0.5),(1/3)*(Table13[[#This Row],[Diameter]]-0.4),(1/3)*(Table13[[#This Row],[Height]]-0.4)*Table13[[#This Row],[Whole_weight]]*0.5)</f>
        <v>0.99277833333333321</v>
      </c>
      <c r="W957" cm="1">
        <f t="array" ref="W9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0.99277833333333321</v>
      </c>
      <c r="X957" t="e">
        <f>IF(Table13[[#This Row],[Category All]]="Category 1",Table13[[#This Row],[Base Abalone Value]]*1.5,NA())</f>
        <v>#N/A</v>
      </c>
      <c r="Y957" t="e">
        <f>IF(Table13[[#This Row],[Category All]]="Category 2",Table13[[#This Row],[Base Abalone Value]]*0.8,NA())</f>
        <v>#N/A</v>
      </c>
      <c r="Z957">
        <f>IF(Table13[[#This Row],[Category All]]="Category 3",Table13[[#This Row],[Base Abalone Value]],NA())</f>
        <v>0.99277833333333321</v>
      </c>
      <c r="AA957" s="2" t="e">
        <f>IF(Table13[[#This Row],[Gender]]="M",Table13[[#This Row],[Whole_weight]],NA())</f>
        <v>#N/A</v>
      </c>
      <c r="AB957" s="2">
        <f>IF(Table13[[#This Row],[Gender]]="F",Table13[[#This Row],[Whole_weight]],NA())</f>
        <v>1.034</v>
      </c>
      <c r="AC957" s="2" t="e">
        <f>IF(Table13[[#This Row],[Gender]]="I",Table13[[#This Row],[Whole_weight]],NA())</f>
        <v>#N/A</v>
      </c>
      <c r="AD957" s="2" t="e">
        <f>IF(Table13[[#This Row],[Gender]]="M",Table13[[#This Row],[Diameter]],NA())</f>
        <v>#N/A</v>
      </c>
      <c r="AE957" s="2">
        <f>IF(Table13[[#This Row],[Gender]]="F",Table13[[#This Row],[Diameter]],NA())</f>
        <v>0.42</v>
      </c>
      <c r="AF957" s="2" t="e">
        <f>IF(Table13[[#This Row],[Gender]]="I",Table13[[#This Row],[Diameter]],NA())</f>
        <v>#N/A</v>
      </c>
    </row>
    <row r="958" spans="1:32" x14ac:dyDescent="0.2">
      <c r="A958">
        <v>2566</v>
      </c>
      <c r="B958" t="s">
        <v>11</v>
      </c>
      <c r="C958">
        <v>0.45</v>
      </c>
      <c r="D958">
        <v>0.35</v>
      </c>
      <c r="E958">
        <v>0.12</v>
      </c>
      <c r="F958">
        <v>0.46800000000000003</v>
      </c>
      <c r="G958">
        <v>0.20050000000000001</v>
      </c>
      <c r="H958">
        <v>0.1065</v>
      </c>
      <c r="I958">
        <v>0.13250000000000001</v>
      </c>
      <c r="J958">
        <v>8</v>
      </c>
      <c r="K958">
        <v>5</v>
      </c>
      <c r="L958" t="s">
        <v>26</v>
      </c>
      <c r="M958" t="s">
        <v>27</v>
      </c>
      <c r="N958" t="s">
        <v>28</v>
      </c>
      <c r="O958">
        <v>10</v>
      </c>
      <c r="P958" t="s">
        <v>38</v>
      </c>
      <c r="Q958">
        <v>24.1</v>
      </c>
      <c r="R958" t="str" cm="1">
        <f t="array" ref="R9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58" t="e">
        <f>IF(Table13[[#This Row],[Category All]]="Category 1", "Yes",NA())</f>
        <v>#N/A</v>
      </c>
      <c r="T958" t="str">
        <f>IF(Table13[[#This Row],[Category All]]="Category 2", "Yes",NA())</f>
        <v>Yes</v>
      </c>
      <c r="U958" t="e">
        <f>IF(Table13[[#This Row],[Category All]]="Category 3", "Yes",NA())</f>
        <v>#N/A</v>
      </c>
      <c r="V958">
        <f>SUM(1,(1/3)*(Table13[[#This Row],[Length]]-0.5),(1/3)*(Table13[[#This Row],[Diameter]]-0.4),(1/3)*(Table13[[#This Row],[Height]]-0.4)*Table13[[#This Row],[Whole_weight]]*0.5)</f>
        <v>0.9448266666666667</v>
      </c>
      <c r="W958" cm="1">
        <f t="array" ref="W9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0.75586133333333339</v>
      </c>
      <c r="X958" t="e">
        <f>IF(Table13[[#This Row],[Category All]]="Category 1",Table13[[#This Row],[Base Abalone Value]]*1.5,NA())</f>
        <v>#N/A</v>
      </c>
      <c r="Y958">
        <f>IF(Table13[[#This Row],[Category All]]="Category 2",Table13[[#This Row],[Base Abalone Value]]*0.8,NA())</f>
        <v>0.75586133333333339</v>
      </c>
      <c r="Z958" t="e">
        <f>IF(Table13[[#This Row],[Category All]]="Category 3",Table13[[#This Row],[Base Abalone Value]],NA())</f>
        <v>#N/A</v>
      </c>
      <c r="AA958" s="2" t="e">
        <f>IF(Table13[[#This Row],[Gender]]="M",Table13[[#This Row],[Whole_weight]],NA())</f>
        <v>#N/A</v>
      </c>
      <c r="AB958" s="2" t="e">
        <f>IF(Table13[[#This Row],[Gender]]="F",Table13[[#This Row],[Whole_weight]],NA())</f>
        <v>#N/A</v>
      </c>
      <c r="AC958" s="2">
        <f>IF(Table13[[#This Row],[Gender]]="I",Table13[[#This Row],[Whole_weight]],NA())</f>
        <v>0.46800000000000003</v>
      </c>
      <c r="AD958" s="2" t="e">
        <f>IF(Table13[[#This Row],[Gender]]="M",Table13[[#This Row],[Diameter]],NA())</f>
        <v>#N/A</v>
      </c>
      <c r="AE958" s="2" t="e">
        <f>IF(Table13[[#This Row],[Gender]]="F",Table13[[#This Row],[Diameter]],NA())</f>
        <v>#N/A</v>
      </c>
      <c r="AF958" s="2">
        <f>IF(Table13[[#This Row],[Gender]]="I",Table13[[#This Row],[Diameter]],NA())</f>
        <v>0.35</v>
      </c>
    </row>
    <row r="959" spans="1:32" x14ac:dyDescent="0.2">
      <c r="A959">
        <v>1282</v>
      </c>
      <c r="B959" t="s">
        <v>11</v>
      </c>
      <c r="C959">
        <v>0.5</v>
      </c>
      <c r="D959">
        <v>0.38</v>
      </c>
      <c r="E959">
        <v>0.13500000000000001</v>
      </c>
      <c r="F959">
        <v>0.59399999999999997</v>
      </c>
      <c r="G959">
        <v>0.29449999999999998</v>
      </c>
      <c r="H959">
        <v>0.104</v>
      </c>
      <c r="I959">
        <v>0.1565</v>
      </c>
      <c r="J959">
        <v>9</v>
      </c>
      <c r="K959">
        <v>8</v>
      </c>
      <c r="L959" t="s">
        <v>29</v>
      </c>
      <c r="M959" t="s">
        <v>30</v>
      </c>
      <c r="N959" t="s">
        <v>31</v>
      </c>
      <c r="O959">
        <v>6</v>
      </c>
      <c r="P959" t="s">
        <v>47</v>
      </c>
      <c r="Q959">
        <v>14.1</v>
      </c>
      <c r="R959" t="str" cm="1">
        <f t="array" ref="R9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59" t="e">
        <f>IF(Table13[[#This Row],[Category All]]="Category 1", "Yes",NA())</f>
        <v>#N/A</v>
      </c>
      <c r="T959" t="str">
        <f>IF(Table13[[#This Row],[Category All]]="Category 2", "Yes",NA())</f>
        <v>Yes</v>
      </c>
      <c r="U959" t="e">
        <f>IF(Table13[[#This Row],[Category All]]="Category 3", "Yes",NA())</f>
        <v>#N/A</v>
      </c>
      <c r="V959">
        <f>SUM(1,(1/3)*(Table13[[#This Row],[Length]]-0.5),(1/3)*(Table13[[#This Row],[Diameter]]-0.4),(1/3)*(Table13[[#This Row],[Height]]-0.4)*Table13[[#This Row],[Whole_weight]]*0.5)</f>
        <v>0.96709833333333328</v>
      </c>
      <c r="W959" cm="1">
        <f t="array" ref="W9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0.77367866666666663</v>
      </c>
      <c r="X959" t="e">
        <f>IF(Table13[[#This Row],[Category All]]="Category 1",Table13[[#This Row],[Base Abalone Value]]*1.5,NA())</f>
        <v>#N/A</v>
      </c>
      <c r="Y959">
        <f>IF(Table13[[#This Row],[Category All]]="Category 2",Table13[[#This Row],[Base Abalone Value]]*0.8,NA())</f>
        <v>0.77367866666666663</v>
      </c>
      <c r="Z959" t="e">
        <f>IF(Table13[[#This Row],[Category All]]="Category 3",Table13[[#This Row],[Base Abalone Value]],NA())</f>
        <v>#N/A</v>
      </c>
      <c r="AA959" s="2" t="e">
        <f>IF(Table13[[#This Row],[Gender]]="M",Table13[[#This Row],[Whole_weight]],NA())</f>
        <v>#N/A</v>
      </c>
      <c r="AB959" s="2" t="e">
        <f>IF(Table13[[#This Row],[Gender]]="F",Table13[[#This Row],[Whole_weight]],NA())</f>
        <v>#N/A</v>
      </c>
      <c r="AC959" s="2">
        <f>IF(Table13[[#This Row],[Gender]]="I",Table13[[#This Row],[Whole_weight]],NA())</f>
        <v>0.59399999999999997</v>
      </c>
      <c r="AD959" s="2" t="e">
        <f>IF(Table13[[#This Row],[Gender]]="M",Table13[[#This Row],[Diameter]],NA())</f>
        <v>#N/A</v>
      </c>
      <c r="AE959" s="2" t="e">
        <f>IF(Table13[[#This Row],[Gender]]="F",Table13[[#This Row],[Diameter]],NA())</f>
        <v>#N/A</v>
      </c>
      <c r="AF959" s="2">
        <f>IF(Table13[[#This Row],[Gender]]="I",Table13[[#This Row],[Diameter]],NA())</f>
        <v>0.38</v>
      </c>
    </row>
    <row r="960" spans="1:32" x14ac:dyDescent="0.2">
      <c r="A960">
        <v>2552</v>
      </c>
      <c r="B960" t="s">
        <v>11</v>
      </c>
      <c r="C960">
        <v>0.29499999999999998</v>
      </c>
      <c r="D960">
        <v>0.22</v>
      </c>
      <c r="E960">
        <v>7.0000000000000007E-2</v>
      </c>
      <c r="F960">
        <v>0.126</v>
      </c>
      <c r="G960">
        <v>5.1499999999999997E-2</v>
      </c>
      <c r="H960">
        <v>2.75E-2</v>
      </c>
      <c r="I960">
        <v>3.5000000000000003E-2</v>
      </c>
      <c r="J960">
        <v>6</v>
      </c>
      <c r="K960">
        <v>11</v>
      </c>
      <c r="L960" t="s">
        <v>5</v>
      </c>
      <c r="M960" t="s">
        <v>6</v>
      </c>
      <c r="N960" t="s">
        <v>3</v>
      </c>
      <c r="O960">
        <v>7</v>
      </c>
      <c r="P960" t="s">
        <v>42</v>
      </c>
      <c r="Q960">
        <v>2.5</v>
      </c>
      <c r="R960" t="str" cm="1">
        <f t="array" ref="R9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0" t="e">
        <f>IF(Table13[[#This Row],[Category All]]="Category 1", "Yes",NA())</f>
        <v>#N/A</v>
      </c>
      <c r="T960" t="str">
        <f>IF(Table13[[#This Row],[Category All]]="Category 2", "Yes",NA())</f>
        <v>Yes</v>
      </c>
      <c r="U960" t="e">
        <f>IF(Table13[[#This Row],[Category All]]="Category 3", "Yes",NA())</f>
        <v>#N/A</v>
      </c>
      <c r="V960">
        <f>SUM(1,(1/3)*(Table13[[#This Row],[Length]]-0.5),(1/3)*(Table13[[#This Row],[Diameter]]-0.4),(1/3)*(Table13[[#This Row],[Height]]-0.4)*Table13[[#This Row],[Whole_weight]]*0.5)</f>
        <v>0.8647366666666666</v>
      </c>
      <c r="W960" cm="1">
        <f t="array" ref="W9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0.69178933333333337</v>
      </c>
      <c r="X960" t="e">
        <f>IF(Table13[[#This Row],[Category All]]="Category 1",Table13[[#This Row],[Base Abalone Value]]*1.5,NA())</f>
        <v>#N/A</v>
      </c>
      <c r="Y960">
        <f>IF(Table13[[#This Row],[Category All]]="Category 2",Table13[[#This Row],[Base Abalone Value]]*0.8,NA())</f>
        <v>0.69178933333333337</v>
      </c>
      <c r="Z960" t="e">
        <f>IF(Table13[[#This Row],[Category All]]="Category 3",Table13[[#This Row],[Base Abalone Value]],NA())</f>
        <v>#N/A</v>
      </c>
      <c r="AA960" s="2" t="e">
        <f>IF(Table13[[#This Row],[Gender]]="M",Table13[[#This Row],[Whole_weight]],NA())</f>
        <v>#N/A</v>
      </c>
      <c r="AB960" s="2" t="e">
        <f>IF(Table13[[#This Row],[Gender]]="F",Table13[[#This Row],[Whole_weight]],NA())</f>
        <v>#N/A</v>
      </c>
      <c r="AC960" s="2">
        <f>IF(Table13[[#This Row],[Gender]]="I",Table13[[#This Row],[Whole_weight]],NA())</f>
        <v>0.126</v>
      </c>
      <c r="AD960" s="2" t="e">
        <f>IF(Table13[[#This Row],[Gender]]="M",Table13[[#This Row],[Diameter]],NA())</f>
        <v>#N/A</v>
      </c>
      <c r="AE960" s="2" t="e">
        <f>IF(Table13[[#This Row],[Gender]]="F",Table13[[#This Row],[Diameter]],NA())</f>
        <v>#N/A</v>
      </c>
      <c r="AF960" s="2">
        <f>IF(Table13[[#This Row],[Gender]]="I",Table13[[#This Row],[Diameter]],NA())</f>
        <v>0.22</v>
      </c>
    </row>
    <row r="961" spans="1:32" x14ac:dyDescent="0.2">
      <c r="A961">
        <v>3013</v>
      </c>
      <c r="B961" t="s">
        <v>11</v>
      </c>
      <c r="C961">
        <v>0.39</v>
      </c>
      <c r="D961">
        <v>0.3</v>
      </c>
      <c r="E961">
        <v>0.1</v>
      </c>
      <c r="F961">
        <v>0.26650000000000001</v>
      </c>
      <c r="G961">
        <v>0.1105</v>
      </c>
      <c r="H961">
        <v>5.8999999999999997E-2</v>
      </c>
      <c r="I961">
        <v>8.4000000000000005E-2</v>
      </c>
      <c r="J961">
        <v>7</v>
      </c>
      <c r="K961">
        <v>1</v>
      </c>
      <c r="L961" t="s">
        <v>8</v>
      </c>
      <c r="M961" t="s">
        <v>9</v>
      </c>
      <c r="N961" t="s">
        <v>3</v>
      </c>
      <c r="O961">
        <v>9</v>
      </c>
      <c r="P961" t="s">
        <v>46</v>
      </c>
      <c r="Q961">
        <v>1.9</v>
      </c>
      <c r="R961" t="str" cm="1">
        <f t="array" ref="R9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1" t="e">
        <f>IF(Table13[[#This Row],[Category All]]="Category 1", "Yes",NA())</f>
        <v>#N/A</v>
      </c>
      <c r="T961" t="str">
        <f>IF(Table13[[#This Row],[Category All]]="Category 2", "Yes",NA())</f>
        <v>Yes</v>
      </c>
      <c r="U961" t="e">
        <f>IF(Table13[[#This Row],[Category All]]="Category 3", "Yes",NA())</f>
        <v>#N/A</v>
      </c>
      <c r="V961">
        <f>SUM(1,(1/3)*(Table13[[#This Row],[Length]]-0.5),(1/3)*(Table13[[#This Row],[Diameter]]-0.4),(1/3)*(Table13[[#This Row],[Height]]-0.4)*Table13[[#This Row],[Whole_weight]]*0.5)</f>
        <v>0.91667500000000002</v>
      </c>
      <c r="W961" cm="1">
        <f t="array" ref="W9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0.7333400000000001</v>
      </c>
      <c r="X961" t="e">
        <f>IF(Table13[[#This Row],[Category All]]="Category 1",Table13[[#This Row],[Base Abalone Value]]*1.5,NA())</f>
        <v>#N/A</v>
      </c>
      <c r="Y961">
        <f>IF(Table13[[#This Row],[Category All]]="Category 2",Table13[[#This Row],[Base Abalone Value]]*0.8,NA())</f>
        <v>0.7333400000000001</v>
      </c>
      <c r="Z961" t="e">
        <f>IF(Table13[[#This Row],[Category All]]="Category 3",Table13[[#This Row],[Base Abalone Value]],NA())</f>
        <v>#N/A</v>
      </c>
      <c r="AA961" s="2" t="e">
        <f>IF(Table13[[#This Row],[Gender]]="M",Table13[[#This Row],[Whole_weight]],NA())</f>
        <v>#N/A</v>
      </c>
      <c r="AB961" s="2" t="e">
        <f>IF(Table13[[#This Row],[Gender]]="F",Table13[[#This Row],[Whole_weight]],NA())</f>
        <v>#N/A</v>
      </c>
      <c r="AC961" s="2">
        <f>IF(Table13[[#This Row],[Gender]]="I",Table13[[#This Row],[Whole_weight]],NA())</f>
        <v>0.26650000000000001</v>
      </c>
      <c r="AD961" s="2" t="e">
        <f>IF(Table13[[#This Row],[Gender]]="M",Table13[[#This Row],[Diameter]],NA())</f>
        <v>#N/A</v>
      </c>
      <c r="AE961" s="2" t="e">
        <f>IF(Table13[[#This Row],[Gender]]="F",Table13[[#This Row],[Diameter]],NA())</f>
        <v>#N/A</v>
      </c>
      <c r="AF961" s="2">
        <f>IF(Table13[[#This Row],[Gender]]="I",Table13[[#This Row],[Diameter]],NA())</f>
        <v>0.3</v>
      </c>
    </row>
    <row r="962" spans="1:32" x14ac:dyDescent="0.2">
      <c r="A962">
        <v>1646</v>
      </c>
      <c r="B962" t="s">
        <v>15</v>
      </c>
      <c r="C962">
        <v>0.57999999999999996</v>
      </c>
      <c r="D962">
        <v>0.43</v>
      </c>
      <c r="E962">
        <v>0.13</v>
      </c>
      <c r="F962">
        <v>0.79800000000000004</v>
      </c>
      <c r="G962">
        <v>0.36499999999999999</v>
      </c>
      <c r="H962">
        <v>0.17299999999999999</v>
      </c>
      <c r="I962">
        <v>0.22850000000000001</v>
      </c>
      <c r="J962">
        <v>10</v>
      </c>
      <c r="K962">
        <v>4</v>
      </c>
      <c r="L962" t="s">
        <v>52</v>
      </c>
      <c r="M962" t="s">
        <v>53</v>
      </c>
      <c r="N962" t="s">
        <v>54</v>
      </c>
      <c r="O962">
        <v>1</v>
      </c>
      <c r="P962" t="s">
        <v>4</v>
      </c>
      <c r="Q962">
        <v>22.1</v>
      </c>
      <c r="R962" t="str" cm="1">
        <f t="array" ref="R9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2" t="e">
        <f>IF(Table13[[#This Row],[Category All]]="Category 1", "Yes",NA())</f>
        <v>#N/A</v>
      </c>
      <c r="T962" t="str">
        <f>IF(Table13[[#This Row],[Category All]]="Category 2", "Yes",NA())</f>
        <v>Yes</v>
      </c>
      <c r="U962" t="e">
        <f>IF(Table13[[#This Row],[Category All]]="Category 3", "Yes",NA())</f>
        <v>#N/A</v>
      </c>
      <c r="V962">
        <f>SUM(1,(1/3)*(Table13[[#This Row],[Length]]-0.5),(1/3)*(Table13[[#This Row],[Diameter]]-0.4),(1/3)*(Table13[[#This Row],[Height]]-0.4)*Table13[[#This Row],[Whole_weight]]*0.5)</f>
        <v>1.0007566666666667</v>
      </c>
      <c r="W962" cm="1">
        <f t="array" ref="W9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0.80060533333333339</v>
      </c>
      <c r="X962" t="e">
        <f>IF(Table13[[#This Row],[Category All]]="Category 1",Table13[[#This Row],[Base Abalone Value]]*1.5,NA())</f>
        <v>#N/A</v>
      </c>
      <c r="Y962">
        <f>IF(Table13[[#This Row],[Category All]]="Category 2",Table13[[#This Row],[Base Abalone Value]]*0.8,NA())</f>
        <v>0.80060533333333339</v>
      </c>
      <c r="Z962" t="e">
        <f>IF(Table13[[#This Row],[Category All]]="Category 3",Table13[[#This Row],[Base Abalone Value]],NA())</f>
        <v>#N/A</v>
      </c>
      <c r="AA962" s="2">
        <f>IF(Table13[[#This Row],[Gender]]="M",Table13[[#This Row],[Whole_weight]],NA())</f>
        <v>0.79800000000000004</v>
      </c>
      <c r="AB962" s="2" t="e">
        <f>IF(Table13[[#This Row],[Gender]]="F",Table13[[#This Row],[Whole_weight]],NA())</f>
        <v>#N/A</v>
      </c>
      <c r="AC962" s="2" t="e">
        <f>IF(Table13[[#This Row],[Gender]]="I",Table13[[#This Row],[Whole_weight]],NA())</f>
        <v>#N/A</v>
      </c>
      <c r="AD962" s="2">
        <f>IF(Table13[[#This Row],[Gender]]="M",Table13[[#This Row],[Diameter]],NA())</f>
        <v>0.43</v>
      </c>
      <c r="AE962" s="2" t="e">
        <f>IF(Table13[[#This Row],[Gender]]="F",Table13[[#This Row],[Diameter]],NA())</f>
        <v>#N/A</v>
      </c>
      <c r="AF962" s="2" t="e">
        <f>IF(Table13[[#This Row],[Gender]]="I",Table13[[#This Row],[Diameter]],NA())</f>
        <v>#N/A</v>
      </c>
    </row>
    <row r="963" spans="1:32" x14ac:dyDescent="0.2">
      <c r="A963">
        <v>685</v>
      </c>
      <c r="B963" t="s">
        <v>15</v>
      </c>
      <c r="C963">
        <v>0.51</v>
      </c>
      <c r="D963">
        <v>0.4</v>
      </c>
      <c r="E963">
        <v>0.14000000000000001</v>
      </c>
      <c r="F963">
        <v>0.65149999999999997</v>
      </c>
      <c r="G963">
        <v>0.2455</v>
      </c>
      <c r="H963">
        <v>0.16650000000000001</v>
      </c>
      <c r="I963">
        <v>0.185</v>
      </c>
      <c r="J963">
        <v>10</v>
      </c>
      <c r="K963">
        <v>14</v>
      </c>
      <c r="L963" t="s">
        <v>23</v>
      </c>
      <c r="M963" t="s">
        <v>24</v>
      </c>
      <c r="N963" t="s">
        <v>25</v>
      </c>
      <c r="O963">
        <v>8</v>
      </c>
      <c r="P963" t="s">
        <v>19</v>
      </c>
      <c r="Q963">
        <v>12.3</v>
      </c>
      <c r="R963" t="str" cm="1">
        <f t="array" ref="R9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3" t="e">
        <f>IF(Table13[[#This Row],[Category All]]="Category 1", "Yes",NA())</f>
        <v>#N/A</v>
      </c>
      <c r="T963" t="str">
        <f>IF(Table13[[#This Row],[Category All]]="Category 2", "Yes",NA())</f>
        <v>Yes</v>
      </c>
      <c r="U963" t="e">
        <f>IF(Table13[[#This Row],[Category All]]="Category 3", "Yes",NA())</f>
        <v>#N/A</v>
      </c>
      <c r="V963">
        <f>SUM(1,(1/3)*(Table13[[#This Row],[Length]]-0.5),(1/3)*(Table13[[#This Row],[Diameter]]-0.4),(1/3)*(Table13[[#This Row],[Height]]-0.4)*Table13[[#This Row],[Whole_weight]]*0.5)</f>
        <v>0.97510166666666676</v>
      </c>
      <c r="W963" cm="1">
        <f t="array" ref="W9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0.7800813333333334</v>
      </c>
      <c r="X963" t="e">
        <f>IF(Table13[[#This Row],[Category All]]="Category 1",Table13[[#This Row],[Base Abalone Value]]*1.5,NA())</f>
        <v>#N/A</v>
      </c>
      <c r="Y963">
        <f>IF(Table13[[#This Row],[Category All]]="Category 2",Table13[[#This Row],[Base Abalone Value]]*0.8,NA())</f>
        <v>0.7800813333333334</v>
      </c>
      <c r="Z963" t="e">
        <f>IF(Table13[[#This Row],[Category All]]="Category 3",Table13[[#This Row],[Base Abalone Value]],NA())</f>
        <v>#N/A</v>
      </c>
      <c r="AA963" s="2">
        <f>IF(Table13[[#This Row],[Gender]]="M",Table13[[#This Row],[Whole_weight]],NA())</f>
        <v>0.65149999999999997</v>
      </c>
      <c r="AB963" s="2" t="e">
        <f>IF(Table13[[#This Row],[Gender]]="F",Table13[[#This Row],[Whole_weight]],NA())</f>
        <v>#N/A</v>
      </c>
      <c r="AC963" s="2" t="e">
        <f>IF(Table13[[#This Row],[Gender]]="I",Table13[[#This Row],[Whole_weight]],NA())</f>
        <v>#N/A</v>
      </c>
      <c r="AD963" s="2">
        <f>IF(Table13[[#This Row],[Gender]]="M",Table13[[#This Row],[Diameter]],NA())</f>
        <v>0.4</v>
      </c>
      <c r="AE963" s="2" t="e">
        <f>IF(Table13[[#This Row],[Gender]]="F",Table13[[#This Row],[Diameter]],NA())</f>
        <v>#N/A</v>
      </c>
      <c r="AF963" s="2" t="e">
        <f>IF(Table13[[#This Row],[Gender]]="I",Table13[[#This Row],[Diameter]],NA())</f>
        <v>#N/A</v>
      </c>
    </row>
    <row r="964" spans="1:32" x14ac:dyDescent="0.2">
      <c r="A964">
        <v>1461</v>
      </c>
      <c r="B964" t="s">
        <v>15</v>
      </c>
      <c r="C964">
        <v>0.48499999999999999</v>
      </c>
      <c r="D964">
        <v>0.39</v>
      </c>
      <c r="E964">
        <v>8.5000000000000006E-2</v>
      </c>
      <c r="F964">
        <v>0.64349999999999996</v>
      </c>
      <c r="G964">
        <v>0.29449999999999998</v>
      </c>
      <c r="H964">
        <v>0.10299999999999999</v>
      </c>
      <c r="I964">
        <v>0.19800000000000001</v>
      </c>
      <c r="J964">
        <v>8</v>
      </c>
      <c r="K964">
        <v>13</v>
      </c>
      <c r="L964" t="s">
        <v>12</v>
      </c>
      <c r="M964" t="s">
        <v>13</v>
      </c>
      <c r="N964" t="s">
        <v>3</v>
      </c>
      <c r="O964">
        <v>9</v>
      </c>
      <c r="P964" t="s">
        <v>46</v>
      </c>
      <c r="Q964">
        <v>1.9</v>
      </c>
      <c r="R964" t="str" cm="1">
        <f t="array" ref="R9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4" t="e">
        <f>IF(Table13[[#This Row],[Category All]]="Category 1", "Yes",NA())</f>
        <v>#N/A</v>
      </c>
      <c r="T964" t="str">
        <f>IF(Table13[[#This Row],[Category All]]="Category 2", "Yes",NA())</f>
        <v>Yes</v>
      </c>
      <c r="U964" t="e">
        <f>IF(Table13[[#This Row],[Category All]]="Category 3", "Yes",NA())</f>
        <v>#N/A</v>
      </c>
      <c r="V964">
        <f>SUM(1,(1/3)*(Table13[[#This Row],[Length]]-0.5),(1/3)*(Table13[[#This Row],[Diameter]]-0.4),(1/3)*(Table13[[#This Row],[Height]]-0.4)*Table13[[#This Row],[Whole_weight]]*0.5)</f>
        <v>0.95788291666666669</v>
      </c>
      <c r="W964" cm="1">
        <f t="array" ref="W9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0.76630633333333342</v>
      </c>
      <c r="X964" t="e">
        <f>IF(Table13[[#This Row],[Category All]]="Category 1",Table13[[#This Row],[Base Abalone Value]]*1.5,NA())</f>
        <v>#N/A</v>
      </c>
      <c r="Y964">
        <f>IF(Table13[[#This Row],[Category All]]="Category 2",Table13[[#This Row],[Base Abalone Value]]*0.8,NA())</f>
        <v>0.76630633333333342</v>
      </c>
      <c r="Z964" t="e">
        <f>IF(Table13[[#This Row],[Category All]]="Category 3",Table13[[#This Row],[Base Abalone Value]],NA())</f>
        <v>#N/A</v>
      </c>
      <c r="AA964" s="2">
        <f>IF(Table13[[#This Row],[Gender]]="M",Table13[[#This Row],[Whole_weight]],NA())</f>
        <v>0.64349999999999996</v>
      </c>
      <c r="AB964" s="2" t="e">
        <f>IF(Table13[[#This Row],[Gender]]="F",Table13[[#This Row],[Whole_weight]],NA())</f>
        <v>#N/A</v>
      </c>
      <c r="AC964" s="2" t="e">
        <f>IF(Table13[[#This Row],[Gender]]="I",Table13[[#This Row],[Whole_weight]],NA())</f>
        <v>#N/A</v>
      </c>
      <c r="AD964" s="2">
        <f>IF(Table13[[#This Row],[Gender]]="M",Table13[[#This Row],[Diameter]],NA())</f>
        <v>0.39</v>
      </c>
      <c r="AE964" s="2" t="e">
        <f>IF(Table13[[#This Row],[Gender]]="F",Table13[[#This Row],[Diameter]],NA())</f>
        <v>#N/A</v>
      </c>
      <c r="AF964" s="2" t="e">
        <f>IF(Table13[[#This Row],[Gender]]="I",Table13[[#This Row],[Diameter]],NA())</f>
        <v>#N/A</v>
      </c>
    </row>
    <row r="965" spans="1:32" x14ac:dyDescent="0.2">
      <c r="A965">
        <v>3293</v>
      </c>
      <c r="B965" t="s">
        <v>0</v>
      </c>
      <c r="C965">
        <v>0.495</v>
      </c>
      <c r="D965">
        <v>0.375</v>
      </c>
      <c r="E965">
        <v>0.15</v>
      </c>
      <c r="F965">
        <v>0.59699999999999998</v>
      </c>
      <c r="G965">
        <v>0.26150000000000001</v>
      </c>
      <c r="H965">
        <v>0.13500000000000001</v>
      </c>
      <c r="I965">
        <v>0.17799999999999999</v>
      </c>
      <c r="J965">
        <v>11</v>
      </c>
      <c r="K965">
        <v>15</v>
      </c>
      <c r="L965" t="s">
        <v>49</v>
      </c>
      <c r="M965" t="s">
        <v>50</v>
      </c>
      <c r="N965" t="s">
        <v>3</v>
      </c>
      <c r="O965">
        <v>4</v>
      </c>
      <c r="P965" t="s">
        <v>10</v>
      </c>
      <c r="Q965">
        <v>6.1</v>
      </c>
      <c r="R965" t="str" cm="1">
        <f t="array" ref="R9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5" t="e">
        <f>IF(Table13[[#This Row],[Category All]]="Category 1", "Yes",NA())</f>
        <v>#N/A</v>
      </c>
      <c r="T965" t="str">
        <f>IF(Table13[[#This Row],[Category All]]="Category 2", "Yes",NA())</f>
        <v>Yes</v>
      </c>
      <c r="U965" t="e">
        <f>IF(Table13[[#This Row],[Category All]]="Category 3", "Yes",NA())</f>
        <v>#N/A</v>
      </c>
      <c r="V965">
        <f>SUM(1,(1/3)*(Table13[[#This Row],[Length]]-0.5),(1/3)*(Table13[[#This Row],[Diameter]]-0.4),(1/3)*(Table13[[#This Row],[Height]]-0.4)*Table13[[#This Row],[Whole_weight]]*0.5)</f>
        <v>0.96512500000000001</v>
      </c>
      <c r="W965" cm="1">
        <f t="array" ref="W9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0.77210000000000001</v>
      </c>
      <c r="X965" t="e">
        <f>IF(Table13[[#This Row],[Category All]]="Category 1",Table13[[#This Row],[Base Abalone Value]]*1.5,NA())</f>
        <v>#N/A</v>
      </c>
      <c r="Y965">
        <f>IF(Table13[[#This Row],[Category All]]="Category 2",Table13[[#This Row],[Base Abalone Value]]*0.8,NA())</f>
        <v>0.77210000000000001</v>
      </c>
      <c r="Z965" t="e">
        <f>IF(Table13[[#This Row],[Category All]]="Category 3",Table13[[#This Row],[Base Abalone Value]],NA())</f>
        <v>#N/A</v>
      </c>
      <c r="AA965" s="2" t="e">
        <f>IF(Table13[[#This Row],[Gender]]="M",Table13[[#This Row],[Whole_weight]],NA())</f>
        <v>#N/A</v>
      </c>
      <c r="AB965" s="2">
        <f>IF(Table13[[#This Row],[Gender]]="F",Table13[[#This Row],[Whole_weight]],NA())</f>
        <v>0.59699999999999998</v>
      </c>
      <c r="AC965" s="2" t="e">
        <f>IF(Table13[[#This Row],[Gender]]="I",Table13[[#This Row],[Whole_weight]],NA())</f>
        <v>#N/A</v>
      </c>
      <c r="AD965" s="2" t="e">
        <f>IF(Table13[[#This Row],[Gender]]="M",Table13[[#This Row],[Diameter]],NA())</f>
        <v>#N/A</v>
      </c>
      <c r="AE965" s="2">
        <f>IF(Table13[[#This Row],[Gender]]="F",Table13[[#This Row],[Diameter]],NA())</f>
        <v>0.375</v>
      </c>
      <c r="AF965" s="2" t="e">
        <f>IF(Table13[[#This Row],[Gender]]="I",Table13[[#This Row],[Diameter]],NA())</f>
        <v>#N/A</v>
      </c>
    </row>
    <row r="966" spans="1:32" x14ac:dyDescent="0.2">
      <c r="A966">
        <v>2986</v>
      </c>
      <c r="B966" t="s">
        <v>11</v>
      </c>
      <c r="C966">
        <v>0.53500000000000003</v>
      </c>
      <c r="D966">
        <v>0.4</v>
      </c>
      <c r="E966">
        <v>0.13500000000000001</v>
      </c>
      <c r="F966">
        <v>0.77500000000000002</v>
      </c>
      <c r="G966">
        <v>0.36799999999999999</v>
      </c>
      <c r="H966">
        <v>0.20799999999999999</v>
      </c>
      <c r="I966">
        <v>0.20549999999999999</v>
      </c>
      <c r="J966">
        <v>8</v>
      </c>
      <c r="K966">
        <v>12</v>
      </c>
      <c r="L966" t="s">
        <v>1</v>
      </c>
      <c r="M966" t="s">
        <v>2</v>
      </c>
      <c r="N966" t="s">
        <v>3</v>
      </c>
      <c r="O966">
        <v>6</v>
      </c>
      <c r="P966" t="s">
        <v>47</v>
      </c>
      <c r="Q966">
        <v>14.1</v>
      </c>
      <c r="R966" t="str" cm="1">
        <f t="array" ref="R9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6" t="e">
        <f>IF(Table13[[#This Row],[Category All]]="Category 1", "Yes",NA())</f>
        <v>#N/A</v>
      </c>
      <c r="T966" t="str">
        <f>IF(Table13[[#This Row],[Category All]]="Category 2", "Yes",NA())</f>
        <v>Yes</v>
      </c>
      <c r="U966" t="e">
        <f>IF(Table13[[#This Row],[Category All]]="Category 3", "Yes",NA())</f>
        <v>#N/A</v>
      </c>
      <c r="V966">
        <f>SUM(1,(1/3)*(Table13[[#This Row],[Length]]-0.5),(1/3)*(Table13[[#This Row],[Diameter]]-0.4),(1/3)*(Table13[[#This Row],[Height]]-0.4)*Table13[[#This Row],[Whole_weight]]*0.5)</f>
        <v>0.97743750000000007</v>
      </c>
      <c r="W966" cm="1">
        <f t="array" ref="W9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0.78195000000000014</v>
      </c>
      <c r="X966" t="e">
        <f>IF(Table13[[#This Row],[Category All]]="Category 1",Table13[[#This Row],[Base Abalone Value]]*1.5,NA())</f>
        <v>#N/A</v>
      </c>
      <c r="Y966">
        <f>IF(Table13[[#This Row],[Category All]]="Category 2",Table13[[#This Row],[Base Abalone Value]]*0.8,NA())</f>
        <v>0.78195000000000014</v>
      </c>
      <c r="Z966" t="e">
        <f>IF(Table13[[#This Row],[Category All]]="Category 3",Table13[[#This Row],[Base Abalone Value]],NA())</f>
        <v>#N/A</v>
      </c>
      <c r="AA966" s="2" t="e">
        <f>IF(Table13[[#This Row],[Gender]]="M",Table13[[#This Row],[Whole_weight]],NA())</f>
        <v>#N/A</v>
      </c>
      <c r="AB966" s="2" t="e">
        <f>IF(Table13[[#This Row],[Gender]]="F",Table13[[#This Row],[Whole_weight]],NA())</f>
        <v>#N/A</v>
      </c>
      <c r="AC966" s="2">
        <f>IF(Table13[[#This Row],[Gender]]="I",Table13[[#This Row],[Whole_weight]],NA())</f>
        <v>0.77500000000000002</v>
      </c>
      <c r="AD966" s="2" t="e">
        <f>IF(Table13[[#This Row],[Gender]]="M",Table13[[#This Row],[Diameter]],NA())</f>
        <v>#N/A</v>
      </c>
      <c r="AE966" s="2" t="e">
        <f>IF(Table13[[#This Row],[Gender]]="F",Table13[[#This Row],[Diameter]],NA())</f>
        <v>#N/A</v>
      </c>
      <c r="AF966" s="2">
        <f>IF(Table13[[#This Row],[Gender]]="I",Table13[[#This Row],[Diameter]],NA())</f>
        <v>0.4</v>
      </c>
    </row>
    <row r="967" spans="1:32" x14ac:dyDescent="0.2">
      <c r="A967">
        <v>348</v>
      </c>
      <c r="B967" t="s">
        <v>11</v>
      </c>
      <c r="C967">
        <v>0.34</v>
      </c>
      <c r="D967">
        <v>0.26</v>
      </c>
      <c r="E967">
        <v>0.08</v>
      </c>
      <c r="F967">
        <v>0.2</v>
      </c>
      <c r="G967">
        <v>0.08</v>
      </c>
      <c r="H967">
        <v>5.5500000000000001E-2</v>
      </c>
      <c r="I967">
        <v>5.5E-2</v>
      </c>
      <c r="J967">
        <v>6</v>
      </c>
      <c r="K967">
        <v>13</v>
      </c>
      <c r="L967" t="s">
        <v>12</v>
      </c>
      <c r="M967" t="s">
        <v>13</v>
      </c>
      <c r="N967" t="s">
        <v>3</v>
      </c>
      <c r="O967">
        <v>5</v>
      </c>
      <c r="P967" t="s">
        <v>14</v>
      </c>
      <c r="Q967">
        <v>12.8</v>
      </c>
      <c r="R967" t="str" cm="1">
        <f t="array" ref="R9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7" t="e">
        <f>IF(Table13[[#This Row],[Category All]]="Category 1", "Yes",NA())</f>
        <v>#N/A</v>
      </c>
      <c r="T967" t="str">
        <f>IF(Table13[[#This Row],[Category All]]="Category 2", "Yes",NA())</f>
        <v>Yes</v>
      </c>
      <c r="U967" t="e">
        <f>IF(Table13[[#This Row],[Category All]]="Category 3", "Yes",NA())</f>
        <v>#N/A</v>
      </c>
      <c r="V967">
        <f>SUM(1,(1/3)*(Table13[[#This Row],[Length]]-0.5),(1/3)*(Table13[[#This Row],[Diameter]]-0.4),(1/3)*(Table13[[#This Row],[Height]]-0.4)*Table13[[#This Row],[Whole_weight]]*0.5)</f>
        <v>0.88933333333333331</v>
      </c>
      <c r="W967" cm="1">
        <f t="array" ref="W9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0.71146666666666669</v>
      </c>
      <c r="X967" t="e">
        <f>IF(Table13[[#This Row],[Category All]]="Category 1",Table13[[#This Row],[Base Abalone Value]]*1.5,NA())</f>
        <v>#N/A</v>
      </c>
      <c r="Y967">
        <f>IF(Table13[[#This Row],[Category All]]="Category 2",Table13[[#This Row],[Base Abalone Value]]*0.8,NA())</f>
        <v>0.71146666666666669</v>
      </c>
      <c r="Z967" t="e">
        <f>IF(Table13[[#This Row],[Category All]]="Category 3",Table13[[#This Row],[Base Abalone Value]],NA())</f>
        <v>#N/A</v>
      </c>
      <c r="AA967" s="2" t="e">
        <f>IF(Table13[[#This Row],[Gender]]="M",Table13[[#This Row],[Whole_weight]],NA())</f>
        <v>#N/A</v>
      </c>
      <c r="AB967" s="2" t="e">
        <f>IF(Table13[[#This Row],[Gender]]="F",Table13[[#This Row],[Whole_weight]],NA())</f>
        <v>#N/A</v>
      </c>
      <c r="AC967" s="2">
        <f>IF(Table13[[#This Row],[Gender]]="I",Table13[[#This Row],[Whole_weight]],NA())</f>
        <v>0.2</v>
      </c>
      <c r="AD967" s="2" t="e">
        <f>IF(Table13[[#This Row],[Gender]]="M",Table13[[#This Row],[Diameter]],NA())</f>
        <v>#N/A</v>
      </c>
      <c r="AE967" s="2" t="e">
        <f>IF(Table13[[#This Row],[Gender]]="F",Table13[[#This Row],[Diameter]],NA())</f>
        <v>#N/A</v>
      </c>
      <c r="AF967" s="2">
        <f>IF(Table13[[#This Row],[Gender]]="I",Table13[[#This Row],[Diameter]],NA())</f>
        <v>0.26</v>
      </c>
    </row>
    <row r="968" spans="1:32" x14ac:dyDescent="0.2">
      <c r="A968">
        <v>3232</v>
      </c>
      <c r="B968" t="s">
        <v>15</v>
      </c>
      <c r="C968">
        <v>0.41</v>
      </c>
      <c r="D968">
        <v>0.32500000000000001</v>
      </c>
      <c r="E968">
        <v>0.12</v>
      </c>
      <c r="F968">
        <v>0.3745</v>
      </c>
      <c r="G968">
        <v>0.158</v>
      </c>
      <c r="H968">
        <v>8.1000000000000003E-2</v>
      </c>
      <c r="I968">
        <v>0.125</v>
      </c>
      <c r="J968">
        <v>12</v>
      </c>
      <c r="K968">
        <v>12</v>
      </c>
      <c r="L968" t="s">
        <v>1</v>
      </c>
      <c r="M968" t="s">
        <v>2</v>
      </c>
      <c r="N968" t="s">
        <v>3</v>
      </c>
      <c r="O968">
        <v>8</v>
      </c>
      <c r="P968" t="s">
        <v>19</v>
      </c>
      <c r="Q968">
        <v>12.3</v>
      </c>
      <c r="R968" t="str" cm="1">
        <f t="array" ref="R9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8" t="e">
        <f>IF(Table13[[#This Row],[Category All]]="Category 1", "Yes",NA())</f>
        <v>#N/A</v>
      </c>
      <c r="T968" t="str">
        <f>IF(Table13[[#This Row],[Category All]]="Category 2", "Yes",NA())</f>
        <v>Yes</v>
      </c>
      <c r="U968" t="e">
        <f>IF(Table13[[#This Row],[Category All]]="Category 3", "Yes",NA())</f>
        <v>#N/A</v>
      </c>
      <c r="V968">
        <f>SUM(1,(1/3)*(Table13[[#This Row],[Length]]-0.5),(1/3)*(Table13[[#This Row],[Diameter]]-0.4),(1/3)*(Table13[[#This Row],[Height]]-0.4)*Table13[[#This Row],[Whole_weight]]*0.5)</f>
        <v>0.92752333333333326</v>
      </c>
      <c r="W968" cm="1">
        <f t="array" ref="W9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0.7420186666666666</v>
      </c>
      <c r="X968" t="e">
        <f>IF(Table13[[#This Row],[Category All]]="Category 1",Table13[[#This Row],[Base Abalone Value]]*1.5,NA())</f>
        <v>#N/A</v>
      </c>
      <c r="Y968">
        <f>IF(Table13[[#This Row],[Category All]]="Category 2",Table13[[#This Row],[Base Abalone Value]]*0.8,NA())</f>
        <v>0.7420186666666666</v>
      </c>
      <c r="Z968" t="e">
        <f>IF(Table13[[#This Row],[Category All]]="Category 3",Table13[[#This Row],[Base Abalone Value]],NA())</f>
        <v>#N/A</v>
      </c>
      <c r="AA968" s="2">
        <f>IF(Table13[[#This Row],[Gender]]="M",Table13[[#This Row],[Whole_weight]],NA())</f>
        <v>0.3745</v>
      </c>
      <c r="AB968" s="2" t="e">
        <f>IF(Table13[[#This Row],[Gender]]="F",Table13[[#This Row],[Whole_weight]],NA())</f>
        <v>#N/A</v>
      </c>
      <c r="AC968" s="2" t="e">
        <f>IF(Table13[[#This Row],[Gender]]="I",Table13[[#This Row],[Whole_weight]],NA())</f>
        <v>#N/A</v>
      </c>
      <c r="AD968" s="2">
        <f>IF(Table13[[#This Row],[Gender]]="M",Table13[[#This Row],[Diameter]],NA())</f>
        <v>0.32500000000000001</v>
      </c>
      <c r="AE968" s="2" t="e">
        <f>IF(Table13[[#This Row],[Gender]]="F",Table13[[#This Row],[Diameter]],NA())</f>
        <v>#N/A</v>
      </c>
      <c r="AF968" s="2" t="e">
        <f>IF(Table13[[#This Row],[Gender]]="I",Table13[[#This Row],[Diameter]],NA())</f>
        <v>#N/A</v>
      </c>
    </row>
    <row r="969" spans="1:32" x14ac:dyDescent="0.2">
      <c r="A969">
        <v>697</v>
      </c>
      <c r="B969" t="s">
        <v>11</v>
      </c>
      <c r="C969">
        <v>0.155</v>
      </c>
      <c r="D969">
        <v>0.105</v>
      </c>
      <c r="E969">
        <v>0.05</v>
      </c>
      <c r="F969">
        <v>1.7500000000000002E-2</v>
      </c>
      <c r="G969">
        <v>5.0000000000000001E-3</v>
      </c>
      <c r="H969">
        <v>3.5000000000000001E-3</v>
      </c>
      <c r="I969">
        <v>5.0000000000000001E-3</v>
      </c>
      <c r="J969">
        <v>4</v>
      </c>
      <c r="K969">
        <v>3</v>
      </c>
      <c r="L969" t="s">
        <v>43</v>
      </c>
      <c r="M969" t="s">
        <v>44</v>
      </c>
      <c r="N969" t="s">
        <v>45</v>
      </c>
      <c r="O969">
        <v>6</v>
      </c>
      <c r="P969" t="s">
        <v>47</v>
      </c>
      <c r="Q969">
        <v>14.1</v>
      </c>
      <c r="R969" t="str" cm="1">
        <f t="array" ref="R9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9" t="e">
        <f>IF(Table13[[#This Row],[Category All]]="Category 1", "Yes",NA())</f>
        <v>#N/A</v>
      </c>
      <c r="T969" t="str">
        <f>IF(Table13[[#This Row],[Category All]]="Category 2", "Yes",NA())</f>
        <v>Yes</v>
      </c>
      <c r="U969" t="e">
        <f>IF(Table13[[#This Row],[Category All]]="Category 3", "Yes",NA())</f>
        <v>#N/A</v>
      </c>
      <c r="V969">
        <f>SUM(1,(1/3)*(Table13[[#This Row],[Length]]-0.5),(1/3)*(Table13[[#This Row],[Diameter]]-0.4),(1/3)*(Table13[[#This Row],[Height]]-0.4)*Table13[[#This Row],[Whole_weight]]*0.5)</f>
        <v>0.78564583333333327</v>
      </c>
      <c r="W969" cm="1">
        <f t="array" ref="W9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0.62851666666666661</v>
      </c>
      <c r="X969" t="e">
        <f>IF(Table13[[#This Row],[Category All]]="Category 1",Table13[[#This Row],[Base Abalone Value]]*1.5,NA())</f>
        <v>#N/A</v>
      </c>
      <c r="Y969">
        <f>IF(Table13[[#This Row],[Category All]]="Category 2",Table13[[#This Row],[Base Abalone Value]]*0.8,NA())</f>
        <v>0.62851666666666661</v>
      </c>
      <c r="Z969" t="e">
        <f>IF(Table13[[#This Row],[Category All]]="Category 3",Table13[[#This Row],[Base Abalone Value]],NA())</f>
        <v>#N/A</v>
      </c>
      <c r="AA969" s="2" t="e">
        <f>IF(Table13[[#This Row],[Gender]]="M",Table13[[#This Row],[Whole_weight]],NA())</f>
        <v>#N/A</v>
      </c>
      <c r="AB969" s="2" t="e">
        <f>IF(Table13[[#This Row],[Gender]]="F",Table13[[#This Row],[Whole_weight]],NA())</f>
        <v>#N/A</v>
      </c>
      <c r="AC969" s="2">
        <f>IF(Table13[[#This Row],[Gender]]="I",Table13[[#This Row],[Whole_weight]],NA())</f>
        <v>1.7500000000000002E-2</v>
      </c>
      <c r="AD969" s="2" t="e">
        <f>IF(Table13[[#This Row],[Gender]]="M",Table13[[#This Row],[Diameter]],NA())</f>
        <v>#N/A</v>
      </c>
      <c r="AE969" s="2" t="e">
        <f>IF(Table13[[#This Row],[Gender]]="F",Table13[[#This Row],[Diameter]],NA())</f>
        <v>#N/A</v>
      </c>
      <c r="AF969" s="2">
        <f>IF(Table13[[#This Row],[Gender]]="I",Table13[[#This Row],[Diameter]],NA())</f>
        <v>0.105</v>
      </c>
    </row>
    <row r="970" spans="1:32" x14ac:dyDescent="0.2">
      <c r="A970">
        <v>1281</v>
      </c>
      <c r="B970" t="s">
        <v>15</v>
      </c>
      <c r="C970">
        <v>0.495</v>
      </c>
      <c r="D970">
        <v>0.39500000000000002</v>
      </c>
      <c r="E970">
        <v>0.12</v>
      </c>
      <c r="F970">
        <v>0.55300000000000005</v>
      </c>
      <c r="G970">
        <v>0.224</v>
      </c>
      <c r="H970">
        <v>0.13750000000000001</v>
      </c>
      <c r="I970">
        <v>0.16700000000000001</v>
      </c>
      <c r="J970">
        <v>8</v>
      </c>
      <c r="K970">
        <v>15</v>
      </c>
      <c r="L970" t="s">
        <v>49</v>
      </c>
      <c r="M970" t="s">
        <v>50</v>
      </c>
      <c r="N970" t="s">
        <v>3</v>
      </c>
      <c r="O970">
        <v>6</v>
      </c>
      <c r="P970" t="s">
        <v>47</v>
      </c>
      <c r="Q970">
        <v>14.1</v>
      </c>
      <c r="R970" t="str" cm="1">
        <f t="array" ref="R9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70" t="e">
        <f>IF(Table13[[#This Row],[Category All]]="Category 1", "Yes",NA())</f>
        <v>#N/A</v>
      </c>
      <c r="T970" t="str">
        <f>IF(Table13[[#This Row],[Category All]]="Category 2", "Yes",NA())</f>
        <v>Yes</v>
      </c>
      <c r="U970" t="e">
        <f>IF(Table13[[#This Row],[Category All]]="Category 3", "Yes",NA())</f>
        <v>#N/A</v>
      </c>
      <c r="V970">
        <f>SUM(1,(1/3)*(Table13[[#This Row],[Length]]-0.5),(1/3)*(Table13[[#This Row],[Diameter]]-0.4),(1/3)*(Table13[[#This Row],[Height]]-0.4)*Table13[[#This Row],[Whole_weight]]*0.5)</f>
        <v>0.97085999999999995</v>
      </c>
      <c r="W970" cm="1">
        <f t="array" ref="W9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0.77668800000000005</v>
      </c>
      <c r="X970" t="e">
        <f>IF(Table13[[#This Row],[Category All]]="Category 1",Table13[[#This Row],[Base Abalone Value]]*1.5,NA())</f>
        <v>#N/A</v>
      </c>
      <c r="Y970">
        <f>IF(Table13[[#This Row],[Category All]]="Category 2",Table13[[#This Row],[Base Abalone Value]]*0.8,NA())</f>
        <v>0.77668800000000005</v>
      </c>
      <c r="Z970" t="e">
        <f>IF(Table13[[#This Row],[Category All]]="Category 3",Table13[[#This Row],[Base Abalone Value]],NA())</f>
        <v>#N/A</v>
      </c>
      <c r="AA970" s="2">
        <f>IF(Table13[[#This Row],[Gender]]="M",Table13[[#This Row],[Whole_weight]],NA())</f>
        <v>0.55300000000000005</v>
      </c>
      <c r="AB970" s="2" t="e">
        <f>IF(Table13[[#This Row],[Gender]]="F",Table13[[#This Row],[Whole_weight]],NA())</f>
        <v>#N/A</v>
      </c>
      <c r="AC970" s="2" t="e">
        <f>IF(Table13[[#This Row],[Gender]]="I",Table13[[#This Row],[Whole_weight]],NA())</f>
        <v>#N/A</v>
      </c>
      <c r="AD970" s="2">
        <f>IF(Table13[[#This Row],[Gender]]="M",Table13[[#This Row],[Diameter]],NA())</f>
        <v>0.39500000000000002</v>
      </c>
      <c r="AE970" s="2" t="e">
        <f>IF(Table13[[#This Row],[Gender]]="F",Table13[[#This Row],[Diameter]],NA())</f>
        <v>#N/A</v>
      </c>
      <c r="AF970" s="2" t="e">
        <f>IF(Table13[[#This Row],[Gender]]="I",Table13[[#This Row],[Diameter]],NA())</f>
        <v>#N/A</v>
      </c>
    </row>
    <row r="971" spans="1:32" x14ac:dyDescent="0.2">
      <c r="A971">
        <v>2531</v>
      </c>
      <c r="B971" t="s">
        <v>0</v>
      </c>
      <c r="C971">
        <v>0.6</v>
      </c>
      <c r="D971">
        <v>0.48499999999999999</v>
      </c>
      <c r="E971">
        <v>0.16500000000000001</v>
      </c>
      <c r="F971">
        <v>1.1405000000000001</v>
      </c>
      <c r="G971">
        <v>0.58699999999999997</v>
      </c>
      <c r="H971">
        <v>0.2175</v>
      </c>
      <c r="I971">
        <v>0.28799999999999998</v>
      </c>
      <c r="J971">
        <v>9</v>
      </c>
      <c r="K971">
        <v>12</v>
      </c>
      <c r="L971" t="s">
        <v>1</v>
      </c>
      <c r="M971" t="s">
        <v>2</v>
      </c>
      <c r="N971" t="s">
        <v>3</v>
      </c>
      <c r="O971">
        <v>8</v>
      </c>
      <c r="P971" t="s">
        <v>19</v>
      </c>
      <c r="Q971">
        <v>12.3</v>
      </c>
      <c r="R971" t="str" cm="1">
        <f t="array" ref="R9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71" t="e">
        <f>IF(Table13[[#This Row],[Category All]]="Category 1", "Yes",NA())</f>
        <v>#N/A</v>
      </c>
      <c r="T971" t="e">
        <f>IF(Table13[[#This Row],[Category All]]="Category 2", "Yes",NA())</f>
        <v>#N/A</v>
      </c>
      <c r="U971" t="str">
        <f>IF(Table13[[#This Row],[Category All]]="Category 3", "Yes",NA())</f>
        <v>Yes</v>
      </c>
      <c r="V971">
        <f>SUM(1,(1/3)*(Table13[[#This Row],[Length]]-0.5),(1/3)*(Table13[[#This Row],[Diameter]]-0.4),(1/3)*(Table13[[#This Row],[Height]]-0.4)*Table13[[#This Row],[Whole_weight]]*0.5)</f>
        <v>1.0169970833333333</v>
      </c>
      <c r="W971" cm="1">
        <f t="array" ref="W9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1.0169970833333333</v>
      </c>
      <c r="X971" t="e">
        <f>IF(Table13[[#This Row],[Category All]]="Category 1",Table13[[#This Row],[Base Abalone Value]]*1.5,NA())</f>
        <v>#N/A</v>
      </c>
      <c r="Y971" t="e">
        <f>IF(Table13[[#This Row],[Category All]]="Category 2",Table13[[#This Row],[Base Abalone Value]]*0.8,NA())</f>
        <v>#N/A</v>
      </c>
      <c r="Z971">
        <f>IF(Table13[[#This Row],[Category All]]="Category 3",Table13[[#This Row],[Base Abalone Value]],NA())</f>
        <v>1.0169970833333333</v>
      </c>
      <c r="AA971" s="2" t="e">
        <f>IF(Table13[[#This Row],[Gender]]="M",Table13[[#This Row],[Whole_weight]],NA())</f>
        <v>#N/A</v>
      </c>
      <c r="AB971" s="2">
        <f>IF(Table13[[#This Row],[Gender]]="F",Table13[[#This Row],[Whole_weight]],NA())</f>
        <v>1.1405000000000001</v>
      </c>
      <c r="AC971" s="2" t="e">
        <f>IF(Table13[[#This Row],[Gender]]="I",Table13[[#This Row],[Whole_weight]],NA())</f>
        <v>#N/A</v>
      </c>
      <c r="AD971" s="2" t="e">
        <f>IF(Table13[[#This Row],[Gender]]="M",Table13[[#This Row],[Diameter]],NA())</f>
        <v>#N/A</v>
      </c>
      <c r="AE971" s="2">
        <f>IF(Table13[[#This Row],[Gender]]="F",Table13[[#This Row],[Diameter]],NA())</f>
        <v>0.48499999999999999</v>
      </c>
      <c r="AF971" s="2" t="e">
        <f>IF(Table13[[#This Row],[Gender]]="I",Table13[[#This Row],[Diameter]],NA())</f>
        <v>#N/A</v>
      </c>
    </row>
    <row r="972" spans="1:32" x14ac:dyDescent="0.2">
      <c r="A972">
        <v>2704</v>
      </c>
      <c r="B972" t="s">
        <v>15</v>
      </c>
      <c r="C972">
        <v>0.68</v>
      </c>
      <c r="D972">
        <v>0.53</v>
      </c>
      <c r="E972">
        <v>0.18</v>
      </c>
      <c r="F972">
        <v>1.5289999999999999</v>
      </c>
      <c r="G972">
        <v>0.76349999999999996</v>
      </c>
      <c r="H972">
        <v>0.3115</v>
      </c>
      <c r="I972">
        <v>0.40250000000000002</v>
      </c>
      <c r="J972">
        <v>11</v>
      </c>
      <c r="K972">
        <v>9</v>
      </c>
      <c r="L972" t="s">
        <v>20</v>
      </c>
      <c r="M972" t="s">
        <v>21</v>
      </c>
      <c r="N972" t="s">
        <v>22</v>
      </c>
      <c r="O972">
        <v>6</v>
      </c>
      <c r="P972" t="s">
        <v>47</v>
      </c>
      <c r="Q972">
        <v>14.1</v>
      </c>
      <c r="R972" t="str" cm="1">
        <f t="array" ref="R9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72" t="e">
        <f>IF(Table13[[#This Row],[Category All]]="Category 1", "Yes",NA())</f>
        <v>#N/A</v>
      </c>
      <c r="T972" t="e">
        <f>IF(Table13[[#This Row],[Category All]]="Category 2", "Yes",NA())</f>
        <v>#N/A</v>
      </c>
      <c r="U972" t="str">
        <f>IF(Table13[[#This Row],[Category All]]="Category 3", "Yes",NA())</f>
        <v>Yes</v>
      </c>
      <c r="V972">
        <f>SUM(1,(1/3)*(Table13[[#This Row],[Length]]-0.5),(1/3)*(Table13[[#This Row],[Diameter]]-0.4),(1/3)*(Table13[[#This Row],[Height]]-0.4)*Table13[[#This Row],[Whole_weight]]*0.5)</f>
        <v>1.0472700000000001</v>
      </c>
      <c r="W972" cm="1">
        <f t="array" ref="W9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1.0472700000000001</v>
      </c>
      <c r="X972" t="e">
        <f>IF(Table13[[#This Row],[Category All]]="Category 1",Table13[[#This Row],[Base Abalone Value]]*1.5,NA())</f>
        <v>#N/A</v>
      </c>
      <c r="Y972" t="e">
        <f>IF(Table13[[#This Row],[Category All]]="Category 2",Table13[[#This Row],[Base Abalone Value]]*0.8,NA())</f>
        <v>#N/A</v>
      </c>
      <c r="Z972">
        <f>IF(Table13[[#This Row],[Category All]]="Category 3",Table13[[#This Row],[Base Abalone Value]],NA())</f>
        <v>1.0472700000000001</v>
      </c>
      <c r="AA972" s="2">
        <f>IF(Table13[[#This Row],[Gender]]="M",Table13[[#This Row],[Whole_weight]],NA())</f>
        <v>1.5289999999999999</v>
      </c>
      <c r="AB972" s="2" t="e">
        <f>IF(Table13[[#This Row],[Gender]]="F",Table13[[#This Row],[Whole_weight]],NA())</f>
        <v>#N/A</v>
      </c>
      <c r="AC972" s="2" t="e">
        <f>IF(Table13[[#This Row],[Gender]]="I",Table13[[#This Row],[Whole_weight]],NA())</f>
        <v>#N/A</v>
      </c>
      <c r="AD972" s="2">
        <f>IF(Table13[[#This Row],[Gender]]="M",Table13[[#This Row],[Diameter]],NA())</f>
        <v>0.53</v>
      </c>
      <c r="AE972" s="2" t="e">
        <f>IF(Table13[[#This Row],[Gender]]="F",Table13[[#This Row],[Diameter]],NA())</f>
        <v>#N/A</v>
      </c>
      <c r="AF972" s="2" t="e">
        <f>IF(Table13[[#This Row],[Gender]]="I",Table13[[#This Row],[Diameter]],NA())</f>
        <v>#N/A</v>
      </c>
    </row>
    <row r="973" spans="1:32" x14ac:dyDescent="0.2">
      <c r="A973">
        <v>2104</v>
      </c>
      <c r="B973" t="s">
        <v>15</v>
      </c>
      <c r="C973">
        <v>0.375</v>
      </c>
      <c r="D973">
        <v>0.28999999999999998</v>
      </c>
      <c r="E973">
        <v>0.1</v>
      </c>
      <c r="F973">
        <v>0.27600000000000002</v>
      </c>
      <c r="G973">
        <v>0.11749999999999999</v>
      </c>
      <c r="H973">
        <v>5.6500000000000002E-2</v>
      </c>
      <c r="I973">
        <v>8.5000000000000006E-2</v>
      </c>
      <c r="J973">
        <v>9</v>
      </c>
      <c r="K973">
        <v>3</v>
      </c>
      <c r="L973" t="s">
        <v>43</v>
      </c>
      <c r="M973" t="s">
        <v>44</v>
      </c>
      <c r="N973" t="s">
        <v>45</v>
      </c>
      <c r="O973">
        <v>2</v>
      </c>
      <c r="P973" t="s">
        <v>7</v>
      </c>
      <c r="Q973">
        <v>18</v>
      </c>
      <c r="R973" t="str" cm="1">
        <f t="array" ref="R9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73" t="e">
        <f>IF(Table13[[#This Row],[Category All]]="Category 1", "Yes",NA())</f>
        <v>#N/A</v>
      </c>
      <c r="T973" t="str">
        <f>IF(Table13[[#This Row],[Category All]]="Category 2", "Yes",NA())</f>
        <v>Yes</v>
      </c>
      <c r="U973" t="e">
        <f>IF(Table13[[#This Row],[Category All]]="Category 3", "Yes",NA())</f>
        <v>#N/A</v>
      </c>
      <c r="V973">
        <f>SUM(1,(1/3)*(Table13[[#This Row],[Length]]-0.5),(1/3)*(Table13[[#This Row],[Diameter]]-0.4),(1/3)*(Table13[[#This Row],[Height]]-0.4)*Table13[[#This Row],[Whole_weight]]*0.5)</f>
        <v>0.9078666666666666</v>
      </c>
      <c r="W973" cm="1">
        <f t="array" ref="W9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0.72629333333333335</v>
      </c>
      <c r="X973" t="e">
        <f>IF(Table13[[#This Row],[Category All]]="Category 1",Table13[[#This Row],[Base Abalone Value]]*1.5,NA())</f>
        <v>#N/A</v>
      </c>
      <c r="Y973">
        <f>IF(Table13[[#This Row],[Category All]]="Category 2",Table13[[#This Row],[Base Abalone Value]]*0.8,NA())</f>
        <v>0.72629333333333335</v>
      </c>
      <c r="Z973" t="e">
        <f>IF(Table13[[#This Row],[Category All]]="Category 3",Table13[[#This Row],[Base Abalone Value]],NA())</f>
        <v>#N/A</v>
      </c>
      <c r="AA973" s="2">
        <f>IF(Table13[[#This Row],[Gender]]="M",Table13[[#This Row],[Whole_weight]],NA())</f>
        <v>0.27600000000000002</v>
      </c>
      <c r="AB973" s="2" t="e">
        <f>IF(Table13[[#This Row],[Gender]]="F",Table13[[#This Row],[Whole_weight]],NA())</f>
        <v>#N/A</v>
      </c>
      <c r="AC973" s="2" t="e">
        <f>IF(Table13[[#This Row],[Gender]]="I",Table13[[#This Row],[Whole_weight]],NA())</f>
        <v>#N/A</v>
      </c>
      <c r="AD973" s="2">
        <f>IF(Table13[[#This Row],[Gender]]="M",Table13[[#This Row],[Diameter]],NA())</f>
        <v>0.28999999999999998</v>
      </c>
      <c r="AE973" s="2" t="e">
        <f>IF(Table13[[#This Row],[Gender]]="F",Table13[[#This Row],[Diameter]],NA())</f>
        <v>#N/A</v>
      </c>
      <c r="AF973" s="2" t="e">
        <f>IF(Table13[[#This Row],[Gender]]="I",Table13[[#This Row],[Diameter]],NA())</f>
        <v>#N/A</v>
      </c>
    </row>
    <row r="974" spans="1:32" x14ac:dyDescent="0.2">
      <c r="A974">
        <v>1171</v>
      </c>
      <c r="B974" t="s">
        <v>0</v>
      </c>
      <c r="C974">
        <v>0.625</v>
      </c>
      <c r="D974">
        <v>0.48499999999999999</v>
      </c>
      <c r="E974">
        <v>0.17499999999999999</v>
      </c>
      <c r="F974">
        <v>1.3745000000000001</v>
      </c>
      <c r="G974">
        <v>0.73350000000000004</v>
      </c>
      <c r="H974">
        <v>0.27150000000000002</v>
      </c>
      <c r="I974">
        <v>0.33200000000000002</v>
      </c>
      <c r="J974">
        <v>9</v>
      </c>
      <c r="K974">
        <v>14</v>
      </c>
      <c r="L974" t="s">
        <v>23</v>
      </c>
      <c r="M974" t="s">
        <v>24</v>
      </c>
      <c r="N974" t="s">
        <v>25</v>
      </c>
      <c r="O974">
        <v>7</v>
      </c>
      <c r="P974" t="s">
        <v>42</v>
      </c>
      <c r="Q974">
        <v>2.5</v>
      </c>
      <c r="R974" t="str" cm="1">
        <f t="array" ref="R9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74" t="e">
        <f>IF(Table13[[#This Row],[Category All]]="Category 1", "Yes",NA())</f>
        <v>#N/A</v>
      </c>
      <c r="T974" t="e">
        <f>IF(Table13[[#This Row],[Category All]]="Category 2", "Yes",NA())</f>
        <v>#N/A</v>
      </c>
      <c r="U974" t="str">
        <f>IF(Table13[[#This Row],[Category All]]="Category 3", "Yes",NA())</f>
        <v>Yes</v>
      </c>
      <c r="V974">
        <f>SUM(1,(1/3)*(Table13[[#This Row],[Length]]-0.5),(1/3)*(Table13[[#This Row],[Diameter]]-0.4),(1/3)*(Table13[[#This Row],[Height]]-0.4)*Table13[[#This Row],[Whole_weight]]*0.5)</f>
        <v>1.0184562500000001</v>
      </c>
      <c r="W974" cm="1">
        <f t="array" ref="W9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1.0184562500000001</v>
      </c>
      <c r="X974" t="e">
        <f>IF(Table13[[#This Row],[Category All]]="Category 1",Table13[[#This Row],[Base Abalone Value]]*1.5,NA())</f>
        <v>#N/A</v>
      </c>
      <c r="Y974" t="e">
        <f>IF(Table13[[#This Row],[Category All]]="Category 2",Table13[[#This Row],[Base Abalone Value]]*0.8,NA())</f>
        <v>#N/A</v>
      </c>
      <c r="Z974">
        <f>IF(Table13[[#This Row],[Category All]]="Category 3",Table13[[#This Row],[Base Abalone Value]],NA())</f>
        <v>1.0184562500000001</v>
      </c>
      <c r="AA974" s="2" t="e">
        <f>IF(Table13[[#This Row],[Gender]]="M",Table13[[#This Row],[Whole_weight]],NA())</f>
        <v>#N/A</v>
      </c>
      <c r="AB974" s="2">
        <f>IF(Table13[[#This Row],[Gender]]="F",Table13[[#This Row],[Whole_weight]],NA())</f>
        <v>1.3745000000000001</v>
      </c>
      <c r="AC974" s="2" t="e">
        <f>IF(Table13[[#This Row],[Gender]]="I",Table13[[#This Row],[Whole_weight]],NA())</f>
        <v>#N/A</v>
      </c>
      <c r="AD974" s="2" t="e">
        <f>IF(Table13[[#This Row],[Gender]]="M",Table13[[#This Row],[Diameter]],NA())</f>
        <v>#N/A</v>
      </c>
      <c r="AE974" s="2">
        <f>IF(Table13[[#This Row],[Gender]]="F",Table13[[#This Row],[Diameter]],NA())</f>
        <v>0.48499999999999999</v>
      </c>
      <c r="AF974" s="2" t="e">
        <f>IF(Table13[[#This Row],[Gender]]="I",Table13[[#This Row],[Diameter]],NA())</f>
        <v>#N/A</v>
      </c>
    </row>
    <row r="975" spans="1:32" x14ac:dyDescent="0.2">
      <c r="A975">
        <v>3248</v>
      </c>
      <c r="B975" t="s">
        <v>0</v>
      </c>
      <c r="C975">
        <v>0.61</v>
      </c>
      <c r="D975">
        <v>0.495</v>
      </c>
      <c r="E975">
        <v>0.19</v>
      </c>
      <c r="F975">
        <v>1.2130000000000001</v>
      </c>
      <c r="G975">
        <v>0.46400000000000002</v>
      </c>
      <c r="H975">
        <v>0.30599999999999999</v>
      </c>
      <c r="I975">
        <v>0.36499999999999999</v>
      </c>
      <c r="J975">
        <v>15</v>
      </c>
      <c r="K975">
        <v>11</v>
      </c>
      <c r="L975" t="s">
        <v>5</v>
      </c>
      <c r="M975" t="s">
        <v>6</v>
      </c>
      <c r="N975" t="s">
        <v>3</v>
      </c>
      <c r="O975">
        <v>6</v>
      </c>
      <c r="P975" t="s">
        <v>47</v>
      </c>
      <c r="Q975">
        <v>14.1</v>
      </c>
      <c r="R975" t="str" cm="1">
        <f t="array" ref="R9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75" t="e">
        <f>IF(Table13[[#This Row],[Category All]]="Category 1", "Yes",NA())</f>
        <v>#N/A</v>
      </c>
      <c r="T975" t="e">
        <f>IF(Table13[[#This Row],[Category All]]="Category 2", "Yes",NA())</f>
        <v>#N/A</v>
      </c>
      <c r="U975" t="str">
        <f>IF(Table13[[#This Row],[Category All]]="Category 3", "Yes",NA())</f>
        <v>Yes</v>
      </c>
      <c r="V975">
        <f>SUM(1,(1/3)*(Table13[[#This Row],[Length]]-0.5),(1/3)*(Table13[[#This Row],[Diameter]]-0.4),(1/3)*(Table13[[#This Row],[Height]]-0.4)*Table13[[#This Row],[Whole_weight]]*0.5)</f>
        <v>1.0258783333333334</v>
      </c>
      <c r="W975" cm="1">
        <f t="array" ref="W9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1.0258783333333334</v>
      </c>
      <c r="X975" t="e">
        <f>IF(Table13[[#This Row],[Category All]]="Category 1",Table13[[#This Row],[Base Abalone Value]]*1.5,NA())</f>
        <v>#N/A</v>
      </c>
      <c r="Y975" t="e">
        <f>IF(Table13[[#This Row],[Category All]]="Category 2",Table13[[#This Row],[Base Abalone Value]]*0.8,NA())</f>
        <v>#N/A</v>
      </c>
      <c r="Z975">
        <f>IF(Table13[[#This Row],[Category All]]="Category 3",Table13[[#This Row],[Base Abalone Value]],NA())</f>
        <v>1.0258783333333334</v>
      </c>
      <c r="AA975" s="2" t="e">
        <f>IF(Table13[[#This Row],[Gender]]="M",Table13[[#This Row],[Whole_weight]],NA())</f>
        <v>#N/A</v>
      </c>
      <c r="AB975" s="2">
        <f>IF(Table13[[#This Row],[Gender]]="F",Table13[[#This Row],[Whole_weight]],NA())</f>
        <v>1.2130000000000001</v>
      </c>
      <c r="AC975" s="2" t="e">
        <f>IF(Table13[[#This Row],[Gender]]="I",Table13[[#This Row],[Whole_weight]],NA())</f>
        <v>#N/A</v>
      </c>
      <c r="AD975" s="2" t="e">
        <f>IF(Table13[[#This Row],[Gender]]="M",Table13[[#This Row],[Diameter]],NA())</f>
        <v>#N/A</v>
      </c>
      <c r="AE975" s="2">
        <f>IF(Table13[[#This Row],[Gender]]="F",Table13[[#This Row],[Diameter]],NA())</f>
        <v>0.495</v>
      </c>
      <c r="AF975" s="2" t="e">
        <f>IF(Table13[[#This Row],[Gender]]="I",Table13[[#This Row],[Diameter]],NA())</f>
        <v>#N/A</v>
      </c>
    </row>
    <row r="976" spans="1:32" x14ac:dyDescent="0.2">
      <c r="A976">
        <v>3470</v>
      </c>
      <c r="B976" t="s">
        <v>0</v>
      </c>
      <c r="C976">
        <v>0.71499999999999997</v>
      </c>
      <c r="D976">
        <v>0.58499999999999996</v>
      </c>
      <c r="E976">
        <v>0.23</v>
      </c>
      <c r="F976">
        <v>2.0724999999999998</v>
      </c>
      <c r="G976">
        <v>0.86550000000000005</v>
      </c>
      <c r="H976">
        <v>0.40949999999999998</v>
      </c>
      <c r="I976">
        <v>0.56499999999999995</v>
      </c>
      <c r="J976">
        <v>10</v>
      </c>
      <c r="K976">
        <v>6</v>
      </c>
      <c r="L976" t="s">
        <v>39</v>
      </c>
      <c r="M976" t="s">
        <v>40</v>
      </c>
      <c r="N976" t="s">
        <v>41</v>
      </c>
      <c r="O976">
        <v>6</v>
      </c>
      <c r="P976" t="s">
        <v>47</v>
      </c>
      <c r="Q976">
        <v>14.1</v>
      </c>
      <c r="R976" t="str" cm="1">
        <f t="array" ref="R9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76" t="e">
        <f>IF(Table13[[#This Row],[Category All]]="Category 1", "Yes",NA())</f>
        <v>#N/A</v>
      </c>
      <c r="T976" t="e">
        <f>IF(Table13[[#This Row],[Category All]]="Category 2", "Yes",NA())</f>
        <v>#N/A</v>
      </c>
      <c r="U976" t="str">
        <f>IF(Table13[[#This Row],[Category All]]="Category 3", "Yes",NA())</f>
        <v>Yes</v>
      </c>
      <c r="V976">
        <f>SUM(1,(1/3)*(Table13[[#This Row],[Length]]-0.5),(1/3)*(Table13[[#This Row],[Diameter]]-0.4),(1/3)*(Table13[[#This Row],[Height]]-0.4)*Table13[[#This Row],[Whole_weight]]*0.5)</f>
        <v>1.0746125</v>
      </c>
      <c r="W976" cm="1">
        <f t="array" ref="W9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1.0746125</v>
      </c>
      <c r="X976" t="e">
        <f>IF(Table13[[#This Row],[Category All]]="Category 1",Table13[[#This Row],[Base Abalone Value]]*1.5,NA())</f>
        <v>#N/A</v>
      </c>
      <c r="Y976" t="e">
        <f>IF(Table13[[#This Row],[Category All]]="Category 2",Table13[[#This Row],[Base Abalone Value]]*0.8,NA())</f>
        <v>#N/A</v>
      </c>
      <c r="Z976">
        <f>IF(Table13[[#This Row],[Category All]]="Category 3",Table13[[#This Row],[Base Abalone Value]],NA())</f>
        <v>1.0746125</v>
      </c>
      <c r="AA976" s="2" t="e">
        <f>IF(Table13[[#This Row],[Gender]]="M",Table13[[#This Row],[Whole_weight]],NA())</f>
        <v>#N/A</v>
      </c>
      <c r="AB976" s="2">
        <f>IF(Table13[[#This Row],[Gender]]="F",Table13[[#This Row],[Whole_weight]],NA())</f>
        <v>2.0724999999999998</v>
      </c>
      <c r="AC976" s="2" t="e">
        <f>IF(Table13[[#This Row],[Gender]]="I",Table13[[#This Row],[Whole_weight]],NA())</f>
        <v>#N/A</v>
      </c>
      <c r="AD976" s="2" t="e">
        <f>IF(Table13[[#This Row],[Gender]]="M",Table13[[#This Row],[Diameter]],NA())</f>
        <v>#N/A</v>
      </c>
      <c r="AE976" s="2">
        <f>IF(Table13[[#This Row],[Gender]]="F",Table13[[#This Row],[Diameter]],NA())</f>
        <v>0.58499999999999996</v>
      </c>
      <c r="AF976" s="2" t="e">
        <f>IF(Table13[[#This Row],[Gender]]="I",Table13[[#This Row],[Diameter]],NA())</f>
        <v>#N/A</v>
      </c>
    </row>
    <row r="977" spans="1:32" x14ac:dyDescent="0.2">
      <c r="A977">
        <v>4107</v>
      </c>
      <c r="B977" t="s">
        <v>0</v>
      </c>
      <c r="C977">
        <v>0.72</v>
      </c>
      <c r="D977">
        <v>0.59</v>
      </c>
      <c r="E977">
        <v>0.20499999999999999</v>
      </c>
      <c r="F977">
        <v>1.7495000000000001</v>
      </c>
      <c r="G977">
        <v>0.77549999999999997</v>
      </c>
      <c r="H977">
        <v>0.42249999999999999</v>
      </c>
      <c r="I977">
        <v>0.48</v>
      </c>
      <c r="J977">
        <v>11</v>
      </c>
      <c r="K977">
        <v>10</v>
      </c>
      <c r="L977" t="s">
        <v>16</v>
      </c>
      <c r="M977" t="s">
        <v>17</v>
      </c>
      <c r="N977" t="s">
        <v>18</v>
      </c>
      <c r="O977">
        <v>2</v>
      </c>
      <c r="P977" t="s">
        <v>7</v>
      </c>
      <c r="Q977">
        <v>18</v>
      </c>
      <c r="R977" t="str" cm="1">
        <f t="array" ref="R9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77" t="e">
        <f>IF(Table13[[#This Row],[Category All]]="Category 1", "Yes",NA())</f>
        <v>#N/A</v>
      </c>
      <c r="T977" t="e">
        <f>IF(Table13[[#This Row],[Category All]]="Category 2", "Yes",NA())</f>
        <v>#N/A</v>
      </c>
      <c r="U977" t="str">
        <f>IF(Table13[[#This Row],[Category All]]="Category 3", "Yes",NA())</f>
        <v>Yes</v>
      </c>
      <c r="V977">
        <f>SUM(1,(1/3)*(Table13[[#This Row],[Length]]-0.5),(1/3)*(Table13[[#This Row],[Diameter]]-0.4),(1/3)*(Table13[[#This Row],[Height]]-0.4)*Table13[[#This Row],[Whole_weight]]*0.5)</f>
        <v>1.0798079166666665</v>
      </c>
      <c r="W977" cm="1">
        <f t="array" ref="W9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1.0798079166666665</v>
      </c>
      <c r="X977" t="e">
        <f>IF(Table13[[#This Row],[Category All]]="Category 1",Table13[[#This Row],[Base Abalone Value]]*1.5,NA())</f>
        <v>#N/A</v>
      </c>
      <c r="Y977" t="e">
        <f>IF(Table13[[#This Row],[Category All]]="Category 2",Table13[[#This Row],[Base Abalone Value]]*0.8,NA())</f>
        <v>#N/A</v>
      </c>
      <c r="Z977">
        <f>IF(Table13[[#This Row],[Category All]]="Category 3",Table13[[#This Row],[Base Abalone Value]],NA())</f>
        <v>1.0798079166666665</v>
      </c>
      <c r="AA977" s="2" t="e">
        <f>IF(Table13[[#This Row],[Gender]]="M",Table13[[#This Row],[Whole_weight]],NA())</f>
        <v>#N/A</v>
      </c>
      <c r="AB977" s="2">
        <f>IF(Table13[[#This Row],[Gender]]="F",Table13[[#This Row],[Whole_weight]],NA())</f>
        <v>1.7495000000000001</v>
      </c>
      <c r="AC977" s="2" t="e">
        <f>IF(Table13[[#This Row],[Gender]]="I",Table13[[#This Row],[Whole_weight]],NA())</f>
        <v>#N/A</v>
      </c>
      <c r="AD977" s="2" t="e">
        <f>IF(Table13[[#This Row],[Gender]]="M",Table13[[#This Row],[Diameter]],NA())</f>
        <v>#N/A</v>
      </c>
      <c r="AE977" s="2">
        <f>IF(Table13[[#This Row],[Gender]]="F",Table13[[#This Row],[Diameter]],NA())</f>
        <v>0.59</v>
      </c>
      <c r="AF977" s="2" t="e">
        <f>IF(Table13[[#This Row],[Gender]]="I",Table13[[#This Row],[Diameter]],NA())</f>
        <v>#N/A</v>
      </c>
    </row>
    <row r="978" spans="1:32" x14ac:dyDescent="0.2">
      <c r="A978">
        <v>1111</v>
      </c>
      <c r="B978" t="s">
        <v>11</v>
      </c>
      <c r="C978">
        <v>0.52</v>
      </c>
      <c r="D978">
        <v>0.38</v>
      </c>
      <c r="E978">
        <v>0.13500000000000001</v>
      </c>
      <c r="F978">
        <v>0.53949999999999998</v>
      </c>
      <c r="G978">
        <v>0.22950000000000001</v>
      </c>
      <c r="H978">
        <v>0.13300000000000001</v>
      </c>
      <c r="I978">
        <v>0.157</v>
      </c>
      <c r="J978">
        <v>8</v>
      </c>
      <c r="K978">
        <v>15</v>
      </c>
      <c r="L978" t="s">
        <v>49</v>
      </c>
      <c r="M978" t="s">
        <v>50</v>
      </c>
      <c r="N978" t="s">
        <v>3</v>
      </c>
      <c r="O978">
        <v>5</v>
      </c>
      <c r="P978" t="s">
        <v>14</v>
      </c>
      <c r="Q978">
        <v>12.8</v>
      </c>
      <c r="R978" t="str" cm="1">
        <f t="array" ref="R9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78" t="e">
        <f>IF(Table13[[#This Row],[Category All]]="Category 1", "Yes",NA())</f>
        <v>#N/A</v>
      </c>
      <c r="T978" t="str">
        <f>IF(Table13[[#This Row],[Category All]]="Category 2", "Yes",NA())</f>
        <v>Yes</v>
      </c>
      <c r="U978" t="e">
        <f>IF(Table13[[#This Row],[Category All]]="Category 3", "Yes",NA())</f>
        <v>#N/A</v>
      </c>
      <c r="V978">
        <f>SUM(1,(1/3)*(Table13[[#This Row],[Length]]-0.5),(1/3)*(Table13[[#This Row],[Diameter]]-0.4),(1/3)*(Table13[[#This Row],[Height]]-0.4)*Table13[[#This Row],[Whole_weight]]*0.5)</f>
        <v>0.97617208333333327</v>
      </c>
      <c r="W978" cm="1">
        <f t="array" ref="W9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0.78093766666666664</v>
      </c>
      <c r="X978" t="e">
        <f>IF(Table13[[#This Row],[Category All]]="Category 1",Table13[[#This Row],[Base Abalone Value]]*1.5,NA())</f>
        <v>#N/A</v>
      </c>
      <c r="Y978">
        <f>IF(Table13[[#This Row],[Category All]]="Category 2",Table13[[#This Row],[Base Abalone Value]]*0.8,NA())</f>
        <v>0.78093766666666664</v>
      </c>
      <c r="Z978" t="e">
        <f>IF(Table13[[#This Row],[Category All]]="Category 3",Table13[[#This Row],[Base Abalone Value]],NA())</f>
        <v>#N/A</v>
      </c>
      <c r="AA978" s="2" t="e">
        <f>IF(Table13[[#This Row],[Gender]]="M",Table13[[#This Row],[Whole_weight]],NA())</f>
        <v>#N/A</v>
      </c>
      <c r="AB978" s="2" t="e">
        <f>IF(Table13[[#This Row],[Gender]]="F",Table13[[#This Row],[Whole_weight]],NA())</f>
        <v>#N/A</v>
      </c>
      <c r="AC978" s="2">
        <f>IF(Table13[[#This Row],[Gender]]="I",Table13[[#This Row],[Whole_weight]],NA())</f>
        <v>0.53949999999999998</v>
      </c>
      <c r="AD978" s="2" t="e">
        <f>IF(Table13[[#This Row],[Gender]]="M",Table13[[#This Row],[Diameter]],NA())</f>
        <v>#N/A</v>
      </c>
      <c r="AE978" s="2" t="e">
        <f>IF(Table13[[#This Row],[Gender]]="F",Table13[[#This Row],[Diameter]],NA())</f>
        <v>#N/A</v>
      </c>
      <c r="AF978" s="2">
        <f>IF(Table13[[#This Row],[Gender]]="I",Table13[[#This Row],[Diameter]],NA())</f>
        <v>0.38</v>
      </c>
    </row>
    <row r="979" spans="1:32" x14ac:dyDescent="0.2">
      <c r="A979">
        <v>1944</v>
      </c>
      <c r="B979" t="s">
        <v>0</v>
      </c>
      <c r="C979">
        <v>0.63500000000000001</v>
      </c>
      <c r="D979">
        <v>0.48499999999999999</v>
      </c>
      <c r="E979">
        <v>0.16500000000000001</v>
      </c>
      <c r="F979">
        <v>1.2695000000000001</v>
      </c>
      <c r="G979">
        <v>0.5635</v>
      </c>
      <c r="H979">
        <v>0.30649999999999999</v>
      </c>
      <c r="I979">
        <v>0.33950000000000002</v>
      </c>
      <c r="J979">
        <v>11</v>
      </c>
      <c r="K979">
        <v>9</v>
      </c>
      <c r="L979" t="s">
        <v>20</v>
      </c>
      <c r="M979" t="s">
        <v>21</v>
      </c>
      <c r="N979" t="s">
        <v>22</v>
      </c>
      <c r="O979">
        <v>9</v>
      </c>
      <c r="P979" t="s">
        <v>46</v>
      </c>
      <c r="Q979">
        <v>1.9</v>
      </c>
      <c r="R979" t="str" cm="1">
        <f t="array" ref="R9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79" t="e">
        <f>IF(Table13[[#This Row],[Category All]]="Category 1", "Yes",NA())</f>
        <v>#N/A</v>
      </c>
      <c r="T979" t="e">
        <f>IF(Table13[[#This Row],[Category All]]="Category 2", "Yes",NA())</f>
        <v>#N/A</v>
      </c>
      <c r="U979" t="str">
        <f>IF(Table13[[#This Row],[Category All]]="Category 3", "Yes",NA())</f>
        <v>Yes</v>
      </c>
      <c r="V979">
        <f>SUM(1,(1/3)*(Table13[[#This Row],[Length]]-0.5),(1/3)*(Table13[[#This Row],[Diameter]]-0.4),(1/3)*(Table13[[#This Row],[Height]]-0.4)*Table13[[#This Row],[Whole_weight]]*0.5)</f>
        <v>1.0236112499999999</v>
      </c>
      <c r="W979" cm="1">
        <f t="array" ref="W9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1.0236112499999999</v>
      </c>
      <c r="X979" t="e">
        <f>IF(Table13[[#This Row],[Category All]]="Category 1",Table13[[#This Row],[Base Abalone Value]]*1.5,NA())</f>
        <v>#N/A</v>
      </c>
      <c r="Y979" t="e">
        <f>IF(Table13[[#This Row],[Category All]]="Category 2",Table13[[#This Row],[Base Abalone Value]]*0.8,NA())</f>
        <v>#N/A</v>
      </c>
      <c r="Z979">
        <f>IF(Table13[[#This Row],[Category All]]="Category 3",Table13[[#This Row],[Base Abalone Value]],NA())</f>
        <v>1.0236112499999999</v>
      </c>
      <c r="AA979" s="2" t="e">
        <f>IF(Table13[[#This Row],[Gender]]="M",Table13[[#This Row],[Whole_weight]],NA())</f>
        <v>#N/A</v>
      </c>
      <c r="AB979" s="2">
        <f>IF(Table13[[#This Row],[Gender]]="F",Table13[[#This Row],[Whole_weight]],NA())</f>
        <v>1.2695000000000001</v>
      </c>
      <c r="AC979" s="2" t="e">
        <f>IF(Table13[[#This Row],[Gender]]="I",Table13[[#This Row],[Whole_weight]],NA())</f>
        <v>#N/A</v>
      </c>
      <c r="AD979" s="2" t="e">
        <f>IF(Table13[[#This Row],[Gender]]="M",Table13[[#This Row],[Diameter]],NA())</f>
        <v>#N/A</v>
      </c>
      <c r="AE979" s="2">
        <f>IF(Table13[[#This Row],[Gender]]="F",Table13[[#This Row],[Diameter]],NA())</f>
        <v>0.48499999999999999</v>
      </c>
      <c r="AF979" s="2" t="e">
        <f>IF(Table13[[#This Row],[Gender]]="I",Table13[[#This Row],[Diameter]],NA())</f>
        <v>#N/A</v>
      </c>
    </row>
    <row r="980" spans="1:32" x14ac:dyDescent="0.2">
      <c r="A980">
        <v>2240</v>
      </c>
      <c r="B980" t="s">
        <v>0</v>
      </c>
      <c r="C980">
        <v>0.46</v>
      </c>
      <c r="D980">
        <v>0.36</v>
      </c>
      <c r="E980">
        <v>0.115</v>
      </c>
      <c r="F980">
        <v>0.47549999999999998</v>
      </c>
      <c r="G980">
        <v>0.21049999999999999</v>
      </c>
      <c r="H980">
        <v>0.105</v>
      </c>
      <c r="I980">
        <v>0.16</v>
      </c>
      <c r="J980">
        <v>8</v>
      </c>
      <c r="K980">
        <v>2</v>
      </c>
      <c r="L980" t="s">
        <v>32</v>
      </c>
      <c r="M980" t="s">
        <v>33</v>
      </c>
      <c r="N980" t="s">
        <v>34</v>
      </c>
      <c r="O980">
        <v>10</v>
      </c>
      <c r="P980" t="s">
        <v>38</v>
      </c>
      <c r="Q980">
        <v>24.1</v>
      </c>
      <c r="R980" t="str" cm="1">
        <f t="array" ref="R9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80" t="e">
        <f>IF(Table13[[#This Row],[Category All]]="Category 1", "Yes",NA())</f>
        <v>#N/A</v>
      </c>
      <c r="T980" t="str">
        <f>IF(Table13[[#This Row],[Category All]]="Category 2", "Yes",NA())</f>
        <v>Yes</v>
      </c>
      <c r="U980" t="e">
        <f>IF(Table13[[#This Row],[Category All]]="Category 3", "Yes",NA())</f>
        <v>#N/A</v>
      </c>
      <c r="V980">
        <f>SUM(1,(1/3)*(Table13[[#This Row],[Length]]-0.5),(1/3)*(Table13[[#This Row],[Diameter]]-0.4),(1/3)*(Table13[[#This Row],[Height]]-0.4)*Table13[[#This Row],[Whole_weight]]*0.5)</f>
        <v>0.95074708333333335</v>
      </c>
      <c r="W980" cm="1">
        <f t="array" ref="W9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0.76059766666666673</v>
      </c>
      <c r="X980" t="e">
        <f>IF(Table13[[#This Row],[Category All]]="Category 1",Table13[[#This Row],[Base Abalone Value]]*1.5,NA())</f>
        <v>#N/A</v>
      </c>
      <c r="Y980">
        <f>IF(Table13[[#This Row],[Category All]]="Category 2",Table13[[#This Row],[Base Abalone Value]]*0.8,NA())</f>
        <v>0.76059766666666673</v>
      </c>
      <c r="Z980" t="e">
        <f>IF(Table13[[#This Row],[Category All]]="Category 3",Table13[[#This Row],[Base Abalone Value]],NA())</f>
        <v>#N/A</v>
      </c>
      <c r="AA980" s="2" t="e">
        <f>IF(Table13[[#This Row],[Gender]]="M",Table13[[#This Row],[Whole_weight]],NA())</f>
        <v>#N/A</v>
      </c>
      <c r="AB980" s="2">
        <f>IF(Table13[[#This Row],[Gender]]="F",Table13[[#This Row],[Whole_weight]],NA())</f>
        <v>0.47549999999999998</v>
      </c>
      <c r="AC980" s="2" t="e">
        <f>IF(Table13[[#This Row],[Gender]]="I",Table13[[#This Row],[Whole_weight]],NA())</f>
        <v>#N/A</v>
      </c>
      <c r="AD980" s="2" t="e">
        <f>IF(Table13[[#This Row],[Gender]]="M",Table13[[#This Row],[Diameter]],NA())</f>
        <v>#N/A</v>
      </c>
      <c r="AE980" s="2">
        <f>IF(Table13[[#This Row],[Gender]]="F",Table13[[#This Row],[Diameter]],NA())</f>
        <v>0.36</v>
      </c>
      <c r="AF980" s="2" t="e">
        <f>IF(Table13[[#This Row],[Gender]]="I",Table13[[#This Row],[Diameter]],NA())</f>
        <v>#N/A</v>
      </c>
    </row>
    <row r="981" spans="1:32" x14ac:dyDescent="0.2">
      <c r="A981">
        <v>221</v>
      </c>
      <c r="B981" t="s">
        <v>0</v>
      </c>
      <c r="C981">
        <v>0.44500000000000001</v>
      </c>
      <c r="D981">
        <v>0.32500000000000001</v>
      </c>
      <c r="E981">
        <v>0.125</v>
      </c>
      <c r="F981">
        <v>0.45500000000000002</v>
      </c>
      <c r="G981">
        <v>0.17849999999999999</v>
      </c>
      <c r="H981">
        <v>0.1125</v>
      </c>
      <c r="I981">
        <v>0.14000000000000001</v>
      </c>
      <c r="J981">
        <v>9</v>
      </c>
      <c r="K981">
        <v>12</v>
      </c>
      <c r="L981" t="s">
        <v>1</v>
      </c>
      <c r="M981" t="s">
        <v>2</v>
      </c>
      <c r="N981" t="s">
        <v>3</v>
      </c>
      <c r="O981">
        <v>6</v>
      </c>
      <c r="P981" t="s">
        <v>47</v>
      </c>
      <c r="Q981">
        <v>14.1</v>
      </c>
      <c r="R981" t="str" cm="1">
        <f t="array" ref="R9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81" t="e">
        <f>IF(Table13[[#This Row],[Category All]]="Category 1", "Yes",NA())</f>
        <v>#N/A</v>
      </c>
      <c r="T981" t="str">
        <f>IF(Table13[[#This Row],[Category All]]="Category 2", "Yes",NA())</f>
        <v>Yes</v>
      </c>
      <c r="U981" t="e">
        <f>IF(Table13[[#This Row],[Category All]]="Category 3", "Yes",NA())</f>
        <v>#N/A</v>
      </c>
      <c r="V981">
        <f>SUM(1,(1/3)*(Table13[[#This Row],[Length]]-0.5),(1/3)*(Table13[[#This Row],[Diameter]]-0.4),(1/3)*(Table13[[#This Row],[Height]]-0.4)*Table13[[#This Row],[Whole_weight]]*0.5)</f>
        <v>0.93581250000000005</v>
      </c>
      <c r="W981" cm="1">
        <f t="array" ref="W9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0.74865000000000004</v>
      </c>
      <c r="X981" t="e">
        <f>IF(Table13[[#This Row],[Category All]]="Category 1",Table13[[#This Row],[Base Abalone Value]]*1.5,NA())</f>
        <v>#N/A</v>
      </c>
      <c r="Y981">
        <f>IF(Table13[[#This Row],[Category All]]="Category 2",Table13[[#This Row],[Base Abalone Value]]*0.8,NA())</f>
        <v>0.74865000000000004</v>
      </c>
      <c r="Z981" t="e">
        <f>IF(Table13[[#This Row],[Category All]]="Category 3",Table13[[#This Row],[Base Abalone Value]],NA())</f>
        <v>#N/A</v>
      </c>
      <c r="AA981" s="2" t="e">
        <f>IF(Table13[[#This Row],[Gender]]="M",Table13[[#This Row],[Whole_weight]],NA())</f>
        <v>#N/A</v>
      </c>
      <c r="AB981" s="2">
        <f>IF(Table13[[#This Row],[Gender]]="F",Table13[[#This Row],[Whole_weight]],NA())</f>
        <v>0.45500000000000002</v>
      </c>
      <c r="AC981" s="2" t="e">
        <f>IF(Table13[[#This Row],[Gender]]="I",Table13[[#This Row],[Whole_weight]],NA())</f>
        <v>#N/A</v>
      </c>
      <c r="AD981" s="2" t="e">
        <f>IF(Table13[[#This Row],[Gender]]="M",Table13[[#This Row],[Diameter]],NA())</f>
        <v>#N/A</v>
      </c>
      <c r="AE981" s="2">
        <f>IF(Table13[[#This Row],[Gender]]="F",Table13[[#This Row],[Diameter]],NA())</f>
        <v>0.32500000000000001</v>
      </c>
      <c r="AF981" s="2" t="e">
        <f>IF(Table13[[#This Row],[Gender]]="I",Table13[[#This Row],[Diameter]],NA())</f>
        <v>#N/A</v>
      </c>
    </row>
    <row r="982" spans="1:32" x14ac:dyDescent="0.2">
      <c r="A982">
        <v>728</v>
      </c>
      <c r="B982" t="s">
        <v>0</v>
      </c>
      <c r="C982">
        <v>0.48</v>
      </c>
      <c r="D982">
        <v>0.375</v>
      </c>
      <c r="E982">
        <v>0.105</v>
      </c>
      <c r="F982">
        <v>0.52500000000000002</v>
      </c>
      <c r="G982">
        <v>0.2185</v>
      </c>
      <c r="H982">
        <v>0.1195</v>
      </c>
      <c r="I982">
        <v>0.155</v>
      </c>
      <c r="J982">
        <v>12</v>
      </c>
      <c r="K982">
        <v>10</v>
      </c>
      <c r="L982" t="s">
        <v>16</v>
      </c>
      <c r="M982" t="s">
        <v>17</v>
      </c>
      <c r="N982" t="s">
        <v>18</v>
      </c>
      <c r="O982">
        <v>7</v>
      </c>
      <c r="P982" t="s">
        <v>42</v>
      </c>
      <c r="Q982">
        <v>2.5</v>
      </c>
      <c r="R982" t="str" cm="1">
        <f t="array" ref="R9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82" t="e">
        <f>IF(Table13[[#This Row],[Category All]]="Category 1", "Yes",NA())</f>
        <v>#N/A</v>
      </c>
      <c r="T982" t="str">
        <f>IF(Table13[[#This Row],[Category All]]="Category 2", "Yes",NA())</f>
        <v>Yes</v>
      </c>
      <c r="U982" t="e">
        <f>IF(Table13[[#This Row],[Category All]]="Category 3", "Yes",NA())</f>
        <v>#N/A</v>
      </c>
      <c r="V982">
        <f>SUM(1,(1/3)*(Table13[[#This Row],[Length]]-0.5),(1/3)*(Table13[[#This Row],[Diameter]]-0.4),(1/3)*(Table13[[#This Row],[Height]]-0.4)*Table13[[#This Row],[Whole_weight]]*0.5)</f>
        <v>0.95918749999999997</v>
      </c>
      <c r="W982" cm="1">
        <f t="array" ref="W9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0.76734999999999998</v>
      </c>
      <c r="X982" t="e">
        <f>IF(Table13[[#This Row],[Category All]]="Category 1",Table13[[#This Row],[Base Abalone Value]]*1.5,NA())</f>
        <v>#N/A</v>
      </c>
      <c r="Y982">
        <f>IF(Table13[[#This Row],[Category All]]="Category 2",Table13[[#This Row],[Base Abalone Value]]*0.8,NA())</f>
        <v>0.76734999999999998</v>
      </c>
      <c r="Z982" t="e">
        <f>IF(Table13[[#This Row],[Category All]]="Category 3",Table13[[#This Row],[Base Abalone Value]],NA())</f>
        <v>#N/A</v>
      </c>
      <c r="AA982" s="2" t="e">
        <f>IF(Table13[[#This Row],[Gender]]="M",Table13[[#This Row],[Whole_weight]],NA())</f>
        <v>#N/A</v>
      </c>
      <c r="AB982" s="2">
        <f>IF(Table13[[#This Row],[Gender]]="F",Table13[[#This Row],[Whole_weight]],NA())</f>
        <v>0.52500000000000002</v>
      </c>
      <c r="AC982" s="2" t="e">
        <f>IF(Table13[[#This Row],[Gender]]="I",Table13[[#This Row],[Whole_weight]],NA())</f>
        <v>#N/A</v>
      </c>
      <c r="AD982" s="2" t="e">
        <f>IF(Table13[[#This Row],[Gender]]="M",Table13[[#This Row],[Diameter]],NA())</f>
        <v>#N/A</v>
      </c>
      <c r="AE982" s="2">
        <f>IF(Table13[[#This Row],[Gender]]="F",Table13[[#This Row],[Diameter]],NA())</f>
        <v>0.375</v>
      </c>
      <c r="AF982" s="2" t="e">
        <f>IF(Table13[[#This Row],[Gender]]="I",Table13[[#This Row],[Diameter]],NA())</f>
        <v>#N/A</v>
      </c>
    </row>
    <row r="983" spans="1:32" x14ac:dyDescent="0.2">
      <c r="A983">
        <v>3741</v>
      </c>
      <c r="B983" t="s">
        <v>0</v>
      </c>
      <c r="C983">
        <v>0.65</v>
      </c>
      <c r="D983">
        <v>0.5</v>
      </c>
      <c r="E983">
        <v>0.17</v>
      </c>
      <c r="F983">
        <v>1.4045000000000001</v>
      </c>
      <c r="G983">
        <v>0.69399999999999995</v>
      </c>
      <c r="H983">
        <v>0.318</v>
      </c>
      <c r="I983">
        <v>0.32350000000000001</v>
      </c>
      <c r="J983">
        <v>11</v>
      </c>
      <c r="K983">
        <v>7</v>
      </c>
      <c r="L983" t="s">
        <v>35</v>
      </c>
      <c r="M983" t="s">
        <v>36</v>
      </c>
      <c r="N983" t="s">
        <v>37</v>
      </c>
      <c r="O983">
        <v>4</v>
      </c>
      <c r="P983" t="s">
        <v>10</v>
      </c>
      <c r="Q983">
        <v>6.1</v>
      </c>
      <c r="R983" t="str" cm="1">
        <f t="array" ref="R9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83" t="e">
        <f>IF(Table13[[#This Row],[Category All]]="Category 1", "Yes",NA())</f>
        <v>#N/A</v>
      </c>
      <c r="T983" t="e">
        <f>IF(Table13[[#This Row],[Category All]]="Category 2", "Yes",NA())</f>
        <v>#N/A</v>
      </c>
      <c r="U983" t="str">
        <f>IF(Table13[[#This Row],[Category All]]="Category 3", "Yes",NA())</f>
        <v>Yes</v>
      </c>
      <c r="V983">
        <f>SUM(1,(1/3)*(Table13[[#This Row],[Length]]-0.5),(1/3)*(Table13[[#This Row],[Diameter]]-0.4),(1/3)*(Table13[[#This Row],[Height]]-0.4)*Table13[[#This Row],[Whole_weight]]*0.5)</f>
        <v>1.0294941666666668</v>
      </c>
      <c r="W983" cm="1">
        <f t="array" ref="W9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1.0294941666666668</v>
      </c>
      <c r="X983" t="e">
        <f>IF(Table13[[#This Row],[Category All]]="Category 1",Table13[[#This Row],[Base Abalone Value]]*1.5,NA())</f>
        <v>#N/A</v>
      </c>
      <c r="Y983" t="e">
        <f>IF(Table13[[#This Row],[Category All]]="Category 2",Table13[[#This Row],[Base Abalone Value]]*0.8,NA())</f>
        <v>#N/A</v>
      </c>
      <c r="Z983">
        <f>IF(Table13[[#This Row],[Category All]]="Category 3",Table13[[#This Row],[Base Abalone Value]],NA())</f>
        <v>1.0294941666666668</v>
      </c>
      <c r="AA983" s="2" t="e">
        <f>IF(Table13[[#This Row],[Gender]]="M",Table13[[#This Row],[Whole_weight]],NA())</f>
        <v>#N/A</v>
      </c>
      <c r="AB983" s="2">
        <f>IF(Table13[[#This Row],[Gender]]="F",Table13[[#This Row],[Whole_weight]],NA())</f>
        <v>1.4045000000000001</v>
      </c>
      <c r="AC983" s="2" t="e">
        <f>IF(Table13[[#This Row],[Gender]]="I",Table13[[#This Row],[Whole_weight]],NA())</f>
        <v>#N/A</v>
      </c>
      <c r="AD983" s="2" t="e">
        <f>IF(Table13[[#This Row],[Gender]]="M",Table13[[#This Row],[Diameter]],NA())</f>
        <v>#N/A</v>
      </c>
      <c r="AE983" s="2">
        <f>IF(Table13[[#This Row],[Gender]]="F",Table13[[#This Row],[Diameter]],NA())</f>
        <v>0.5</v>
      </c>
      <c r="AF983" s="2" t="e">
        <f>IF(Table13[[#This Row],[Gender]]="I",Table13[[#This Row],[Diameter]],NA())</f>
        <v>#N/A</v>
      </c>
    </row>
    <row r="984" spans="1:32" x14ac:dyDescent="0.2">
      <c r="A984">
        <v>1077</v>
      </c>
      <c r="B984" t="s">
        <v>11</v>
      </c>
      <c r="C984">
        <v>0.42</v>
      </c>
      <c r="D984">
        <v>0.3</v>
      </c>
      <c r="E984">
        <v>0.105</v>
      </c>
      <c r="F984">
        <v>0.316</v>
      </c>
      <c r="G984">
        <v>0.1255</v>
      </c>
      <c r="H984">
        <v>7.0000000000000007E-2</v>
      </c>
      <c r="I984">
        <v>0.10349999999999999</v>
      </c>
      <c r="J984">
        <v>7</v>
      </c>
      <c r="K984">
        <v>2</v>
      </c>
      <c r="L984" t="s">
        <v>32</v>
      </c>
      <c r="M984" t="s">
        <v>33</v>
      </c>
      <c r="N984" t="s">
        <v>34</v>
      </c>
      <c r="O984">
        <v>3</v>
      </c>
      <c r="P984" t="s">
        <v>48</v>
      </c>
      <c r="Q984">
        <v>3.6</v>
      </c>
      <c r="R984" t="str" cm="1">
        <f t="array" ref="R9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84" t="e">
        <f>IF(Table13[[#This Row],[Category All]]="Category 1", "Yes",NA())</f>
        <v>#N/A</v>
      </c>
      <c r="T984" t="str">
        <f>IF(Table13[[#This Row],[Category All]]="Category 2", "Yes",NA())</f>
        <v>Yes</v>
      </c>
      <c r="U984" t="e">
        <f>IF(Table13[[#This Row],[Category All]]="Category 3", "Yes",NA())</f>
        <v>#N/A</v>
      </c>
      <c r="V984">
        <f>SUM(1,(1/3)*(Table13[[#This Row],[Length]]-0.5),(1/3)*(Table13[[#This Row],[Diameter]]-0.4),(1/3)*(Table13[[#This Row],[Height]]-0.4)*Table13[[#This Row],[Whole_weight]]*0.5)</f>
        <v>0.92446333333333341</v>
      </c>
      <c r="W984" cm="1">
        <f t="array" ref="W9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0.73957066666666682</v>
      </c>
      <c r="X984" t="e">
        <f>IF(Table13[[#This Row],[Category All]]="Category 1",Table13[[#This Row],[Base Abalone Value]]*1.5,NA())</f>
        <v>#N/A</v>
      </c>
      <c r="Y984">
        <f>IF(Table13[[#This Row],[Category All]]="Category 2",Table13[[#This Row],[Base Abalone Value]]*0.8,NA())</f>
        <v>0.73957066666666682</v>
      </c>
      <c r="Z984" t="e">
        <f>IF(Table13[[#This Row],[Category All]]="Category 3",Table13[[#This Row],[Base Abalone Value]],NA())</f>
        <v>#N/A</v>
      </c>
      <c r="AA984" s="2" t="e">
        <f>IF(Table13[[#This Row],[Gender]]="M",Table13[[#This Row],[Whole_weight]],NA())</f>
        <v>#N/A</v>
      </c>
      <c r="AB984" s="2" t="e">
        <f>IF(Table13[[#This Row],[Gender]]="F",Table13[[#This Row],[Whole_weight]],NA())</f>
        <v>#N/A</v>
      </c>
      <c r="AC984" s="2">
        <f>IF(Table13[[#This Row],[Gender]]="I",Table13[[#This Row],[Whole_weight]],NA())</f>
        <v>0.316</v>
      </c>
      <c r="AD984" s="2" t="e">
        <f>IF(Table13[[#This Row],[Gender]]="M",Table13[[#This Row],[Diameter]],NA())</f>
        <v>#N/A</v>
      </c>
      <c r="AE984" s="2" t="e">
        <f>IF(Table13[[#This Row],[Gender]]="F",Table13[[#This Row],[Diameter]],NA())</f>
        <v>#N/A</v>
      </c>
      <c r="AF984" s="2">
        <f>IF(Table13[[#This Row],[Gender]]="I",Table13[[#This Row],[Diameter]],NA())</f>
        <v>0.3</v>
      </c>
    </row>
    <row r="985" spans="1:32" x14ac:dyDescent="0.2">
      <c r="A985">
        <v>2829</v>
      </c>
      <c r="B985" t="s">
        <v>15</v>
      </c>
      <c r="C985">
        <v>0.52</v>
      </c>
      <c r="D985">
        <v>0.4</v>
      </c>
      <c r="E985">
        <v>0.105</v>
      </c>
      <c r="F985">
        <v>0.872</v>
      </c>
      <c r="G985">
        <v>0.45150000000000001</v>
      </c>
      <c r="H985">
        <v>0.1615</v>
      </c>
      <c r="I985">
        <v>0.19850000000000001</v>
      </c>
      <c r="J985">
        <v>9</v>
      </c>
      <c r="K985">
        <v>6</v>
      </c>
      <c r="L985" t="s">
        <v>39</v>
      </c>
      <c r="M985" t="s">
        <v>40</v>
      </c>
      <c r="N985" t="s">
        <v>41</v>
      </c>
      <c r="O985">
        <v>10</v>
      </c>
      <c r="P985" t="s">
        <v>38</v>
      </c>
      <c r="Q985">
        <v>24.1</v>
      </c>
      <c r="R985" t="str" cm="1">
        <f t="array" ref="R9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85" t="e">
        <f>IF(Table13[[#This Row],[Category All]]="Category 1", "Yes",NA())</f>
        <v>#N/A</v>
      </c>
      <c r="T985" t="e">
        <f>IF(Table13[[#This Row],[Category All]]="Category 2", "Yes",NA())</f>
        <v>#N/A</v>
      </c>
      <c r="U985" t="str">
        <f>IF(Table13[[#This Row],[Category All]]="Category 3", "Yes",NA())</f>
        <v>Yes</v>
      </c>
      <c r="V985">
        <f>SUM(1,(1/3)*(Table13[[#This Row],[Length]]-0.5),(1/3)*(Table13[[#This Row],[Diameter]]-0.4),(1/3)*(Table13[[#This Row],[Height]]-0.4)*Table13[[#This Row],[Whole_weight]]*0.5)</f>
        <v>0.96379333333333328</v>
      </c>
      <c r="W985" cm="1">
        <f t="array" ref="W9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0.96379333333333328</v>
      </c>
      <c r="X985" t="e">
        <f>IF(Table13[[#This Row],[Category All]]="Category 1",Table13[[#This Row],[Base Abalone Value]]*1.5,NA())</f>
        <v>#N/A</v>
      </c>
      <c r="Y985" t="e">
        <f>IF(Table13[[#This Row],[Category All]]="Category 2",Table13[[#This Row],[Base Abalone Value]]*0.8,NA())</f>
        <v>#N/A</v>
      </c>
      <c r="Z985">
        <f>IF(Table13[[#This Row],[Category All]]="Category 3",Table13[[#This Row],[Base Abalone Value]],NA())</f>
        <v>0.96379333333333328</v>
      </c>
      <c r="AA985" s="2">
        <f>IF(Table13[[#This Row],[Gender]]="M",Table13[[#This Row],[Whole_weight]],NA())</f>
        <v>0.872</v>
      </c>
      <c r="AB985" s="2" t="e">
        <f>IF(Table13[[#This Row],[Gender]]="F",Table13[[#This Row],[Whole_weight]],NA())</f>
        <v>#N/A</v>
      </c>
      <c r="AC985" s="2" t="e">
        <f>IF(Table13[[#This Row],[Gender]]="I",Table13[[#This Row],[Whole_weight]],NA())</f>
        <v>#N/A</v>
      </c>
      <c r="AD985" s="2">
        <f>IF(Table13[[#This Row],[Gender]]="M",Table13[[#This Row],[Diameter]],NA())</f>
        <v>0.4</v>
      </c>
      <c r="AE985" s="2" t="e">
        <f>IF(Table13[[#This Row],[Gender]]="F",Table13[[#This Row],[Diameter]],NA())</f>
        <v>#N/A</v>
      </c>
      <c r="AF985" s="2" t="e">
        <f>IF(Table13[[#This Row],[Gender]]="I",Table13[[#This Row],[Diameter]],NA())</f>
        <v>#N/A</v>
      </c>
    </row>
    <row r="986" spans="1:32" x14ac:dyDescent="0.2">
      <c r="A986">
        <v>3231</v>
      </c>
      <c r="B986" t="s">
        <v>15</v>
      </c>
      <c r="C986">
        <v>0.56999999999999995</v>
      </c>
      <c r="D986">
        <v>0.45500000000000002</v>
      </c>
      <c r="E986">
        <v>0.15</v>
      </c>
      <c r="F986">
        <v>0.96</v>
      </c>
      <c r="G986">
        <v>0.38700000000000001</v>
      </c>
      <c r="H986">
        <v>0.23849999999999999</v>
      </c>
      <c r="I986">
        <v>0.27500000000000002</v>
      </c>
      <c r="J986">
        <v>11</v>
      </c>
      <c r="K986">
        <v>14</v>
      </c>
      <c r="L986" t="s">
        <v>23</v>
      </c>
      <c r="M986" t="s">
        <v>24</v>
      </c>
      <c r="N986" t="s">
        <v>25</v>
      </c>
      <c r="O986">
        <v>6</v>
      </c>
      <c r="P986" t="s">
        <v>47</v>
      </c>
      <c r="Q986">
        <v>14.1</v>
      </c>
      <c r="R986" t="str" cm="1">
        <f t="array" ref="R9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86" t="e">
        <f>IF(Table13[[#This Row],[Category All]]="Category 1", "Yes",NA())</f>
        <v>#N/A</v>
      </c>
      <c r="T986" t="str">
        <f>IF(Table13[[#This Row],[Category All]]="Category 2", "Yes",NA())</f>
        <v>Yes</v>
      </c>
      <c r="U986" t="e">
        <f>IF(Table13[[#This Row],[Category All]]="Category 3", "Yes",NA())</f>
        <v>#N/A</v>
      </c>
      <c r="V986">
        <f>SUM(1,(1/3)*(Table13[[#This Row],[Length]]-0.5),(1/3)*(Table13[[#This Row],[Diameter]]-0.4),(1/3)*(Table13[[#This Row],[Height]]-0.4)*Table13[[#This Row],[Whole_weight]]*0.5)</f>
        <v>1.0016666666666667</v>
      </c>
      <c r="W986" cm="1">
        <f t="array" ref="W9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0.80133333333333345</v>
      </c>
      <c r="X986" t="e">
        <f>IF(Table13[[#This Row],[Category All]]="Category 1",Table13[[#This Row],[Base Abalone Value]]*1.5,NA())</f>
        <v>#N/A</v>
      </c>
      <c r="Y986">
        <f>IF(Table13[[#This Row],[Category All]]="Category 2",Table13[[#This Row],[Base Abalone Value]]*0.8,NA())</f>
        <v>0.80133333333333345</v>
      </c>
      <c r="Z986" t="e">
        <f>IF(Table13[[#This Row],[Category All]]="Category 3",Table13[[#This Row],[Base Abalone Value]],NA())</f>
        <v>#N/A</v>
      </c>
      <c r="AA986" s="2">
        <f>IF(Table13[[#This Row],[Gender]]="M",Table13[[#This Row],[Whole_weight]],NA())</f>
        <v>0.96</v>
      </c>
      <c r="AB986" s="2" t="e">
        <f>IF(Table13[[#This Row],[Gender]]="F",Table13[[#This Row],[Whole_weight]],NA())</f>
        <v>#N/A</v>
      </c>
      <c r="AC986" s="2" t="e">
        <f>IF(Table13[[#This Row],[Gender]]="I",Table13[[#This Row],[Whole_weight]],NA())</f>
        <v>#N/A</v>
      </c>
      <c r="AD986" s="2">
        <f>IF(Table13[[#This Row],[Gender]]="M",Table13[[#This Row],[Diameter]],NA())</f>
        <v>0.45500000000000002</v>
      </c>
      <c r="AE986" s="2" t="e">
        <f>IF(Table13[[#This Row],[Gender]]="F",Table13[[#This Row],[Diameter]],NA())</f>
        <v>#N/A</v>
      </c>
      <c r="AF986" s="2" t="e">
        <f>IF(Table13[[#This Row],[Gender]]="I",Table13[[#This Row],[Diameter]],NA())</f>
        <v>#N/A</v>
      </c>
    </row>
    <row r="987" spans="1:32" x14ac:dyDescent="0.2">
      <c r="A987">
        <v>3704</v>
      </c>
      <c r="B987" t="s">
        <v>0</v>
      </c>
      <c r="C987">
        <v>0.67</v>
      </c>
      <c r="D987">
        <v>0.51</v>
      </c>
      <c r="E987">
        <v>0.155</v>
      </c>
      <c r="F987">
        <v>1.278</v>
      </c>
      <c r="G987">
        <v>0.5605</v>
      </c>
      <c r="H987">
        <v>0.30449999999999999</v>
      </c>
      <c r="I987">
        <v>0.35799999999999998</v>
      </c>
      <c r="J987">
        <v>11</v>
      </c>
      <c r="K987">
        <v>12</v>
      </c>
      <c r="L987" t="s">
        <v>1</v>
      </c>
      <c r="M987" t="s">
        <v>2</v>
      </c>
      <c r="N987" t="s">
        <v>3</v>
      </c>
      <c r="O987">
        <v>8</v>
      </c>
      <c r="P987" t="s">
        <v>19</v>
      </c>
      <c r="Q987">
        <v>12.3</v>
      </c>
      <c r="R987" t="str" cm="1">
        <f t="array" ref="R9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87" t="e">
        <f>IF(Table13[[#This Row],[Category All]]="Category 1", "Yes",NA())</f>
        <v>#N/A</v>
      </c>
      <c r="T987" t="e">
        <f>IF(Table13[[#This Row],[Category All]]="Category 2", "Yes",NA())</f>
        <v>#N/A</v>
      </c>
      <c r="U987" t="str">
        <f>IF(Table13[[#This Row],[Category All]]="Category 3", "Yes",NA())</f>
        <v>Yes</v>
      </c>
      <c r="V987">
        <f>SUM(1,(1/3)*(Table13[[#This Row],[Length]]-0.5),(1/3)*(Table13[[#This Row],[Diameter]]-0.4),(1/3)*(Table13[[#This Row],[Height]]-0.4)*Table13[[#This Row],[Whole_weight]]*0.5)</f>
        <v>1.0411483333333333</v>
      </c>
      <c r="W987" cm="1">
        <f t="array" ref="W9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1.0411483333333333</v>
      </c>
      <c r="X987" t="e">
        <f>IF(Table13[[#This Row],[Category All]]="Category 1",Table13[[#This Row],[Base Abalone Value]]*1.5,NA())</f>
        <v>#N/A</v>
      </c>
      <c r="Y987" t="e">
        <f>IF(Table13[[#This Row],[Category All]]="Category 2",Table13[[#This Row],[Base Abalone Value]]*0.8,NA())</f>
        <v>#N/A</v>
      </c>
      <c r="Z987">
        <f>IF(Table13[[#This Row],[Category All]]="Category 3",Table13[[#This Row],[Base Abalone Value]],NA())</f>
        <v>1.0411483333333333</v>
      </c>
      <c r="AA987" s="2" t="e">
        <f>IF(Table13[[#This Row],[Gender]]="M",Table13[[#This Row],[Whole_weight]],NA())</f>
        <v>#N/A</v>
      </c>
      <c r="AB987" s="2">
        <f>IF(Table13[[#This Row],[Gender]]="F",Table13[[#This Row],[Whole_weight]],NA())</f>
        <v>1.278</v>
      </c>
      <c r="AC987" s="2" t="e">
        <f>IF(Table13[[#This Row],[Gender]]="I",Table13[[#This Row],[Whole_weight]],NA())</f>
        <v>#N/A</v>
      </c>
      <c r="AD987" s="2" t="e">
        <f>IF(Table13[[#This Row],[Gender]]="M",Table13[[#This Row],[Diameter]],NA())</f>
        <v>#N/A</v>
      </c>
      <c r="AE987" s="2">
        <f>IF(Table13[[#This Row],[Gender]]="F",Table13[[#This Row],[Diameter]],NA())</f>
        <v>0.51</v>
      </c>
      <c r="AF987" s="2" t="e">
        <f>IF(Table13[[#This Row],[Gender]]="I",Table13[[#This Row],[Diameter]],NA())</f>
        <v>#N/A</v>
      </c>
    </row>
    <row r="988" spans="1:32" x14ac:dyDescent="0.2">
      <c r="A988">
        <v>2163</v>
      </c>
      <c r="B988" t="s">
        <v>0</v>
      </c>
      <c r="C988">
        <v>0.71</v>
      </c>
      <c r="D988">
        <v>0.56499999999999995</v>
      </c>
      <c r="E988">
        <v>0.19500000000000001</v>
      </c>
      <c r="F988">
        <v>1.8169999999999999</v>
      </c>
      <c r="G988">
        <v>0.78500000000000003</v>
      </c>
      <c r="H988">
        <v>0.49199999999999999</v>
      </c>
      <c r="I988">
        <v>0.49</v>
      </c>
      <c r="J988">
        <v>11</v>
      </c>
      <c r="K988">
        <v>6</v>
      </c>
      <c r="L988" t="s">
        <v>39</v>
      </c>
      <c r="M988" t="s">
        <v>40</v>
      </c>
      <c r="N988" t="s">
        <v>41</v>
      </c>
      <c r="O988">
        <v>9</v>
      </c>
      <c r="P988" t="s">
        <v>46</v>
      </c>
      <c r="Q988">
        <v>1.9</v>
      </c>
      <c r="R988" t="str" cm="1">
        <f t="array" ref="R9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88" t="e">
        <f>IF(Table13[[#This Row],[Category All]]="Category 1", "Yes",NA())</f>
        <v>#N/A</v>
      </c>
      <c r="T988" t="e">
        <f>IF(Table13[[#This Row],[Category All]]="Category 2", "Yes",NA())</f>
        <v>#N/A</v>
      </c>
      <c r="U988" t="str">
        <f>IF(Table13[[#This Row],[Category All]]="Category 3", "Yes",NA())</f>
        <v>Yes</v>
      </c>
      <c r="V988">
        <f>SUM(1,(1/3)*(Table13[[#This Row],[Length]]-0.5),(1/3)*(Table13[[#This Row],[Diameter]]-0.4),(1/3)*(Table13[[#This Row],[Height]]-0.4)*Table13[[#This Row],[Whole_weight]]*0.5)</f>
        <v>1.0629191666666666</v>
      </c>
      <c r="W988" cm="1">
        <f t="array" ref="W9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1.0629191666666666</v>
      </c>
      <c r="X988" t="e">
        <f>IF(Table13[[#This Row],[Category All]]="Category 1",Table13[[#This Row],[Base Abalone Value]]*1.5,NA())</f>
        <v>#N/A</v>
      </c>
      <c r="Y988" t="e">
        <f>IF(Table13[[#This Row],[Category All]]="Category 2",Table13[[#This Row],[Base Abalone Value]]*0.8,NA())</f>
        <v>#N/A</v>
      </c>
      <c r="Z988">
        <f>IF(Table13[[#This Row],[Category All]]="Category 3",Table13[[#This Row],[Base Abalone Value]],NA())</f>
        <v>1.0629191666666666</v>
      </c>
      <c r="AA988" s="2" t="e">
        <f>IF(Table13[[#This Row],[Gender]]="M",Table13[[#This Row],[Whole_weight]],NA())</f>
        <v>#N/A</v>
      </c>
      <c r="AB988" s="2">
        <f>IF(Table13[[#This Row],[Gender]]="F",Table13[[#This Row],[Whole_weight]],NA())</f>
        <v>1.8169999999999999</v>
      </c>
      <c r="AC988" s="2" t="e">
        <f>IF(Table13[[#This Row],[Gender]]="I",Table13[[#This Row],[Whole_weight]],NA())</f>
        <v>#N/A</v>
      </c>
      <c r="AD988" s="2" t="e">
        <f>IF(Table13[[#This Row],[Gender]]="M",Table13[[#This Row],[Diameter]],NA())</f>
        <v>#N/A</v>
      </c>
      <c r="AE988" s="2">
        <f>IF(Table13[[#This Row],[Gender]]="F",Table13[[#This Row],[Diameter]],NA())</f>
        <v>0.56499999999999995</v>
      </c>
      <c r="AF988" s="2" t="e">
        <f>IF(Table13[[#This Row],[Gender]]="I",Table13[[#This Row],[Diameter]],NA())</f>
        <v>#N/A</v>
      </c>
    </row>
    <row r="989" spans="1:32" x14ac:dyDescent="0.2">
      <c r="A989">
        <v>3736</v>
      </c>
      <c r="B989" t="s">
        <v>15</v>
      </c>
      <c r="C989">
        <v>0.61499999999999999</v>
      </c>
      <c r="D989">
        <v>0.47499999999999998</v>
      </c>
      <c r="E989">
        <v>0.15</v>
      </c>
      <c r="F989">
        <v>1.0375000000000001</v>
      </c>
      <c r="G989">
        <v>0.47599999999999998</v>
      </c>
      <c r="H989">
        <v>0.23250000000000001</v>
      </c>
      <c r="I989">
        <v>0.28299999999999997</v>
      </c>
      <c r="J989">
        <v>9</v>
      </c>
      <c r="K989">
        <v>13</v>
      </c>
      <c r="L989" t="s">
        <v>12</v>
      </c>
      <c r="M989" t="s">
        <v>13</v>
      </c>
      <c r="N989" t="s">
        <v>3</v>
      </c>
      <c r="O989">
        <v>5</v>
      </c>
      <c r="P989" t="s">
        <v>14</v>
      </c>
      <c r="Q989">
        <v>12.8</v>
      </c>
      <c r="R989" t="str" cm="1">
        <f t="array" ref="R9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89" t="e">
        <f>IF(Table13[[#This Row],[Category All]]="Category 1", "Yes",NA())</f>
        <v>#N/A</v>
      </c>
      <c r="T989" t="e">
        <f>IF(Table13[[#This Row],[Category All]]="Category 2", "Yes",NA())</f>
        <v>#N/A</v>
      </c>
      <c r="U989" t="str">
        <f>IF(Table13[[#This Row],[Category All]]="Category 3", "Yes",NA())</f>
        <v>Yes</v>
      </c>
      <c r="V989">
        <f>SUM(1,(1/3)*(Table13[[#This Row],[Length]]-0.5),(1/3)*(Table13[[#This Row],[Diameter]]-0.4),(1/3)*(Table13[[#This Row],[Height]]-0.4)*Table13[[#This Row],[Whole_weight]]*0.5)</f>
        <v>1.0201041666666666</v>
      </c>
      <c r="W989" cm="1">
        <f t="array" ref="W9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1.0201041666666666</v>
      </c>
      <c r="X989" t="e">
        <f>IF(Table13[[#This Row],[Category All]]="Category 1",Table13[[#This Row],[Base Abalone Value]]*1.5,NA())</f>
        <v>#N/A</v>
      </c>
      <c r="Y989" t="e">
        <f>IF(Table13[[#This Row],[Category All]]="Category 2",Table13[[#This Row],[Base Abalone Value]]*0.8,NA())</f>
        <v>#N/A</v>
      </c>
      <c r="Z989">
        <f>IF(Table13[[#This Row],[Category All]]="Category 3",Table13[[#This Row],[Base Abalone Value]],NA())</f>
        <v>1.0201041666666666</v>
      </c>
      <c r="AA989" s="2">
        <f>IF(Table13[[#This Row],[Gender]]="M",Table13[[#This Row],[Whole_weight]],NA())</f>
        <v>1.0375000000000001</v>
      </c>
      <c r="AB989" s="2" t="e">
        <f>IF(Table13[[#This Row],[Gender]]="F",Table13[[#This Row],[Whole_weight]],NA())</f>
        <v>#N/A</v>
      </c>
      <c r="AC989" s="2" t="e">
        <f>IF(Table13[[#This Row],[Gender]]="I",Table13[[#This Row],[Whole_weight]],NA())</f>
        <v>#N/A</v>
      </c>
      <c r="AD989" s="2">
        <f>IF(Table13[[#This Row],[Gender]]="M",Table13[[#This Row],[Diameter]],NA())</f>
        <v>0.47499999999999998</v>
      </c>
      <c r="AE989" s="2" t="e">
        <f>IF(Table13[[#This Row],[Gender]]="F",Table13[[#This Row],[Diameter]],NA())</f>
        <v>#N/A</v>
      </c>
      <c r="AF989" s="2" t="e">
        <f>IF(Table13[[#This Row],[Gender]]="I",Table13[[#This Row],[Diameter]],NA())</f>
        <v>#N/A</v>
      </c>
    </row>
    <row r="990" spans="1:32" x14ac:dyDescent="0.2">
      <c r="A990">
        <v>3035</v>
      </c>
      <c r="B990" t="s">
        <v>15</v>
      </c>
      <c r="C990">
        <v>0.54</v>
      </c>
      <c r="D990">
        <v>0.42</v>
      </c>
      <c r="E990">
        <v>0.19</v>
      </c>
      <c r="F990">
        <v>0.6855</v>
      </c>
      <c r="G990">
        <v>0.29299999999999998</v>
      </c>
      <c r="H990">
        <v>0.16300000000000001</v>
      </c>
      <c r="I990">
        <v>0.38</v>
      </c>
      <c r="J990">
        <v>10</v>
      </c>
      <c r="K990">
        <v>4</v>
      </c>
      <c r="L990" t="s">
        <v>52</v>
      </c>
      <c r="M990" t="s">
        <v>53</v>
      </c>
      <c r="N990" t="s">
        <v>54</v>
      </c>
      <c r="O990">
        <v>8</v>
      </c>
      <c r="P990" t="s">
        <v>19</v>
      </c>
      <c r="Q990">
        <v>12.3</v>
      </c>
      <c r="R990" t="str" cm="1">
        <f t="array" ref="R9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0" t="e">
        <f>IF(Table13[[#This Row],[Category All]]="Category 1", "Yes",NA())</f>
        <v>#N/A</v>
      </c>
      <c r="T990" t="str">
        <f>IF(Table13[[#This Row],[Category All]]="Category 2", "Yes",NA())</f>
        <v>Yes</v>
      </c>
      <c r="U990" t="e">
        <f>IF(Table13[[#This Row],[Category All]]="Category 3", "Yes",NA())</f>
        <v>#N/A</v>
      </c>
      <c r="V990">
        <f>SUM(1,(1/3)*(Table13[[#This Row],[Length]]-0.5),(1/3)*(Table13[[#This Row],[Diameter]]-0.4),(1/3)*(Table13[[#This Row],[Height]]-0.4)*Table13[[#This Row],[Whole_weight]]*0.5)</f>
        <v>0.99600750000000005</v>
      </c>
      <c r="W990" cm="1">
        <f t="array" ref="W9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0.79680600000000013</v>
      </c>
      <c r="X990" t="e">
        <f>IF(Table13[[#This Row],[Category All]]="Category 1",Table13[[#This Row],[Base Abalone Value]]*1.5,NA())</f>
        <v>#N/A</v>
      </c>
      <c r="Y990">
        <f>IF(Table13[[#This Row],[Category All]]="Category 2",Table13[[#This Row],[Base Abalone Value]]*0.8,NA())</f>
        <v>0.79680600000000013</v>
      </c>
      <c r="Z990" t="e">
        <f>IF(Table13[[#This Row],[Category All]]="Category 3",Table13[[#This Row],[Base Abalone Value]],NA())</f>
        <v>#N/A</v>
      </c>
      <c r="AA990" s="2">
        <f>IF(Table13[[#This Row],[Gender]]="M",Table13[[#This Row],[Whole_weight]],NA())</f>
        <v>0.6855</v>
      </c>
      <c r="AB990" s="2" t="e">
        <f>IF(Table13[[#This Row],[Gender]]="F",Table13[[#This Row],[Whole_weight]],NA())</f>
        <v>#N/A</v>
      </c>
      <c r="AC990" s="2" t="e">
        <f>IF(Table13[[#This Row],[Gender]]="I",Table13[[#This Row],[Whole_weight]],NA())</f>
        <v>#N/A</v>
      </c>
      <c r="AD990" s="2">
        <f>IF(Table13[[#This Row],[Gender]]="M",Table13[[#This Row],[Diameter]],NA())</f>
        <v>0.42</v>
      </c>
      <c r="AE990" s="2" t="e">
        <f>IF(Table13[[#This Row],[Gender]]="F",Table13[[#This Row],[Diameter]],NA())</f>
        <v>#N/A</v>
      </c>
      <c r="AF990" s="2" t="e">
        <f>IF(Table13[[#This Row],[Gender]]="I",Table13[[#This Row],[Diameter]],NA())</f>
        <v>#N/A</v>
      </c>
    </row>
    <row r="991" spans="1:32" x14ac:dyDescent="0.2">
      <c r="A991">
        <v>2288</v>
      </c>
      <c r="B991" t="s">
        <v>0</v>
      </c>
      <c r="C991">
        <v>0.38500000000000001</v>
      </c>
      <c r="D991">
        <v>0.30499999999999999</v>
      </c>
      <c r="E991">
        <v>0.105</v>
      </c>
      <c r="F991">
        <v>0.33150000000000002</v>
      </c>
      <c r="G991">
        <v>0.13650000000000001</v>
      </c>
      <c r="H991">
        <v>7.4499999999999997E-2</v>
      </c>
      <c r="I991">
        <v>0.1</v>
      </c>
      <c r="J991">
        <v>7</v>
      </c>
      <c r="K991">
        <v>14</v>
      </c>
      <c r="L991" t="s">
        <v>23</v>
      </c>
      <c r="M991" t="s">
        <v>24</v>
      </c>
      <c r="N991" t="s">
        <v>25</v>
      </c>
      <c r="O991">
        <v>6</v>
      </c>
      <c r="P991" t="s">
        <v>47</v>
      </c>
      <c r="Q991">
        <v>14.1</v>
      </c>
      <c r="R991" t="str" cm="1">
        <f t="array" ref="R9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1" t="e">
        <f>IF(Table13[[#This Row],[Category All]]="Category 1", "Yes",NA())</f>
        <v>#N/A</v>
      </c>
      <c r="T991" t="str">
        <f>IF(Table13[[#This Row],[Category All]]="Category 2", "Yes",NA())</f>
        <v>Yes</v>
      </c>
      <c r="U991" t="e">
        <f>IF(Table13[[#This Row],[Category All]]="Category 3", "Yes",NA())</f>
        <v>#N/A</v>
      </c>
      <c r="V991">
        <f>SUM(1,(1/3)*(Table13[[#This Row],[Length]]-0.5),(1/3)*(Table13[[#This Row],[Diameter]]-0.4),(1/3)*(Table13[[#This Row],[Height]]-0.4)*Table13[[#This Row],[Whole_weight]]*0.5)</f>
        <v>0.91370124999999991</v>
      </c>
      <c r="W991" cm="1">
        <f t="array" ref="W9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0.73096099999999997</v>
      </c>
      <c r="X991" t="e">
        <f>IF(Table13[[#This Row],[Category All]]="Category 1",Table13[[#This Row],[Base Abalone Value]]*1.5,NA())</f>
        <v>#N/A</v>
      </c>
      <c r="Y991">
        <f>IF(Table13[[#This Row],[Category All]]="Category 2",Table13[[#This Row],[Base Abalone Value]]*0.8,NA())</f>
        <v>0.73096099999999997</v>
      </c>
      <c r="Z991" t="e">
        <f>IF(Table13[[#This Row],[Category All]]="Category 3",Table13[[#This Row],[Base Abalone Value]],NA())</f>
        <v>#N/A</v>
      </c>
      <c r="AA991" s="2" t="e">
        <f>IF(Table13[[#This Row],[Gender]]="M",Table13[[#This Row],[Whole_weight]],NA())</f>
        <v>#N/A</v>
      </c>
      <c r="AB991" s="2">
        <f>IF(Table13[[#This Row],[Gender]]="F",Table13[[#This Row],[Whole_weight]],NA())</f>
        <v>0.33150000000000002</v>
      </c>
      <c r="AC991" s="2" t="e">
        <f>IF(Table13[[#This Row],[Gender]]="I",Table13[[#This Row],[Whole_weight]],NA())</f>
        <v>#N/A</v>
      </c>
      <c r="AD991" s="2" t="e">
        <f>IF(Table13[[#This Row],[Gender]]="M",Table13[[#This Row],[Diameter]],NA())</f>
        <v>#N/A</v>
      </c>
      <c r="AE991" s="2">
        <f>IF(Table13[[#This Row],[Gender]]="F",Table13[[#This Row],[Diameter]],NA())</f>
        <v>0.30499999999999999</v>
      </c>
      <c r="AF991" s="2" t="e">
        <f>IF(Table13[[#This Row],[Gender]]="I",Table13[[#This Row],[Diameter]],NA())</f>
        <v>#N/A</v>
      </c>
    </row>
    <row r="992" spans="1:32" x14ac:dyDescent="0.2">
      <c r="A992">
        <v>3220</v>
      </c>
      <c r="B992" t="s">
        <v>15</v>
      </c>
      <c r="C992">
        <v>0.67500000000000004</v>
      </c>
      <c r="D992">
        <v>0.52500000000000002</v>
      </c>
      <c r="E992">
        <v>0.17499999999999999</v>
      </c>
      <c r="F992">
        <v>1.4019999999999999</v>
      </c>
      <c r="G992">
        <v>0.48299999999999998</v>
      </c>
      <c r="H992">
        <v>0.32050000000000001</v>
      </c>
      <c r="I992">
        <v>0.46500000000000002</v>
      </c>
      <c r="J992">
        <v>16</v>
      </c>
      <c r="K992">
        <v>2</v>
      </c>
      <c r="L992" t="s">
        <v>32</v>
      </c>
      <c r="M992" t="s">
        <v>33</v>
      </c>
      <c r="N992" t="s">
        <v>34</v>
      </c>
      <c r="O992">
        <v>1</v>
      </c>
      <c r="P992" t="s">
        <v>4</v>
      </c>
      <c r="Q992">
        <v>22.1</v>
      </c>
      <c r="R992" t="str" cm="1">
        <f t="array" ref="R9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2" t="e">
        <f>IF(Table13[[#This Row],[Category All]]="Category 1", "Yes",NA())</f>
        <v>#N/A</v>
      </c>
      <c r="T992" t="str">
        <f>IF(Table13[[#This Row],[Category All]]="Category 2", "Yes",NA())</f>
        <v>Yes</v>
      </c>
      <c r="U992" t="e">
        <f>IF(Table13[[#This Row],[Category All]]="Category 3", "Yes",NA())</f>
        <v>#N/A</v>
      </c>
      <c r="V992">
        <f>SUM(1,(1/3)*(Table13[[#This Row],[Length]]-0.5),(1/3)*(Table13[[#This Row],[Diameter]]-0.4),(1/3)*(Table13[[#This Row],[Height]]-0.4)*Table13[[#This Row],[Whole_weight]]*0.5)</f>
        <v>1.0474250000000001</v>
      </c>
      <c r="W992" cm="1">
        <f t="array" ref="W9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0.83794000000000013</v>
      </c>
      <c r="X992" t="e">
        <f>IF(Table13[[#This Row],[Category All]]="Category 1",Table13[[#This Row],[Base Abalone Value]]*1.5,NA())</f>
        <v>#N/A</v>
      </c>
      <c r="Y992">
        <f>IF(Table13[[#This Row],[Category All]]="Category 2",Table13[[#This Row],[Base Abalone Value]]*0.8,NA())</f>
        <v>0.83794000000000013</v>
      </c>
      <c r="Z992" t="e">
        <f>IF(Table13[[#This Row],[Category All]]="Category 3",Table13[[#This Row],[Base Abalone Value]],NA())</f>
        <v>#N/A</v>
      </c>
      <c r="AA992" s="2">
        <f>IF(Table13[[#This Row],[Gender]]="M",Table13[[#This Row],[Whole_weight]],NA())</f>
        <v>1.4019999999999999</v>
      </c>
      <c r="AB992" s="2" t="e">
        <f>IF(Table13[[#This Row],[Gender]]="F",Table13[[#This Row],[Whole_weight]],NA())</f>
        <v>#N/A</v>
      </c>
      <c r="AC992" s="2" t="e">
        <f>IF(Table13[[#This Row],[Gender]]="I",Table13[[#This Row],[Whole_weight]],NA())</f>
        <v>#N/A</v>
      </c>
      <c r="AD992" s="2">
        <f>IF(Table13[[#This Row],[Gender]]="M",Table13[[#This Row],[Diameter]],NA())</f>
        <v>0.52500000000000002</v>
      </c>
      <c r="AE992" s="2" t="e">
        <f>IF(Table13[[#This Row],[Gender]]="F",Table13[[#This Row],[Diameter]],NA())</f>
        <v>#N/A</v>
      </c>
      <c r="AF992" s="2" t="e">
        <f>IF(Table13[[#This Row],[Gender]]="I",Table13[[#This Row],[Diameter]],NA())</f>
        <v>#N/A</v>
      </c>
    </row>
    <row r="993" spans="1:32" x14ac:dyDescent="0.2">
      <c r="A993">
        <v>1539</v>
      </c>
      <c r="B993" t="s">
        <v>11</v>
      </c>
      <c r="C993">
        <v>0.35499999999999998</v>
      </c>
      <c r="D993">
        <v>0.27</v>
      </c>
      <c r="E993">
        <v>7.4999999999999997E-2</v>
      </c>
      <c r="F993">
        <v>0.17749999999999999</v>
      </c>
      <c r="G993">
        <v>7.9000000000000001E-2</v>
      </c>
      <c r="H993">
        <v>3.15E-2</v>
      </c>
      <c r="I993">
        <v>5.3999999999999999E-2</v>
      </c>
      <c r="J993">
        <v>6</v>
      </c>
      <c r="K993">
        <v>3</v>
      </c>
      <c r="L993" t="s">
        <v>43</v>
      </c>
      <c r="M993" t="s">
        <v>44</v>
      </c>
      <c r="N993" t="s">
        <v>45</v>
      </c>
      <c r="O993">
        <v>3</v>
      </c>
      <c r="P993" t="s">
        <v>48</v>
      </c>
      <c r="Q993">
        <v>3.6</v>
      </c>
      <c r="R993" t="str" cm="1">
        <f t="array" ref="R9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3" t="e">
        <f>IF(Table13[[#This Row],[Category All]]="Category 1", "Yes",NA())</f>
        <v>#N/A</v>
      </c>
      <c r="T993" t="str">
        <f>IF(Table13[[#This Row],[Category All]]="Category 2", "Yes",NA())</f>
        <v>Yes</v>
      </c>
      <c r="U993" t="e">
        <f>IF(Table13[[#This Row],[Category All]]="Category 3", "Yes",NA())</f>
        <v>#N/A</v>
      </c>
      <c r="V993">
        <f>SUM(1,(1/3)*(Table13[[#This Row],[Length]]-0.5),(1/3)*(Table13[[#This Row],[Diameter]]-0.4),(1/3)*(Table13[[#This Row],[Height]]-0.4)*Table13[[#This Row],[Whole_weight]]*0.5)</f>
        <v>0.89871875000000001</v>
      </c>
      <c r="W993" cm="1">
        <f t="array" ref="W9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0.71897500000000003</v>
      </c>
      <c r="X993" t="e">
        <f>IF(Table13[[#This Row],[Category All]]="Category 1",Table13[[#This Row],[Base Abalone Value]]*1.5,NA())</f>
        <v>#N/A</v>
      </c>
      <c r="Y993">
        <f>IF(Table13[[#This Row],[Category All]]="Category 2",Table13[[#This Row],[Base Abalone Value]]*0.8,NA())</f>
        <v>0.71897500000000003</v>
      </c>
      <c r="Z993" t="e">
        <f>IF(Table13[[#This Row],[Category All]]="Category 3",Table13[[#This Row],[Base Abalone Value]],NA())</f>
        <v>#N/A</v>
      </c>
      <c r="AA993" s="2" t="e">
        <f>IF(Table13[[#This Row],[Gender]]="M",Table13[[#This Row],[Whole_weight]],NA())</f>
        <v>#N/A</v>
      </c>
      <c r="AB993" s="2" t="e">
        <f>IF(Table13[[#This Row],[Gender]]="F",Table13[[#This Row],[Whole_weight]],NA())</f>
        <v>#N/A</v>
      </c>
      <c r="AC993" s="2">
        <f>IF(Table13[[#This Row],[Gender]]="I",Table13[[#This Row],[Whole_weight]],NA())</f>
        <v>0.17749999999999999</v>
      </c>
      <c r="AD993" s="2" t="e">
        <f>IF(Table13[[#This Row],[Gender]]="M",Table13[[#This Row],[Diameter]],NA())</f>
        <v>#N/A</v>
      </c>
      <c r="AE993" s="2" t="e">
        <f>IF(Table13[[#This Row],[Gender]]="F",Table13[[#This Row],[Diameter]],NA())</f>
        <v>#N/A</v>
      </c>
      <c r="AF993" s="2">
        <f>IF(Table13[[#This Row],[Gender]]="I",Table13[[#This Row],[Diameter]],NA())</f>
        <v>0.27</v>
      </c>
    </row>
    <row r="994" spans="1:32" x14ac:dyDescent="0.2">
      <c r="A994">
        <v>2207</v>
      </c>
      <c r="B994" t="s">
        <v>0</v>
      </c>
      <c r="C994">
        <v>0.28999999999999998</v>
      </c>
      <c r="D994">
        <v>0.22500000000000001</v>
      </c>
      <c r="E994">
        <v>7.4999999999999997E-2</v>
      </c>
      <c r="F994">
        <v>0.14000000000000001</v>
      </c>
      <c r="G994">
        <v>5.1499999999999997E-2</v>
      </c>
      <c r="H994">
        <v>2.35E-2</v>
      </c>
      <c r="I994">
        <v>0.04</v>
      </c>
      <c r="J994">
        <v>5</v>
      </c>
      <c r="K994">
        <v>3</v>
      </c>
      <c r="L994" t="s">
        <v>43</v>
      </c>
      <c r="M994" t="s">
        <v>44</v>
      </c>
      <c r="N994" t="s">
        <v>45</v>
      </c>
      <c r="O994">
        <v>5</v>
      </c>
      <c r="P994" t="s">
        <v>14</v>
      </c>
      <c r="Q994">
        <v>12.8</v>
      </c>
      <c r="R994" t="str" cm="1">
        <f t="array" ref="R9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4" t="e">
        <f>IF(Table13[[#This Row],[Category All]]="Category 1", "Yes",NA())</f>
        <v>#N/A</v>
      </c>
      <c r="T994" t="str">
        <f>IF(Table13[[#This Row],[Category All]]="Category 2", "Yes",NA())</f>
        <v>Yes</v>
      </c>
      <c r="U994" t="e">
        <f>IF(Table13[[#This Row],[Category All]]="Category 3", "Yes",NA())</f>
        <v>#N/A</v>
      </c>
      <c r="V994">
        <f>SUM(1,(1/3)*(Table13[[#This Row],[Length]]-0.5),(1/3)*(Table13[[#This Row],[Diameter]]-0.4),(1/3)*(Table13[[#This Row],[Height]]-0.4)*Table13[[#This Row],[Whole_weight]]*0.5)</f>
        <v>0.8640833333333332</v>
      </c>
      <c r="W994" cm="1">
        <f t="array" ref="W9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0.69126666666666658</v>
      </c>
      <c r="X994" t="e">
        <f>IF(Table13[[#This Row],[Category All]]="Category 1",Table13[[#This Row],[Base Abalone Value]]*1.5,NA())</f>
        <v>#N/A</v>
      </c>
      <c r="Y994">
        <f>IF(Table13[[#This Row],[Category All]]="Category 2",Table13[[#This Row],[Base Abalone Value]]*0.8,NA())</f>
        <v>0.69126666666666658</v>
      </c>
      <c r="Z994" t="e">
        <f>IF(Table13[[#This Row],[Category All]]="Category 3",Table13[[#This Row],[Base Abalone Value]],NA())</f>
        <v>#N/A</v>
      </c>
      <c r="AA994" s="2" t="e">
        <f>IF(Table13[[#This Row],[Gender]]="M",Table13[[#This Row],[Whole_weight]],NA())</f>
        <v>#N/A</v>
      </c>
      <c r="AB994" s="2">
        <f>IF(Table13[[#This Row],[Gender]]="F",Table13[[#This Row],[Whole_weight]],NA())</f>
        <v>0.14000000000000001</v>
      </c>
      <c r="AC994" s="2" t="e">
        <f>IF(Table13[[#This Row],[Gender]]="I",Table13[[#This Row],[Whole_weight]],NA())</f>
        <v>#N/A</v>
      </c>
      <c r="AD994" s="2" t="e">
        <f>IF(Table13[[#This Row],[Gender]]="M",Table13[[#This Row],[Diameter]],NA())</f>
        <v>#N/A</v>
      </c>
      <c r="AE994" s="2">
        <f>IF(Table13[[#This Row],[Gender]]="F",Table13[[#This Row],[Diameter]],NA())</f>
        <v>0.22500000000000001</v>
      </c>
      <c r="AF994" s="2" t="e">
        <f>IF(Table13[[#This Row],[Gender]]="I",Table13[[#This Row],[Diameter]],NA())</f>
        <v>#N/A</v>
      </c>
    </row>
    <row r="995" spans="1:32" x14ac:dyDescent="0.2">
      <c r="A995">
        <v>3578</v>
      </c>
      <c r="B995" t="s">
        <v>15</v>
      </c>
      <c r="C995">
        <v>0.6</v>
      </c>
      <c r="D995">
        <v>0.47499999999999998</v>
      </c>
      <c r="E995">
        <v>0.23</v>
      </c>
      <c r="F995">
        <v>1.157</v>
      </c>
      <c r="G995">
        <v>0.52200000000000002</v>
      </c>
      <c r="H995">
        <v>0.2235</v>
      </c>
      <c r="I995">
        <v>0.36</v>
      </c>
      <c r="J995">
        <v>11</v>
      </c>
      <c r="K995">
        <v>7</v>
      </c>
      <c r="L995" t="s">
        <v>35</v>
      </c>
      <c r="M995" t="s">
        <v>36</v>
      </c>
      <c r="N995" t="s">
        <v>37</v>
      </c>
      <c r="O995">
        <v>9</v>
      </c>
      <c r="P995" t="s">
        <v>46</v>
      </c>
      <c r="Q995">
        <v>1.9</v>
      </c>
      <c r="R995" t="str" cm="1">
        <f t="array" ref="R9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95" t="e">
        <f>IF(Table13[[#This Row],[Category All]]="Category 1", "Yes",NA())</f>
        <v>#N/A</v>
      </c>
      <c r="T995" t="e">
        <f>IF(Table13[[#This Row],[Category All]]="Category 2", "Yes",NA())</f>
        <v>#N/A</v>
      </c>
      <c r="U995" t="str">
        <f>IF(Table13[[#This Row],[Category All]]="Category 3", "Yes",NA())</f>
        <v>Yes</v>
      </c>
      <c r="V995">
        <f>SUM(1,(1/3)*(Table13[[#This Row],[Length]]-0.5),(1/3)*(Table13[[#This Row],[Diameter]]-0.4),(1/3)*(Table13[[#This Row],[Height]]-0.4)*Table13[[#This Row],[Whole_weight]]*0.5)</f>
        <v>1.0255516666666664</v>
      </c>
      <c r="W995" cm="1">
        <f t="array" ref="W9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1.0255516666666664</v>
      </c>
      <c r="X995" t="e">
        <f>IF(Table13[[#This Row],[Category All]]="Category 1",Table13[[#This Row],[Base Abalone Value]]*1.5,NA())</f>
        <v>#N/A</v>
      </c>
      <c r="Y995" t="e">
        <f>IF(Table13[[#This Row],[Category All]]="Category 2",Table13[[#This Row],[Base Abalone Value]]*0.8,NA())</f>
        <v>#N/A</v>
      </c>
      <c r="Z995">
        <f>IF(Table13[[#This Row],[Category All]]="Category 3",Table13[[#This Row],[Base Abalone Value]],NA())</f>
        <v>1.0255516666666664</v>
      </c>
      <c r="AA995" s="2">
        <f>IF(Table13[[#This Row],[Gender]]="M",Table13[[#This Row],[Whole_weight]],NA())</f>
        <v>1.157</v>
      </c>
      <c r="AB995" s="2" t="e">
        <f>IF(Table13[[#This Row],[Gender]]="F",Table13[[#This Row],[Whole_weight]],NA())</f>
        <v>#N/A</v>
      </c>
      <c r="AC995" s="2" t="e">
        <f>IF(Table13[[#This Row],[Gender]]="I",Table13[[#This Row],[Whole_weight]],NA())</f>
        <v>#N/A</v>
      </c>
      <c r="AD995" s="2">
        <f>IF(Table13[[#This Row],[Gender]]="M",Table13[[#This Row],[Diameter]],NA())</f>
        <v>0.47499999999999998</v>
      </c>
      <c r="AE995" s="2" t="e">
        <f>IF(Table13[[#This Row],[Gender]]="F",Table13[[#This Row],[Diameter]],NA())</f>
        <v>#N/A</v>
      </c>
      <c r="AF995" s="2" t="e">
        <f>IF(Table13[[#This Row],[Gender]]="I",Table13[[#This Row],[Diameter]],NA())</f>
        <v>#N/A</v>
      </c>
    </row>
    <row r="996" spans="1:32" x14ac:dyDescent="0.2">
      <c r="A996">
        <v>226</v>
      </c>
      <c r="B996" t="s">
        <v>0</v>
      </c>
      <c r="C996">
        <v>0.5</v>
      </c>
      <c r="D996">
        <v>0.37</v>
      </c>
      <c r="E996">
        <v>0.13500000000000001</v>
      </c>
      <c r="F996">
        <v>0.45</v>
      </c>
      <c r="G996">
        <v>0.17150000000000001</v>
      </c>
      <c r="H996">
        <v>0.1055</v>
      </c>
      <c r="I996">
        <v>0.155</v>
      </c>
      <c r="J996">
        <v>9</v>
      </c>
      <c r="K996">
        <v>7</v>
      </c>
      <c r="L996" t="s">
        <v>35</v>
      </c>
      <c r="M996" t="s">
        <v>36</v>
      </c>
      <c r="N996" t="s">
        <v>37</v>
      </c>
      <c r="O996">
        <v>10</v>
      </c>
      <c r="P996" t="s">
        <v>38</v>
      </c>
      <c r="Q996">
        <v>24.1</v>
      </c>
      <c r="R996" t="str" cm="1">
        <f t="array" ref="R9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6" t="e">
        <f>IF(Table13[[#This Row],[Category All]]="Category 1", "Yes",NA())</f>
        <v>#N/A</v>
      </c>
      <c r="T996" t="str">
        <f>IF(Table13[[#This Row],[Category All]]="Category 2", "Yes",NA())</f>
        <v>Yes</v>
      </c>
      <c r="U996" t="e">
        <f>IF(Table13[[#This Row],[Category All]]="Category 3", "Yes",NA())</f>
        <v>#N/A</v>
      </c>
      <c r="V996">
        <f>SUM(1,(1/3)*(Table13[[#This Row],[Length]]-0.5),(1/3)*(Table13[[#This Row],[Diameter]]-0.4),(1/3)*(Table13[[#This Row],[Height]]-0.4)*Table13[[#This Row],[Whole_weight]]*0.5)</f>
        <v>0.97012500000000002</v>
      </c>
      <c r="W996" cm="1">
        <f t="array" ref="W9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0.77610000000000001</v>
      </c>
      <c r="X996" t="e">
        <f>IF(Table13[[#This Row],[Category All]]="Category 1",Table13[[#This Row],[Base Abalone Value]]*1.5,NA())</f>
        <v>#N/A</v>
      </c>
      <c r="Y996">
        <f>IF(Table13[[#This Row],[Category All]]="Category 2",Table13[[#This Row],[Base Abalone Value]]*0.8,NA())</f>
        <v>0.77610000000000001</v>
      </c>
      <c r="Z996" t="e">
        <f>IF(Table13[[#This Row],[Category All]]="Category 3",Table13[[#This Row],[Base Abalone Value]],NA())</f>
        <v>#N/A</v>
      </c>
      <c r="AA996" s="2" t="e">
        <f>IF(Table13[[#This Row],[Gender]]="M",Table13[[#This Row],[Whole_weight]],NA())</f>
        <v>#N/A</v>
      </c>
      <c r="AB996" s="2">
        <f>IF(Table13[[#This Row],[Gender]]="F",Table13[[#This Row],[Whole_weight]],NA())</f>
        <v>0.45</v>
      </c>
      <c r="AC996" s="2" t="e">
        <f>IF(Table13[[#This Row],[Gender]]="I",Table13[[#This Row],[Whole_weight]],NA())</f>
        <v>#N/A</v>
      </c>
      <c r="AD996" s="2" t="e">
        <f>IF(Table13[[#This Row],[Gender]]="M",Table13[[#This Row],[Diameter]],NA())</f>
        <v>#N/A</v>
      </c>
      <c r="AE996" s="2">
        <f>IF(Table13[[#This Row],[Gender]]="F",Table13[[#This Row],[Diameter]],NA())</f>
        <v>0.37</v>
      </c>
      <c r="AF996" s="2" t="e">
        <f>IF(Table13[[#This Row],[Gender]]="I",Table13[[#This Row],[Diameter]],NA())</f>
        <v>#N/A</v>
      </c>
    </row>
    <row r="997" spans="1:32" x14ac:dyDescent="0.2">
      <c r="A997">
        <v>2684</v>
      </c>
      <c r="B997" t="s">
        <v>15</v>
      </c>
      <c r="C997">
        <v>0.625</v>
      </c>
      <c r="D997">
        <v>0.495</v>
      </c>
      <c r="E997">
        <v>0.185</v>
      </c>
      <c r="F997">
        <v>1.3835</v>
      </c>
      <c r="G997">
        <v>0.71050000000000002</v>
      </c>
      <c r="H997">
        <v>0.30049999999999999</v>
      </c>
      <c r="I997">
        <v>0.34499999999999997</v>
      </c>
      <c r="J997">
        <v>11</v>
      </c>
      <c r="K997">
        <v>12</v>
      </c>
      <c r="L997" t="s">
        <v>1</v>
      </c>
      <c r="M997" t="s">
        <v>2</v>
      </c>
      <c r="N997" t="s">
        <v>3</v>
      </c>
      <c r="O997">
        <v>3</v>
      </c>
      <c r="P997" t="s">
        <v>48</v>
      </c>
      <c r="Q997">
        <v>3.6</v>
      </c>
      <c r="R997" t="str" cm="1">
        <f t="array" ref="R9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97" t="e">
        <f>IF(Table13[[#This Row],[Category All]]="Category 1", "Yes",NA())</f>
        <v>#N/A</v>
      </c>
      <c r="T997" t="e">
        <f>IF(Table13[[#This Row],[Category All]]="Category 2", "Yes",NA())</f>
        <v>#N/A</v>
      </c>
      <c r="U997" t="str">
        <f>IF(Table13[[#This Row],[Category All]]="Category 3", "Yes",NA())</f>
        <v>Yes</v>
      </c>
      <c r="V997">
        <f>SUM(1,(1/3)*(Table13[[#This Row],[Length]]-0.5),(1/3)*(Table13[[#This Row],[Diameter]]-0.4),(1/3)*(Table13[[#This Row],[Height]]-0.4)*Table13[[#This Row],[Whole_weight]]*0.5)</f>
        <v>1.0237579166666668</v>
      </c>
      <c r="W997" cm="1">
        <f t="array" ref="W9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1.0237579166666668</v>
      </c>
      <c r="X997" t="e">
        <f>IF(Table13[[#This Row],[Category All]]="Category 1",Table13[[#This Row],[Base Abalone Value]]*1.5,NA())</f>
        <v>#N/A</v>
      </c>
      <c r="Y997" t="e">
        <f>IF(Table13[[#This Row],[Category All]]="Category 2",Table13[[#This Row],[Base Abalone Value]]*0.8,NA())</f>
        <v>#N/A</v>
      </c>
      <c r="Z997">
        <f>IF(Table13[[#This Row],[Category All]]="Category 3",Table13[[#This Row],[Base Abalone Value]],NA())</f>
        <v>1.0237579166666668</v>
      </c>
      <c r="AA997" s="2">
        <f>IF(Table13[[#This Row],[Gender]]="M",Table13[[#This Row],[Whole_weight]],NA())</f>
        <v>1.3835</v>
      </c>
      <c r="AB997" s="2" t="e">
        <f>IF(Table13[[#This Row],[Gender]]="F",Table13[[#This Row],[Whole_weight]],NA())</f>
        <v>#N/A</v>
      </c>
      <c r="AC997" s="2" t="e">
        <f>IF(Table13[[#This Row],[Gender]]="I",Table13[[#This Row],[Whole_weight]],NA())</f>
        <v>#N/A</v>
      </c>
      <c r="AD997" s="2">
        <f>IF(Table13[[#This Row],[Gender]]="M",Table13[[#This Row],[Diameter]],NA())</f>
        <v>0.495</v>
      </c>
      <c r="AE997" s="2" t="e">
        <f>IF(Table13[[#This Row],[Gender]]="F",Table13[[#This Row],[Diameter]],NA())</f>
        <v>#N/A</v>
      </c>
      <c r="AF997" s="2" t="e">
        <f>IF(Table13[[#This Row],[Gender]]="I",Table13[[#This Row],[Diameter]],NA())</f>
        <v>#N/A</v>
      </c>
    </row>
    <row r="998" spans="1:32" x14ac:dyDescent="0.2">
      <c r="A998">
        <v>1776</v>
      </c>
      <c r="B998" t="s">
        <v>11</v>
      </c>
      <c r="C998">
        <v>0.48499999999999999</v>
      </c>
      <c r="D998">
        <v>0.36499999999999999</v>
      </c>
      <c r="E998">
        <v>0.105</v>
      </c>
      <c r="F998">
        <v>0.52049999999999996</v>
      </c>
      <c r="G998">
        <v>0.19500000000000001</v>
      </c>
      <c r="H998">
        <v>0.123</v>
      </c>
      <c r="I998">
        <v>0.182</v>
      </c>
      <c r="J998">
        <v>8</v>
      </c>
      <c r="K998">
        <v>15</v>
      </c>
      <c r="L998" t="s">
        <v>49</v>
      </c>
      <c r="M998" t="s">
        <v>50</v>
      </c>
      <c r="N998" t="s">
        <v>3</v>
      </c>
      <c r="O998">
        <v>9</v>
      </c>
      <c r="P998" t="s">
        <v>46</v>
      </c>
      <c r="Q998">
        <v>1.9</v>
      </c>
      <c r="R998" t="str" cm="1">
        <f t="array" ref="R9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8" t="e">
        <f>IF(Table13[[#This Row],[Category All]]="Category 1", "Yes",NA())</f>
        <v>#N/A</v>
      </c>
      <c r="T998" t="str">
        <f>IF(Table13[[#This Row],[Category All]]="Category 2", "Yes",NA())</f>
        <v>Yes</v>
      </c>
      <c r="U998" t="e">
        <f>IF(Table13[[#This Row],[Category All]]="Category 3", "Yes",NA())</f>
        <v>#N/A</v>
      </c>
      <c r="V998">
        <f>SUM(1,(1/3)*(Table13[[#This Row],[Length]]-0.5),(1/3)*(Table13[[#This Row],[Diameter]]-0.4),(1/3)*(Table13[[#This Row],[Height]]-0.4)*Table13[[#This Row],[Whole_weight]]*0.5)</f>
        <v>0.95774208333333333</v>
      </c>
      <c r="W998" cm="1">
        <f t="array" ref="W9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0.76619366666666666</v>
      </c>
      <c r="X998" t="e">
        <f>IF(Table13[[#This Row],[Category All]]="Category 1",Table13[[#This Row],[Base Abalone Value]]*1.5,NA())</f>
        <v>#N/A</v>
      </c>
      <c r="Y998">
        <f>IF(Table13[[#This Row],[Category All]]="Category 2",Table13[[#This Row],[Base Abalone Value]]*0.8,NA())</f>
        <v>0.76619366666666666</v>
      </c>
      <c r="Z998" t="e">
        <f>IF(Table13[[#This Row],[Category All]]="Category 3",Table13[[#This Row],[Base Abalone Value]],NA())</f>
        <v>#N/A</v>
      </c>
      <c r="AA998" s="2" t="e">
        <f>IF(Table13[[#This Row],[Gender]]="M",Table13[[#This Row],[Whole_weight]],NA())</f>
        <v>#N/A</v>
      </c>
      <c r="AB998" s="2" t="e">
        <f>IF(Table13[[#This Row],[Gender]]="F",Table13[[#This Row],[Whole_weight]],NA())</f>
        <v>#N/A</v>
      </c>
      <c r="AC998" s="2">
        <f>IF(Table13[[#This Row],[Gender]]="I",Table13[[#This Row],[Whole_weight]],NA())</f>
        <v>0.52049999999999996</v>
      </c>
      <c r="AD998" s="2" t="e">
        <f>IF(Table13[[#This Row],[Gender]]="M",Table13[[#This Row],[Diameter]],NA())</f>
        <v>#N/A</v>
      </c>
      <c r="AE998" s="2" t="e">
        <f>IF(Table13[[#This Row],[Gender]]="F",Table13[[#This Row],[Diameter]],NA())</f>
        <v>#N/A</v>
      </c>
      <c r="AF998" s="2">
        <f>IF(Table13[[#This Row],[Gender]]="I",Table13[[#This Row],[Diameter]],NA())</f>
        <v>0.36499999999999999</v>
      </c>
    </row>
    <row r="999" spans="1:32" x14ac:dyDescent="0.2">
      <c r="A999">
        <v>827</v>
      </c>
      <c r="B999" t="s">
        <v>11</v>
      </c>
      <c r="C999">
        <v>0.39500000000000002</v>
      </c>
      <c r="D999">
        <v>0.28999999999999998</v>
      </c>
      <c r="E999">
        <v>9.5000000000000001E-2</v>
      </c>
      <c r="F999">
        <v>0.30399999999999999</v>
      </c>
      <c r="G999">
        <v>0.127</v>
      </c>
      <c r="H999">
        <v>8.4000000000000005E-2</v>
      </c>
      <c r="I999">
        <v>7.6999999999999999E-2</v>
      </c>
      <c r="J999">
        <v>6</v>
      </c>
      <c r="K999">
        <v>3</v>
      </c>
      <c r="L999" t="s">
        <v>43</v>
      </c>
      <c r="M999" t="s">
        <v>44</v>
      </c>
      <c r="N999" t="s">
        <v>45</v>
      </c>
      <c r="O999">
        <v>4</v>
      </c>
      <c r="P999" t="s">
        <v>10</v>
      </c>
      <c r="Q999">
        <v>6.1</v>
      </c>
      <c r="R999" t="str" cm="1">
        <f t="array" ref="R9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9" t="e">
        <f>IF(Table13[[#This Row],[Category All]]="Category 1", "Yes",NA())</f>
        <v>#N/A</v>
      </c>
      <c r="T999" t="str">
        <f>IF(Table13[[#This Row],[Category All]]="Category 2", "Yes",NA())</f>
        <v>Yes</v>
      </c>
      <c r="U999" t="e">
        <f>IF(Table13[[#This Row],[Category All]]="Category 3", "Yes",NA())</f>
        <v>#N/A</v>
      </c>
      <c r="V999">
        <f>SUM(1,(1/3)*(Table13[[#This Row],[Length]]-0.5),(1/3)*(Table13[[#This Row],[Diameter]]-0.4),(1/3)*(Table13[[#This Row],[Height]]-0.4)*Table13[[#This Row],[Whole_weight]]*0.5)</f>
        <v>0.91287999999999991</v>
      </c>
      <c r="W999" cm="1">
        <f t="array" ref="W9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0.73030399999999995</v>
      </c>
      <c r="X999" t="e">
        <f>IF(Table13[[#This Row],[Category All]]="Category 1",Table13[[#This Row],[Base Abalone Value]]*1.5,NA())</f>
        <v>#N/A</v>
      </c>
      <c r="Y999">
        <f>IF(Table13[[#This Row],[Category All]]="Category 2",Table13[[#This Row],[Base Abalone Value]]*0.8,NA())</f>
        <v>0.73030399999999995</v>
      </c>
      <c r="Z999" t="e">
        <f>IF(Table13[[#This Row],[Category All]]="Category 3",Table13[[#This Row],[Base Abalone Value]],NA())</f>
        <v>#N/A</v>
      </c>
      <c r="AA999" s="2" t="e">
        <f>IF(Table13[[#This Row],[Gender]]="M",Table13[[#This Row],[Whole_weight]],NA())</f>
        <v>#N/A</v>
      </c>
      <c r="AB999" s="2" t="e">
        <f>IF(Table13[[#This Row],[Gender]]="F",Table13[[#This Row],[Whole_weight]],NA())</f>
        <v>#N/A</v>
      </c>
      <c r="AC999" s="2">
        <f>IF(Table13[[#This Row],[Gender]]="I",Table13[[#This Row],[Whole_weight]],NA())</f>
        <v>0.30399999999999999</v>
      </c>
      <c r="AD999" s="2" t="e">
        <f>IF(Table13[[#This Row],[Gender]]="M",Table13[[#This Row],[Diameter]],NA())</f>
        <v>#N/A</v>
      </c>
      <c r="AE999" s="2" t="e">
        <f>IF(Table13[[#This Row],[Gender]]="F",Table13[[#This Row],[Diameter]],NA())</f>
        <v>#N/A</v>
      </c>
      <c r="AF999" s="2">
        <f>IF(Table13[[#This Row],[Gender]]="I",Table13[[#This Row],[Diameter]],NA())</f>
        <v>0.28999999999999998</v>
      </c>
    </row>
    <row r="1000" spans="1:32" x14ac:dyDescent="0.2">
      <c r="A1000">
        <v>1594</v>
      </c>
      <c r="B1000" t="s">
        <v>11</v>
      </c>
      <c r="C1000">
        <v>0.52500000000000002</v>
      </c>
      <c r="D1000">
        <v>0.38</v>
      </c>
      <c r="E1000">
        <v>0.13500000000000001</v>
      </c>
      <c r="F1000">
        <v>0.61499999999999999</v>
      </c>
      <c r="G1000">
        <v>0.26100000000000001</v>
      </c>
      <c r="H1000">
        <v>0.159</v>
      </c>
      <c r="I1000">
        <v>0.17499999999999999</v>
      </c>
      <c r="J1000">
        <v>8</v>
      </c>
      <c r="K1000">
        <v>9</v>
      </c>
      <c r="L1000" t="s">
        <v>20</v>
      </c>
      <c r="M1000" t="s">
        <v>21</v>
      </c>
      <c r="N1000" t="s">
        <v>22</v>
      </c>
      <c r="O1000">
        <v>8</v>
      </c>
      <c r="P1000" t="s">
        <v>19</v>
      </c>
      <c r="Q1000">
        <v>12.3</v>
      </c>
      <c r="R1000" t="str" cm="1">
        <f t="array" ref="R10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000" t="e">
        <f>IF(Table13[[#This Row],[Category All]]="Category 1", "Yes",NA())</f>
        <v>#N/A</v>
      </c>
      <c r="T1000" t="str">
        <f>IF(Table13[[#This Row],[Category All]]="Category 2", "Yes",NA())</f>
        <v>Yes</v>
      </c>
      <c r="U1000" t="e">
        <f>IF(Table13[[#This Row],[Category All]]="Category 3", "Yes",NA())</f>
        <v>#N/A</v>
      </c>
      <c r="V1000">
        <f>SUM(1,(1/3)*(Table13[[#This Row],[Length]]-0.5),(1/3)*(Table13[[#This Row],[Diameter]]-0.4),(1/3)*(Table13[[#This Row],[Height]]-0.4)*Table13[[#This Row],[Whole_weight]]*0.5)</f>
        <v>0.97450416666666673</v>
      </c>
      <c r="W1000" cm="1">
        <f t="array" ref="W10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0.77960333333333343</v>
      </c>
      <c r="X1000" t="e">
        <f>IF(Table13[[#This Row],[Category All]]="Category 1",Table13[[#This Row],[Base Abalone Value]]*1.5,NA())</f>
        <v>#N/A</v>
      </c>
      <c r="Y1000">
        <f>IF(Table13[[#This Row],[Category All]]="Category 2",Table13[[#This Row],[Base Abalone Value]]*0.8,NA())</f>
        <v>0.77960333333333343</v>
      </c>
      <c r="Z1000" t="e">
        <f>IF(Table13[[#This Row],[Category All]]="Category 3",Table13[[#This Row],[Base Abalone Value]],NA())</f>
        <v>#N/A</v>
      </c>
      <c r="AA1000" s="2" t="e">
        <f>IF(Table13[[#This Row],[Gender]]="M",Table13[[#This Row],[Whole_weight]],NA())</f>
        <v>#N/A</v>
      </c>
      <c r="AB1000" s="2" t="e">
        <f>IF(Table13[[#This Row],[Gender]]="F",Table13[[#This Row],[Whole_weight]],NA())</f>
        <v>#N/A</v>
      </c>
      <c r="AC1000" s="2">
        <f>IF(Table13[[#This Row],[Gender]]="I",Table13[[#This Row],[Whole_weight]],NA())</f>
        <v>0.61499999999999999</v>
      </c>
      <c r="AD1000" s="2" t="e">
        <f>IF(Table13[[#This Row],[Gender]]="M",Table13[[#This Row],[Diameter]],NA())</f>
        <v>#N/A</v>
      </c>
      <c r="AE1000" s="2" t="e">
        <f>IF(Table13[[#This Row],[Gender]]="F",Table13[[#This Row],[Diameter]],NA())</f>
        <v>#N/A</v>
      </c>
      <c r="AF1000" s="2">
        <f>IF(Table13[[#This Row],[Gender]]="I",Table13[[#This Row],[Diameter]],NA())</f>
        <v>0.38</v>
      </c>
    </row>
    <row r="1001" spans="1:32" x14ac:dyDescent="0.2">
      <c r="A1001">
        <v>3672</v>
      </c>
      <c r="B1001" t="s">
        <v>11</v>
      </c>
      <c r="C1001">
        <v>0.59499999999999997</v>
      </c>
      <c r="D1001">
        <v>0.47</v>
      </c>
      <c r="E1001">
        <v>0.13500000000000001</v>
      </c>
      <c r="F1001">
        <v>0.9365</v>
      </c>
      <c r="G1001">
        <v>0.434</v>
      </c>
      <c r="H1001">
        <v>0.184</v>
      </c>
      <c r="I1001">
        <v>0.28699999999999998</v>
      </c>
      <c r="J1001">
        <v>10</v>
      </c>
      <c r="K1001">
        <v>3</v>
      </c>
      <c r="L1001" t="s">
        <v>43</v>
      </c>
      <c r="M1001" t="s">
        <v>44</v>
      </c>
      <c r="N1001" t="s">
        <v>45</v>
      </c>
      <c r="O1001">
        <v>9</v>
      </c>
      <c r="P1001" t="s">
        <v>46</v>
      </c>
      <c r="Q1001">
        <v>1.9</v>
      </c>
      <c r="R1001" t="str" cm="1">
        <f t="array" ref="R10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001" t="e">
        <f>IF(Table13[[#This Row],[Category All]]="Category 1", "Yes",NA())</f>
        <v>#N/A</v>
      </c>
      <c r="T1001" t="e">
        <f>IF(Table13[[#This Row],[Category All]]="Category 2", "Yes",NA())</f>
        <v>#N/A</v>
      </c>
      <c r="U1001" t="str">
        <f>IF(Table13[[#This Row],[Category All]]="Category 3", "Yes",NA())</f>
        <v>Yes</v>
      </c>
      <c r="V1001">
        <f>SUM(1,(1/3)*(Table13[[#This Row],[Length]]-0.5),(1/3)*(Table13[[#This Row],[Diameter]]-0.4),(1/3)*(Table13[[#This Row],[Height]]-0.4)*Table13[[#This Row],[Whole_weight]]*0.5)</f>
        <v>1.0136379166666669</v>
      </c>
      <c r="W1001" cm="1">
        <f t="array" ref="W10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1.0136379166666669</v>
      </c>
      <c r="X1001" t="e">
        <f>IF(Table13[[#This Row],[Category All]]="Category 1",Table13[[#This Row],[Base Abalone Value]]*1.5,NA())</f>
        <v>#N/A</v>
      </c>
      <c r="Y1001" t="e">
        <f>IF(Table13[[#This Row],[Category All]]="Category 2",Table13[[#This Row],[Base Abalone Value]]*0.8,NA())</f>
        <v>#N/A</v>
      </c>
      <c r="Z1001">
        <f>IF(Table13[[#This Row],[Category All]]="Category 3",Table13[[#This Row],[Base Abalone Value]],NA())</f>
        <v>1.0136379166666669</v>
      </c>
      <c r="AA1001" s="2" t="e">
        <f>IF(Table13[[#This Row],[Gender]]="M",Table13[[#This Row],[Whole_weight]],NA())</f>
        <v>#N/A</v>
      </c>
      <c r="AB1001" s="2" t="e">
        <f>IF(Table13[[#This Row],[Gender]]="F",Table13[[#This Row],[Whole_weight]],NA())</f>
        <v>#N/A</v>
      </c>
      <c r="AC1001" s="2">
        <f>IF(Table13[[#This Row],[Gender]]="I",Table13[[#This Row],[Whole_weight]],NA())</f>
        <v>0.9365</v>
      </c>
      <c r="AD1001" s="2" t="e">
        <f>IF(Table13[[#This Row],[Gender]]="M",Table13[[#This Row],[Diameter]],NA())</f>
        <v>#N/A</v>
      </c>
      <c r="AE1001" s="2" t="e">
        <f>IF(Table13[[#This Row],[Gender]]="F",Table13[[#This Row],[Diameter]],NA())</f>
        <v>#N/A</v>
      </c>
      <c r="AF1001" s="2">
        <f>IF(Table13[[#This Row],[Gender]]="I",Table13[[#This Row],[Diameter]],NA())</f>
        <v>0.47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8"/>
  <sheetViews>
    <sheetView zoomScale="37" zoomScaleNormal="55" workbookViewId="0">
      <selection activeCell="I77" sqref="I77"/>
    </sheetView>
    <sheetView workbookViewId="1"/>
  </sheetViews>
  <sheetFormatPr baseColWidth="10" defaultColWidth="8.83203125" defaultRowHeight="15" x14ac:dyDescent="0.2"/>
  <cols>
    <col min="1" max="1" width="13.33203125" customWidth="1"/>
    <col min="2" max="2" width="9.83203125" customWidth="1"/>
    <col min="4" max="4" width="11.5" customWidth="1"/>
    <col min="6" max="6" width="16.33203125" customWidth="1"/>
    <col min="7" max="7" width="17.6640625" customWidth="1"/>
    <col min="8" max="8" width="16.6640625" customWidth="1"/>
    <col min="9" max="9" width="14.6640625" customWidth="1"/>
    <col min="11" max="11" width="11.1640625" customWidth="1"/>
    <col min="12" max="12" width="16" customWidth="1"/>
    <col min="13" max="13" width="15.33203125" customWidth="1"/>
    <col min="14" max="14" width="23.1640625" customWidth="1"/>
    <col min="16" max="16" width="15.5" customWidth="1"/>
    <col min="17" max="17" width="12.1640625" customWidth="1"/>
    <col min="18" max="18" width="10.5" bestFit="1" customWidth="1"/>
    <col min="22" max="22" width="14" bestFit="1" customWidth="1"/>
    <col min="23" max="23" width="12.33203125" bestFit="1" customWidth="1"/>
    <col min="24" max="24" width="22.5" bestFit="1" customWidth="1"/>
    <col min="25" max="25" width="19.5" bestFit="1" customWidth="1"/>
    <col min="26" max="26" width="13.6640625" bestFit="1" customWidth="1"/>
    <col min="27" max="27" width="16" bestFit="1" customWidth="1"/>
  </cols>
  <sheetData>
    <row r="1" spans="1:6" x14ac:dyDescent="0.2">
      <c r="A1" s="1" t="s">
        <v>63</v>
      </c>
      <c r="B1" t="s">
        <v>58</v>
      </c>
      <c r="C1" t="s">
        <v>62</v>
      </c>
      <c r="D1" t="s">
        <v>61</v>
      </c>
      <c r="E1" t="s">
        <v>60</v>
      </c>
      <c r="F1" t="s">
        <v>59</v>
      </c>
    </row>
    <row r="2" spans="1:6" x14ac:dyDescent="0.2">
      <c r="A2" s="3" t="s">
        <v>55</v>
      </c>
      <c r="B2" s="2">
        <v>168</v>
      </c>
      <c r="C2" s="2">
        <v>7.3704999999999998</v>
      </c>
      <c r="D2" s="2">
        <v>4.6400000000000006</v>
      </c>
      <c r="E2" s="2">
        <v>6.8350000000000009</v>
      </c>
      <c r="F2" s="2">
        <v>11</v>
      </c>
    </row>
    <row r="3" spans="1:6" x14ac:dyDescent="0.2">
      <c r="A3" s="3" t="s">
        <v>64</v>
      </c>
      <c r="B3" s="2">
        <v>168</v>
      </c>
      <c r="C3" s="2">
        <v>7.3704999999999998</v>
      </c>
      <c r="D3" s="2">
        <v>4.6400000000000006</v>
      </c>
      <c r="E3" s="2">
        <v>6.8350000000000009</v>
      </c>
      <c r="F3" s="2">
        <v>11</v>
      </c>
    </row>
    <row r="38" spans="1:6" x14ac:dyDescent="0.2">
      <c r="A38" s="1" t="s">
        <v>63</v>
      </c>
      <c r="B38" t="s">
        <v>58</v>
      </c>
      <c r="C38" t="s">
        <v>62</v>
      </c>
      <c r="D38" t="s">
        <v>61</v>
      </c>
      <c r="E38" t="s">
        <v>60</v>
      </c>
      <c r="F38" t="s">
        <v>59</v>
      </c>
    </row>
    <row r="39" spans="1:6" x14ac:dyDescent="0.2">
      <c r="A39" s="3" t="s">
        <v>56</v>
      </c>
      <c r="B39" s="2">
        <v>6089</v>
      </c>
      <c r="C39" s="2">
        <v>146.12249999999997</v>
      </c>
      <c r="D39" s="2">
        <v>109.75500000000001</v>
      </c>
      <c r="E39" s="2">
        <v>294.75499999999982</v>
      </c>
      <c r="F39" s="2">
        <v>632</v>
      </c>
    </row>
    <row r="40" spans="1:6" x14ac:dyDescent="0.2">
      <c r="A40" s="3" t="s">
        <v>64</v>
      </c>
      <c r="B40" s="2">
        <v>6089</v>
      </c>
      <c r="C40" s="2">
        <v>146.12249999999997</v>
      </c>
      <c r="D40" s="2">
        <v>109.75500000000001</v>
      </c>
      <c r="E40" s="2">
        <v>294.75499999999982</v>
      </c>
      <c r="F40" s="2">
        <v>632</v>
      </c>
    </row>
    <row r="76" spans="1:6" x14ac:dyDescent="0.2">
      <c r="A76" s="1" t="s">
        <v>63</v>
      </c>
      <c r="B76" t="s">
        <v>58</v>
      </c>
      <c r="C76" t="s">
        <v>62</v>
      </c>
      <c r="D76" t="s">
        <v>61</v>
      </c>
      <c r="E76" t="s">
        <v>60</v>
      </c>
      <c r="F76" t="s">
        <v>59</v>
      </c>
    </row>
    <row r="77" spans="1:6" x14ac:dyDescent="0.2">
      <c r="A77" s="3" t="s">
        <v>57</v>
      </c>
      <c r="B77" s="2">
        <v>3782</v>
      </c>
      <c r="C77" s="2">
        <v>205.91649999999987</v>
      </c>
      <c r="D77" s="2">
        <v>126.98299999999998</v>
      </c>
      <c r="E77" s="2">
        <v>225.42499999999998</v>
      </c>
      <c r="F77" s="2">
        <v>357</v>
      </c>
    </row>
    <row r="78" spans="1:6" x14ac:dyDescent="0.2">
      <c r="A78" s="3" t="s">
        <v>64</v>
      </c>
      <c r="B78" s="2">
        <v>3782</v>
      </c>
      <c r="C78" s="2">
        <v>205.91649999999987</v>
      </c>
      <c r="D78" s="2">
        <v>126.98299999999998</v>
      </c>
      <c r="E78" s="2">
        <v>225.42499999999998</v>
      </c>
      <c r="F78" s="2">
        <v>357</v>
      </c>
    </row>
  </sheetData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B4EEC-0944-3B48-8506-8B8B4CED0B04}">
  <dimension ref="A1:AA631"/>
  <sheetViews>
    <sheetView topLeftCell="F20" zoomScale="50" zoomScaleNormal="130" workbookViewId="0">
      <selection activeCell="U8" sqref="U8"/>
    </sheetView>
    <sheetView workbookViewId="1"/>
  </sheetViews>
  <sheetFormatPr baseColWidth="10" defaultColWidth="11.5" defaultRowHeight="15" x14ac:dyDescent="0.2"/>
  <cols>
    <col min="1" max="1" width="16.1640625" bestFit="1" customWidth="1"/>
    <col min="2" max="2" width="15.83203125" bestFit="1" customWidth="1"/>
    <col min="3" max="3" width="13.6640625" bestFit="1" customWidth="1"/>
    <col min="4" max="4" width="16" bestFit="1" customWidth="1"/>
    <col min="5" max="5" width="13.5" bestFit="1" customWidth="1"/>
    <col min="6" max="6" width="21" bestFit="1" customWidth="1"/>
    <col min="7" max="7" width="33.5" bestFit="1" customWidth="1"/>
    <col min="8" max="11" width="7.83203125" bestFit="1" customWidth="1"/>
    <col min="12" max="12" width="21" bestFit="1" customWidth="1"/>
    <col min="13" max="13" width="23.5" bestFit="1" customWidth="1"/>
    <col min="14" max="14" width="20.6640625" bestFit="1" customWidth="1"/>
    <col min="15" max="15" width="24" bestFit="1" customWidth="1"/>
    <col min="16" max="16" width="20.5" bestFit="1" customWidth="1"/>
    <col min="17" max="17" width="29.83203125" bestFit="1" customWidth="1"/>
    <col min="18" max="21" width="19.1640625" bestFit="1" customWidth="1"/>
    <col min="22" max="22" width="17.6640625" bestFit="1" customWidth="1"/>
    <col min="23" max="23" width="20.33203125" bestFit="1" customWidth="1"/>
    <col min="24" max="24" width="18" bestFit="1" customWidth="1"/>
    <col min="25" max="25" width="20" bestFit="1" customWidth="1"/>
    <col min="26" max="26" width="17.5" customWidth="1"/>
    <col min="27" max="27" width="25.83203125" bestFit="1" customWidth="1"/>
    <col min="28" max="29" width="19.1640625" bestFit="1" customWidth="1"/>
    <col min="30" max="30" width="11.5" bestFit="1" customWidth="1"/>
    <col min="31" max="31" width="17.6640625" bestFit="1" customWidth="1"/>
    <col min="32" max="33" width="19.1640625" bestFit="1" customWidth="1"/>
    <col min="34" max="34" width="13" bestFit="1" customWidth="1"/>
    <col min="35" max="35" width="19.1640625" bestFit="1" customWidth="1"/>
    <col min="36" max="36" width="15.83203125" bestFit="1" customWidth="1"/>
    <col min="37" max="38" width="19.1640625" bestFit="1" customWidth="1"/>
    <col min="39" max="39" width="17.6640625" bestFit="1" customWidth="1"/>
    <col min="40" max="42" width="19.1640625" bestFit="1" customWidth="1"/>
    <col min="43" max="43" width="15.83203125" bestFit="1" customWidth="1"/>
    <col min="44" max="44" width="19.1640625" bestFit="1" customWidth="1"/>
    <col min="45" max="45" width="14.5" bestFit="1" customWidth="1"/>
    <col min="46" max="48" width="19.1640625" bestFit="1" customWidth="1"/>
    <col min="49" max="49" width="15.83203125" bestFit="1" customWidth="1"/>
    <col min="50" max="54" width="19.1640625" bestFit="1" customWidth="1"/>
    <col min="55" max="55" width="14.5" bestFit="1" customWidth="1"/>
    <col min="56" max="56" width="19.1640625" bestFit="1" customWidth="1"/>
    <col min="57" max="57" width="17.6640625" bestFit="1" customWidth="1"/>
    <col min="58" max="59" width="19.1640625" bestFit="1" customWidth="1"/>
    <col min="60" max="60" width="17.6640625" bestFit="1" customWidth="1"/>
    <col min="61" max="64" width="19.1640625" bestFit="1" customWidth="1"/>
    <col min="65" max="65" width="13" bestFit="1" customWidth="1"/>
    <col min="66" max="66" width="15.83203125" bestFit="1" customWidth="1"/>
    <col min="67" max="67" width="13" bestFit="1" customWidth="1"/>
    <col min="68" max="69" width="19.1640625" bestFit="1" customWidth="1"/>
    <col min="70" max="70" width="13" bestFit="1" customWidth="1"/>
    <col min="71" max="76" width="19.1640625" bestFit="1" customWidth="1"/>
    <col min="77" max="77" width="17.6640625" bestFit="1" customWidth="1"/>
    <col min="78" max="79" width="19.1640625" bestFit="1" customWidth="1"/>
    <col min="80" max="81" width="17.6640625" bestFit="1" customWidth="1"/>
    <col min="82" max="83" width="19.1640625" bestFit="1" customWidth="1"/>
    <col min="84" max="84" width="13" bestFit="1" customWidth="1"/>
    <col min="85" max="85" width="14.5" bestFit="1" customWidth="1"/>
    <col min="86" max="89" width="13" bestFit="1" customWidth="1"/>
    <col min="90" max="90" width="19.1640625" bestFit="1" customWidth="1"/>
    <col min="91" max="91" width="14.5" bestFit="1" customWidth="1"/>
    <col min="92" max="93" width="19.1640625" bestFit="1" customWidth="1"/>
    <col min="94" max="94" width="14.5" bestFit="1" customWidth="1"/>
    <col min="95" max="96" width="19.1640625" bestFit="1" customWidth="1"/>
    <col min="97" max="97" width="11.5" bestFit="1" customWidth="1"/>
    <col min="98" max="100" width="19.1640625" bestFit="1" customWidth="1"/>
    <col min="101" max="101" width="15.83203125" bestFit="1" customWidth="1"/>
    <col min="102" max="108" width="19.1640625" bestFit="1" customWidth="1"/>
    <col min="109" max="109" width="15.83203125" bestFit="1" customWidth="1"/>
    <col min="110" max="113" width="19.1640625" bestFit="1" customWidth="1"/>
    <col min="114" max="114" width="17.6640625" bestFit="1" customWidth="1"/>
    <col min="115" max="116" width="15.83203125" bestFit="1" customWidth="1"/>
    <col min="117" max="117" width="13" bestFit="1" customWidth="1"/>
    <col min="118" max="118" width="15.83203125" bestFit="1" customWidth="1"/>
    <col min="119" max="119" width="19.1640625" bestFit="1" customWidth="1"/>
    <col min="120" max="120" width="13" bestFit="1" customWidth="1"/>
    <col min="121" max="121" width="10" bestFit="1" customWidth="1"/>
    <col min="122" max="122" width="19.1640625" bestFit="1" customWidth="1"/>
    <col min="123" max="123" width="17.6640625" bestFit="1" customWidth="1"/>
    <col min="124" max="124" width="13" bestFit="1" customWidth="1"/>
    <col min="125" max="128" width="19.1640625" bestFit="1" customWidth="1"/>
    <col min="129" max="129" width="15.83203125" bestFit="1" customWidth="1"/>
    <col min="130" max="134" width="19.1640625" bestFit="1" customWidth="1"/>
    <col min="135" max="135" width="10" bestFit="1" customWidth="1"/>
    <col min="136" max="136" width="19.1640625" bestFit="1" customWidth="1"/>
    <col min="137" max="138" width="17.6640625" bestFit="1" customWidth="1"/>
    <col min="139" max="139" width="19.1640625" bestFit="1" customWidth="1"/>
    <col min="140" max="141" width="13" bestFit="1" customWidth="1"/>
    <col min="142" max="142" width="19.1640625" bestFit="1" customWidth="1"/>
    <col min="143" max="143" width="13" bestFit="1" customWidth="1"/>
    <col min="144" max="145" width="19.1640625" bestFit="1" customWidth="1"/>
    <col min="146" max="146" width="14.5" bestFit="1" customWidth="1"/>
    <col min="147" max="149" width="19.1640625" bestFit="1" customWidth="1"/>
    <col min="150" max="150" width="17.6640625" bestFit="1" customWidth="1"/>
    <col min="151" max="151" width="19.1640625" bestFit="1" customWidth="1"/>
    <col min="152" max="152" width="13" bestFit="1" customWidth="1"/>
    <col min="153" max="153" width="17.6640625" bestFit="1" customWidth="1"/>
    <col min="154" max="155" width="19.1640625" bestFit="1" customWidth="1"/>
    <col min="156" max="156" width="10" bestFit="1" customWidth="1"/>
    <col min="157" max="158" width="15.83203125" bestFit="1" customWidth="1"/>
    <col min="159" max="162" width="19.1640625" bestFit="1" customWidth="1"/>
    <col min="163" max="163" width="15.83203125" bestFit="1" customWidth="1"/>
    <col min="164" max="164" width="19.1640625" bestFit="1" customWidth="1"/>
    <col min="165" max="165" width="14.5" bestFit="1" customWidth="1"/>
    <col min="166" max="166" width="19.1640625" bestFit="1" customWidth="1"/>
    <col min="167" max="167" width="15.83203125" bestFit="1" customWidth="1"/>
    <col min="168" max="171" width="19.1640625" bestFit="1" customWidth="1"/>
    <col min="172" max="172" width="15.83203125" bestFit="1" customWidth="1"/>
    <col min="173" max="173" width="17.6640625" bestFit="1" customWidth="1"/>
    <col min="174" max="175" width="19.1640625" bestFit="1" customWidth="1"/>
    <col min="176" max="176" width="10" bestFit="1" customWidth="1"/>
    <col min="177" max="178" width="17.6640625" bestFit="1" customWidth="1"/>
    <col min="179" max="180" width="19.1640625" bestFit="1" customWidth="1"/>
    <col min="181" max="181" width="13" bestFit="1" customWidth="1"/>
    <col min="182" max="185" width="19.1640625" bestFit="1" customWidth="1"/>
    <col min="186" max="186" width="15.83203125" bestFit="1" customWidth="1"/>
    <col min="187" max="190" width="19.1640625" bestFit="1" customWidth="1"/>
    <col min="191" max="191" width="15.83203125" bestFit="1" customWidth="1"/>
    <col min="192" max="193" width="17.6640625" bestFit="1" customWidth="1"/>
    <col min="194" max="194" width="19.1640625" bestFit="1" customWidth="1"/>
    <col min="195" max="195" width="15.83203125" bestFit="1" customWidth="1"/>
    <col min="196" max="196" width="19.1640625" bestFit="1" customWidth="1"/>
    <col min="197" max="197" width="13" bestFit="1" customWidth="1"/>
    <col min="198" max="198" width="17.6640625" bestFit="1" customWidth="1"/>
    <col min="199" max="201" width="19.1640625" bestFit="1" customWidth="1"/>
    <col min="202" max="202" width="17.6640625" bestFit="1" customWidth="1"/>
    <col min="203" max="211" width="19.1640625" bestFit="1" customWidth="1"/>
    <col min="212" max="212" width="17.6640625" bestFit="1" customWidth="1"/>
    <col min="213" max="213" width="11.5" bestFit="1" customWidth="1"/>
    <col min="214" max="214" width="19.1640625" bestFit="1" customWidth="1"/>
    <col min="215" max="216" width="15.83203125" bestFit="1" customWidth="1"/>
    <col min="217" max="219" width="19.1640625" bestFit="1" customWidth="1"/>
    <col min="220" max="220" width="15.83203125" bestFit="1" customWidth="1"/>
    <col min="221" max="222" width="19.1640625" bestFit="1" customWidth="1"/>
    <col min="223" max="223" width="11.5" bestFit="1" customWidth="1"/>
    <col min="224" max="224" width="19.1640625" bestFit="1" customWidth="1"/>
    <col min="225" max="225" width="11.5" bestFit="1" customWidth="1"/>
    <col min="226" max="231" width="19.1640625" bestFit="1" customWidth="1"/>
    <col min="232" max="232" width="17.6640625" bestFit="1" customWidth="1"/>
    <col min="233" max="233" width="14.5" bestFit="1" customWidth="1"/>
    <col min="234" max="234" width="15.83203125" bestFit="1" customWidth="1"/>
    <col min="235" max="237" width="19.1640625" bestFit="1" customWidth="1"/>
    <col min="238" max="238" width="13" bestFit="1" customWidth="1"/>
    <col min="239" max="239" width="14.5" bestFit="1" customWidth="1"/>
    <col min="240" max="240" width="19.1640625" bestFit="1" customWidth="1"/>
    <col min="241" max="241" width="17.6640625" bestFit="1" customWidth="1"/>
    <col min="242" max="243" width="19.1640625" bestFit="1" customWidth="1"/>
    <col min="244" max="245" width="13" bestFit="1" customWidth="1"/>
    <col min="246" max="252" width="19.1640625" bestFit="1" customWidth="1"/>
    <col min="253" max="253" width="17.6640625" bestFit="1" customWidth="1"/>
    <col min="254" max="257" width="19.1640625" bestFit="1" customWidth="1"/>
    <col min="258" max="258" width="13" bestFit="1" customWidth="1"/>
    <col min="259" max="261" width="19.1640625" bestFit="1" customWidth="1"/>
    <col min="262" max="262" width="13" bestFit="1" customWidth="1"/>
    <col min="263" max="270" width="19.1640625" bestFit="1" customWidth="1"/>
    <col min="271" max="271" width="15.83203125" bestFit="1" customWidth="1"/>
    <col min="272" max="274" width="19.1640625" bestFit="1" customWidth="1"/>
    <col min="275" max="275" width="17.6640625" bestFit="1" customWidth="1"/>
    <col min="276" max="277" width="19.1640625" bestFit="1" customWidth="1"/>
    <col min="278" max="278" width="14.5" bestFit="1" customWidth="1"/>
    <col min="279" max="279" width="19.1640625" bestFit="1" customWidth="1"/>
    <col min="280" max="280" width="15.83203125" bestFit="1" customWidth="1"/>
    <col min="281" max="283" width="19.1640625" bestFit="1" customWidth="1"/>
    <col min="284" max="284" width="15.83203125" bestFit="1" customWidth="1"/>
    <col min="285" max="285" width="17.6640625" bestFit="1" customWidth="1"/>
    <col min="286" max="286" width="19.1640625" bestFit="1" customWidth="1"/>
    <col min="287" max="288" width="17.6640625" bestFit="1" customWidth="1"/>
    <col min="289" max="291" width="19.1640625" bestFit="1" customWidth="1"/>
    <col min="292" max="292" width="14.5" bestFit="1" customWidth="1"/>
    <col min="293" max="296" width="19.1640625" bestFit="1" customWidth="1"/>
    <col min="297" max="297" width="13" bestFit="1" customWidth="1"/>
    <col min="298" max="301" width="19.1640625" bestFit="1" customWidth="1"/>
    <col min="302" max="302" width="11.5" bestFit="1" customWidth="1"/>
    <col min="303" max="303" width="19.1640625" bestFit="1" customWidth="1"/>
    <col min="304" max="304" width="13" bestFit="1" customWidth="1"/>
    <col min="305" max="309" width="19.1640625" bestFit="1" customWidth="1"/>
    <col min="310" max="310" width="17.6640625" bestFit="1" customWidth="1"/>
    <col min="311" max="311" width="19.1640625" bestFit="1" customWidth="1"/>
    <col min="312" max="312" width="17.6640625" bestFit="1" customWidth="1"/>
    <col min="313" max="313" width="19.1640625" bestFit="1" customWidth="1"/>
    <col min="314" max="314" width="14.5" bestFit="1" customWidth="1"/>
    <col min="315" max="315" width="19.1640625" bestFit="1" customWidth="1"/>
    <col min="316" max="316" width="17.6640625" bestFit="1" customWidth="1"/>
    <col min="317" max="318" width="19.1640625" bestFit="1" customWidth="1"/>
    <col min="319" max="319" width="13" bestFit="1" customWidth="1"/>
    <col min="320" max="321" width="19.1640625" bestFit="1" customWidth="1"/>
    <col min="322" max="322" width="15.83203125" bestFit="1" customWidth="1"/>
    <col min="323" max="325" width="19.1640625" bestFit="1" customWidth="1"/>
    <col min="326" max="326" width="15.83203125" bestFit="1" customWidth="1"/>
    <col min="327" max="327" width="19.1640625" bestFit="1" customWidth="1"/>
    <col min="328" max="328" width="13" bestFit="1" customWidth="1"/>
    <col min="329" max="334" width="19.1640625" bestFit="1" customWidth="1"/>
    <col min="335" max="336" width="13" bestFit="1" customWidth="1"/>
    <col min="337" max="340" width="19.1640625" bestFit="1" customWidth="1"/>
    <col min="341" max="341" width="15.83203125" bestFit="1" customWidth="1"/>
    <col min="342" max="342" width="19.1640625" bestFit="1" customWidth="1"/>
    <col min="343" max="343" width="15.83203125" bestFit="1" customWidth="1"/>
    <col min="344" max="346" width="19.1640625" bestFit="1" customWidth="1"/>
    <col min="347" max="347" width="13" bestFit="1" customWidth="1"/>
    <col min="348" max="349" width="19.1640625" bestFit="1" customWidth="1"/>
    <col min="350" max="350" width="11.5" bestFit="1" customWidth="1"/>
    <col min="351" max="352" width="19.1640625" bestFit="1" customWidth="1"/>
    <col min="353" max="353" width="17.6640625" bestFit="1" customWidth="1"/>
    <col min="354" max="354" width="15.83203125" bestFit="1" customWidth="1"/>
    <col min="355" max="356" width="19.1640625" bestFit="1" customWidth="1"/>
    <col min="357" max="357" width="14.5" bestFit="1" customWidth="1"/>
    <col min="358" max="358" width="19.1640625" bestFit="1" customWidth="1"/>
    <col min="359" max="359" width="15.83203125" bestFit="1" customWidth="1"/>
    <col min="360" max="361" width="19.1640625" bestFit="1" customWidth="1"/>
    <col min="362" max="362" width="15.83203125" bestFit="1" customWidth="1"/>
    <col min="363" max="368" width="19.1640625" bestFit="1" customWidth="1"/>
    <col min="369" max="369" width="17.5" bestFit="1" customWidth="1"/>
    <col min="370" max="539" width="7.83203125" bestFit="1" customWidth="1"/>
    <col min="540" max="573" width="7.5" bestFit="1" customWidth="1"/>
    <col min="574" max="607" width="7.83203125" bestFit="1" customWidth="1"/>
    <col min="608" max="608" width="17.5" bestFit="1" customWidth="1"/>
    <col min="609" max="2136" width="19.5" bestFit="1" customWidth="1"/>
    <col min="2137" max="2137" width="18.1640625" bestFit="1" customWidth="1"/>
    <col min="2138" max="2138" width="16.33203125" bestFit="1" customWidth="1"/>
    <col min="2139" max="2139" width="18.33203125" bestFit="1" customWidth="1"/>
    <col min="2140" max="2140" width="16" bestFit="1" customWidth="1"/>
    <col min="2141" max="2141" width="22.5" bestFit="1" customWidth="1"/>
    <col min="2142" max="2142" width="23.83203125" bestFit="1" customWidth="1"/>
    <col min="2143" max="2994" width="14.83203125" bestFit="1" customWidth="1"/>
    <col min="2995" max="2997" width="18.1640625" bestFit="1" customWidth="1"/>
    <col min="2998" max="3000" width="12.1640625" bestFit="1" customWidth="1"/>
    <col min="3001" max="3001" width="7.1640625" bestFit="1" customWidth="1"/>
    <col min="3002" max="3002" width="12.1640625" bestFit="1" customWidth="1"/>
    <col min="3003" max="3004" width="10.1640625" bestFit="1" customWidth="1"/>
    <col min="3005" max="3011" width="12.1640625" bestFit="1" customWidth="1"/>
    <col min="3012" max="3012" width="10.1640625" bestFit="1" customWidth="1"/>
    <col min="3013" max="3013" width="12.1640625" bestFit="1" customWidth="1"/>
    <col min="3014" max="3014" width="9.1640625" bestFit="1" customWidth="1"/>
    <col min="3015" max="3015" width="8.1640625" bestFit="1" customWidth="1"/>
    <col min="3016" max="3017" width="12.1640625" bestFit="1" customWidth="1"/>
    <col min="3018" max="3018" width="9.1640625" bestFit="1" customWidth="1"/>
    <col min="3019" max="3021" width="12.1640625" bestFit="1" customWidth="1"/>
    <col min="3022" max="3022" width="10.1640625" bestFit="1" customWidth="1"/>
    <col min="3023" max="3026" width="12.1640625" bestFit="1" customWidth="1"/>
    <col min="3027" max="3027" width="9.1640625" bestFit="1" customWidth="1"/>
    <col min="3028" max="3028" width="12.1640625" bestFit="1" customWidth="1"/>
    <col min="3029" max="3029" width="9.1640625" bestFit="1" customWidth="1"/>
    <col min="3030" max="3037" width="12.1640625" bestFit="1" customWidth="1"/>
    <col min="3038" max="3038" width="10.1640625" bestFit="1" customWidth="1"/>
    <col min="3039" max="3043" width="12.1640625" bestFit="1" customWidth="1"/>
    <col min="3044" max="3044" width="10.1640625" bestFit="1" customWidth="1"/>
    <col min="3045" max="3046" width="12.1640625" bestFit="1" customWidth="1"/>
    <col min="3047" max="3047" width="10.1640625" bestFit="1" customWidth="1"/>
    <col min="3048" max="3048" width="8.1640625" bestFit="1" customWidth="1"/>
    <col min="3049" max="3052" width="12.1640625" bestFit="1" customWidth="1"/>
    <col min="3053" max="3053" width="8.1640625" bestFit="1" customWidth="1"/>
    <col min="3054" max="3054" width="7.1640625" bestFit="1" customWidth="1"/>
    <col min="3055" max="3055" width="10.1640625" bestFit="1" customWidth="1"/>
    <col min="3056" max="3062" width="12.1640625" bestFit="1" customWidth="1"/>
    <col min="3063" max="3063" width="8.1640625" bestFit="1" customWidth="1"/>
    <col min="3064" max="3067" width="12.1640625" bestFit="1" customWidth="1"/>
    <col min="3068" max="3068" width="8.1640625" bestFit="1" customWidth="1"/>
    <col min="3069" max="3069" width="12.1640625" bestFit="1" customWidth="1"/>
    <col min="3070" max="3070" width="11.1640625" bestFit="1" customWidth="1"/>
    <col min="3071" max="3072" width="12.1640625" bestFit="1" customWidth="1"/>
    <col min="3073" max="3073" width="6.1640625" bestFit="1" customWidth="1"/>
    <col min="3074" max="3074" width="9.1640625" bestFit="1" customWidth="1"/>
    <col min="3075" max="3077" width="12.1640625" bestFit="1" customWidth="1"/>
    <col min="3078" max="3078" width="10.1640625" bestFit="1" customWidth="1"/>
    <col min="3079" max="3081" width="12.1640625" bestFit="1" customWidth="1"/>
    <col min="3082" max="3082" width="11.1640625" bestFit="1" customWidth="1"/>
    <col min="3083" max="3083" width="12.1640625" bestFit="1" customWidth="1"/>
    <col min="3084" max="3084" width="9.1640625" bestFit="1" customWidth="1"/>
    <col min="3085" max="3085" width="11.1640625" bestFit="1" customWidth="1"/>
    <col min="3086" max="3091" width="12.1640625" bestFit="1" customWidth="1"/>
    <col min="3092" max="3092" width="8.1640625" bestFit="1" customWidth="1"/>
    <col min="3093" max="3093" width="10.1640625" bestFit="1" customWidth="1"/>
    <col min="3094" max="3096" width="12.1640625" bestFit="1" customWidth="1"/>
    <col min="3097" max="3097" width="8.1640625" bestFit="1" customWidth="1"/>
    <col min="3098" max="3100" width="12.1640625" bestFit="1" customWidth="1"/>
    <col min="3101" max="3102" width="10.1640625" bestFit="1" customWidth="1"/>
    <col min="3103" max="3103" width="12.1640625" bestFit="1" customWidth="1"/>
    <col min="3104" max="3105" width="8.1640625" bestFit="1" customWidth="1"/>
    <col min="3106" max="3109" width="12.1640625" bestFit="1" customWidth="1"/>
    <col min="3110" max="3110" width="9.1640625" bestFit="1" customWidth="1"/>
    <col min="3111" max="3112" width="10.1640625" bestFit="1" customWidth="1"/>
    <col min="3113" max="3113" width="8.1640625" bestFit="1" customWidth="1"/>
    <col min="3114" max="3118" width="12.1640625" bestFit="1" customWidth="1"/>
    <col min="3119" max="3119" width="9.1640625" bestFit="1" customWidth="1"/>
    <col min="3120" max="3120" width="11.1640625" bestFit="1" customWidth="1"/>
    <col min="3121" max="3123" width="12.1640625" bestFit="1" customWidth="1"/>
    <col min="3124" max="3124" width="7.1640625" bestFit="1" customWidth="1"/>
    <col min="3125" max="3127" width="12.1640625" bestFit="1" customWidth="1"/>
    <col min="3128" max="3128" width="8.1640625" bestFit="1" customWidth="1"/>
    <col min="3129" max="3131" width="12.1640625" bestFit="1" customWidth="1"/>
    <col min="3132" max="3132" width="10.1640625" bestFit="1" customWidth="1"/>
    <col min="3133" max="3135" width="12.1640625" bestFit="1" customWidth="1"/>
    <col min="3136" max="3136" width="10.1640625" bestFit="1" customWidth="1"/>
    <col min="3137" max="3137" width="12.1640625" bestFit="1" customWidth="1"/>
    <col min="3138" max="3138" width="11.1640625" bestFit="1" customWidth="1"/>
    <col min="3139" max="3141" width="12.1640625" bestFit="1" customWidth="1"/>
    <col min="3142" max="3142" width="8.1640625" bestFit="1" customWidth="1"/>
    <col min="3143" max="3147" width="12.1640625" bestFit="1" customWidth="1"/>
    <col min="3148" max="3148" width="9.1640625" bestFit="1" customWidth="1"/>
    <col min="3149" max="3150" width="12.1640625" bestFit="1" customWidth="1"/>
    <col min="3151" max="3151" width="9.1640625" bestFit="1" customWidth="1"/>
    <col min="3152" max="3152" width="8.1640625" bestFit="1" customWidth="1"/>
    <col min="3153" max="3153" width="12.1640625" bestFit="1" customWidth="1"/>
    <col min="3154" max="3154" width="8.1640625" bestFit="1" customWidth="1"/>
    <col min="3155" max="3155" width="12.1640625" bestFit="1" customWidth="1"/>
    <col min="3156" max="3156" width="8.1640625" bestFit="1" customWidth="1"/>
    <col min="3157" max="3157" width="16.83203125" bestFit="1" customWidth="1"/>
    <col min="3158" max="3158" width="16.33203125" bestFit="1" customWidth="1"/>
    <col min="3159" max="3159" width="18.33203125" bestFit="1" customWidth="1"/>
    <col min="3160" max="3160" width="16.1640625" bestFit="1" customWidth="1"/>
    <col min="3161" max="3161" width="22.5" bestFit="1" customWidth="1"/>
  </cols>
  <sheetData>
    <row r="1" spans="1:27" x14ac:dyDescent="0.2">
      <c r="A1" s="20" t="s">
        <v>68</v>
      </c>
      <c r="V1" s="1" t="s">
        <v>63</v>
      </c>
      <c r="W1" t="s">
        <v>59</v>
      </c>
      <c r="X1" t="s">
        <v>60</v>
      </c>
      <c r="Y1" t="s">
        <v>65</v>
      </c>
      <c r="Z1" t="s">
        <v>66</v>
      </c>
      <c r="AA1" t="s">
        <v>67</v>
      </c>
    </row>
    <row r="2" spans="1:27" x14ac:dyDescent="0.2">
      <c r="A2" s="18" t="s">
        <v>69</v>
      </c>
      <c r="V2" s="14">
        <v>0.94131583333333324</v>
      </c>
      <c r="W2" s="15">
        <v>1</v>
      </c>
      <c r="X2" s="15">
        <v>0.48499999999999999</v>
      </c>
      <c r="Y2" s="15">
        <v>0.36499999999999999</v>
      </c>
      <c r="Z2" s="15">
        <v>0.155</v>
      </c>
      <c r="AA2" s="15">
        <v>1.0289999999999999</v>
      </c>
    </row>
    <row r="3" spans="1:27" x14ac:dyDescent="0.2">
      <c r="A3" s="19" t="s">
        <v>70</v>
      </c>
      <c r="V3" s="3">
        <v>0.96379333333333328</v>
      </c>
      <c r="W3" s="2">
        <v>1</v>
      </c>
      <c r="X3" s="2">
        <v>0.52</v>
      </c>
      <c r="Y3" s="2">
        <v>0.4</v>
      </c>
      <c r="Z3" s="2">
        <v>0.105</v>
      </c>
      <c r="AA3" s="2">
        <v>0.872</v>
      </c>
    </row>
    <row r="4" spans="1:27" x14ac:dyDescent="0.2">
      <c r="V4" s="3">
        <v>0.96563499999999991</v>
      </c>
      <c r="W4" s="2">
        <v>1</v>
      </c>
      <c r="X4" s="2">
        <v>0.56000000000000005</v>
      </c>
      <c r="Y4" s="2">
        <v>0.42</v>
      </c>
      <c r="Z4" s="2">
        <v>0.18</v>
      </c>
      <c r="AA4" s="2">
        <v>1.6645000000000001</v>
      </c>
    </row>
    <row r="5" spans="1:27" x14ac:dyDescent="0.2">
      <c r="V5" s="3">
        <v>0.96693833333333346</v>
      </c>
      <c r="W5" s="2">
        <v>1</v>
      </c>
      <c r="X5" s="2">
        <v>0.53500000000000003</v>
      </c>
      <c r="Y5" s="2">
        <v>0.38500000000000001</v>
      </c>
      <c r="Z5" s="2">
        <v>0.18</v>
      </c>
      <c r="AA5" s="2">
        <v>1.0834999999999999</v>
      </c>
    </row>
    <row r="6" spans="1:27" x14ac:dyDescent="0.2">
      <c r="V6" s="3">
        <v>0.96971333333333321</v>
      </c>
      <c r="W6" s="2">
        <v>1</v>
      </c>
      <c r="X6" s="2">
        <v>0.55000000000000004</v>
      </c>
      <c r="Y6" s="2">
        <v>0.42</v>
      </c>
      <c r="Z6" s="2">
        <v>0.16</v>
      </c>
      <c r="AA6" s="2">
        <v>1.3405</v>
      </c>
    </row>
    <row r="7" spans="1:27" x14ac:dyDescent="0.2">
      <c r="V7" s="3">
        <v>0.97473333333333334</v>
      </c>
      <c r="W7" s="2">
        <v>1</v>
      </c>
      <c r="X7" s="2">
        <v>0.54500000000000004</v>
      </c>
      <c r="Y7" s="2">
        <v>0.41499999999999998</v>
      </c>
      <c r="Z7" s="2">
        <v>0.2</v>
      </c>
      <c r="AA7" s="2">
        <v>1.3580000000000001</v>
      </c>
    </row>
    <row r="8" spans="1:27" x14ac:dyDescent="0.2">
      <c r="V8" s="3">
        <v>0.97706208333333333</v>
      </c>
      <c r="W8" s="2">
        <v>1</v>
      </c>
      <c r="X8" s="2">
        <v>0.54500000000000004</v>
      </c>
      <c r="Y8" s="2">
        <v>0.39</v>
      </c>
      <c r="Z8" s="2">
        <v>0.13500000000000001</v>
      </c>
      <c r="AA8" s="2">
        <v>0.78349999999999997</v>
      </c>
    </row>
    <row r="9" spans="1:27" x14ac:dyDescent="0.2">
      <c r="A9" s="1" t="s">
        <v>63</v>
      </c>
      <c r="B9" t="s">
        <v>60</v>
      </c>
      <c r="C9" t="s">
        <v>65</v>
      </c>
      <c r="D9" t="s">
        <v>66</v>
      </c>
      <c r="E9" t="s">
        <v>67</v>
      </c>
      <c r="F9" t="s">
        <v>59</v>
      </c>
      <c r="V9" s="3">
        <v>0.97764583333333333</v>
      </c>
      <c r="W9" s="2">
        <v>1</v>
      </c>
      <c r="X9" s="2">
        <v>0.58499999999999996</v>
      </c>
      <c r="Y9" s="2">
        <v>0.40500000000000003</v>
      </c>
      <c r="Z9" s="2">
        <v>0.15</v>
      </c>
      <c r="AA9" s="2">
        <v>1.2565</v>
      </c>
    </row>
    <row r="10" spans="1:27" x14ac:dyDescent="0.2">
      <c r="A10" s="14">
        <v>1.4004174999999999</v>
      </c>
      <c r="B10" s="15">
        <v>0.44</v>
      </c>
      <c r="C10" s="15">
        <v>0.33</v>
      </c>
      <c r="D10" s="15">
        <v>0.13500000000000001</v>
      </c>
      <c r="E10" s="15">
        <v>0.52200000000000002</v>
      </c>
      <c r="F10" s="15">
        <v>1</v>
      </c>
      <c r="V10" s="3">
        <v>0.98420833333333324</v>
      </c>
      <c r="W10" s="2">
        <v>1</v>
      </c>
      <c r="X10" s="2">
        <v>0.52</v>
      </c>
      <c r="Y10" s="2">
        <v>0.46</v>
      </c>
      <c r="Z10" s="2">
        <v>0.15</v>
      </c>
      <c r="AA10" s="2">
        <v>1.0189999999999999</v>
      </c>
    </row>
    <row r="11" spans="1:27" x14ac:dyDescent="0.2">
      <c r="A11" s="3">
        <v>1.4219437499999998</v>
      </c>
      <c r="B11" s="2">
        <v>0.44</v>
      </c>
      <c r="C11" s="2">
        <v>0.35499999999999998</v>
      </c>
      <c r="D11" s="2">
        <v>0.16500000000000001</v>
      </c>
      <c r="E11" s="2">
        <v>0.435</v>
      </c>
      <c r="F11" s="2">
        <v>1</v>
      </c>
      <c r="V11" s="3">
        <v>0.98492666666666662</v>
      </c>
      <c r="W11" s="2">
        <v>1</v>
      </c>
      <c r="X11" s="2">
        <v>0.53</v>
      </c>
      <c r="Y11" s="2">
        <v>0.42</v>
      </c>
      <c r="Z11" s="2">
        <v>0.17</v>
      </c>
      <c r="AA11" s="2">
        <v>0.82799999999999996</v>
      </c>
    </row>
    <row r="12" spans="1:27" x14ac:dyDescent="0.2">
      <c r="A12" s="3">
        <v>1.4496718749999999</v>
      </c>
      <c r="B12" s="2">
        <v>0.495</v>
      </c>
      <c r="C12" s="2">
        <v>0.37</v>
      </c>
      <c r="D12" s="2">
        <v>0.125</v>
      </c>
      <c r="E12" s="2">
        <v>0.47749999999999998</v>
      </c>
      <c r="F12" s="2">
        <v>1</v>
      </c>
      <c r="V12" s="3">
        <v>0.98496333333333341</v>
      </c>
      <c r="W12" s="2">
        <v>1</v>
      </c>
      <c r="X12" s="2">
        <v>0.54500000000000004</v>
      </c>
      <c r="Y12" s="2">
        <v>0.42</v>
      </c>
      <c r="Z12" s="2">
        <v>0.12</v>
      </c>
      <c r="AA12" s="2">
        <v>0.78649999999999998</v>
      </c>
    </row>
    <row r="13" spans="1:27" x14ac:dyDescent="0.2">
      <c r="A13" s="3">
        <v>1.4756625000000003</v>
      </c>
      <c r="B13" s="2">
        <v>0.54</v>
      </c>
      <c r="C13" s="2">
        <v>0.435</v>
      </c>
      <c r="D13" s="2">
        <v>0.14499999999999999</v>
      </c>
      <c r="E13" s="2">
        <v>0.97</v>
      </c>
      <c r="F13" s="2">
        <v>1</v>
      </c>
      <c r="V13" s="3">
        <v>0.98616666666666675</v>
      </c>
      <c r="W13" s="2">
        <v>1</v>
      </c>
      <c r="X13" s="2">
        <v>0.55500000000000005</v>
      </c>
      <c r="Y13" s="2">
        <v>0.44</v>
      </c>
      <c r="Z13" s="2">
        <v>0.15</v>
      </c>
      <c r="AA13" s="2">
        <v>1.0920000000000001</v>
      </c>
    </row>
    <row r="14" spans="1:27" x14ac:dyDescent="0.2">
      <c r="A14" s="3">
        <v>1.498998125</v>
      </c>
      <c r="B14" s="2">
        <v>0.56000000000000005</v>
      </c>
      <c r="C14" s="2">
        <v>0.44500000000000001</v>
      </c>
      <c r="D14" s="2">
        <v>0.155</v>
      </c>
      <c r="E14" s="2">
        <v>0.87350000000000005</v>
      </c>
      <c r="F14" s="2">
        <v>1</v>
      </c>
      <c r="V14" s="3">
        <v>0.9878870833333333</v>
      </c>
      <c r="W14" s="2">
        <v>1</v>
      </c>
      <c r="X14" s="2">
        <v>0.57999999999999996</v>
      </c>
      <c r="Y14" s="2">
        <v>0.46</v>
      </c>
      <c r="Z14" s="2">
        <v>0.155</v>
      </c>
      <c r="AA14" s="2">
        <v>1.4395</v>
      </c>
    </row>
    <row r="15" spans="1:27" x14ac:dyDescent="0.2">
      <c r="A15" s="3">
        <v>1.5392249999999998</v>
      </c>
      <c r="B15" s="2">
        <v>0.63500000000000001</v>
      </c>
      <c r="C15" s="2">
        <v>0.48</v>
      </c>
      <c r="D15" s="2">
        <v>0.2</v>
      </c>
      <c r="E15" s="2">
        <v>1.3654999999999999</v>
      </c>
      <c r="F15" s="2">
        <v>1</v>
      </c>
      <c r="V15" s="3">
        <v>0.98883874999999999</v>
      </c>
      <c r="W15" s="2">
        <v>1</v>
      </c>
      <c r="X15" s="2">
        <v>0.55500000000000005</v>
      </c>
      <c r="Y15" s="2">
        <v>0.435</v>
      </c>
      <c r="Z15" s="2">
        <v>0.14499999999999999</v>
      </c>
      <c r="AA15" s="2">
        <v>0.96850000000000003</v>
      </c>
    </row>
    <row r="16" spans="1:27" x14ac:dyDescent="0.2">
      <c r="A16" s="3">
        <v>1.5751487499999999</v>
      </c>
      <c r="B16" s="2">
        <v>0.72499999999999998</v>
      </c>
      <c r="C16" s="2">
        <v>0.56999999999999995</v>
      </c>
      <c r="D16" s="2">
        <v>0.19</v>
      </c>
      <c r="E16" s="2">
        <v>2.3304999999999998</v>
      </c>
      <c r="F16" s="2">
        <v>1</v>
      </c>
      <c r="V16" s="3">
        <v>0.9893729166666666</v>
      </c>
      <c r="W16" s="2">
        <v>1</v>
      </c>
      <c r="X16" s="2">
        <v>0.55000000000000004</v>
      </c>
      <c r="Y16" s="2">
        <v>0.42499999999999999</v>
      </c>
      <c r="Z16" s="2">
        <v>0.155</v>
      </c>
      <c r="AA16" s="2">
        <v>0.87250000000000005</v>
      </c>
    </row>
    <row r="17" spans="1:27" x14ac:dyDescent="0.2">
      <c r="A17" s="3">
        <v>1.5924162499999999</v>
      </c>
      <c r="B17" s="2">
        <v>0.73</v>
      </c>
      <c r="C17" s="2">
        <v>0.59499999999999997</v>
      </c>
      <c r="D17" s="2">
        <v>0.23</v>
      </c>
      <c r="E17" s="2">
        <v>2.8254999999999999</v>
      </c>
      <c r="F17" s="2">
        <v>1</v>
      </c>
      <c r="V17" s="3">
        <v>0.9902291666666666</v>
      </c>
      <c r="W17" s="2">
        <v>1</v>
      </c>
      <c r="X17" s="2">
        <v>0.55000000000000004</v>
      </c>
      <c r="Y17" s="2">
        <v>0.43</v>
      </c>
      <c r="Z17" s="2">
        <v>0.15</v>
      </c>
      <c r="AA17" s="2">
        <v>0.87450000000000006</v>
      </c>
    </row>
    <row r="18" spans="1:27" x14ac:dyDescent="0.2">
      <c r="A18" s="3">
        <v>1.5931099999999998</v>
      </c>
      <c r="B18" s="2">
        <v>0.76500000000000001</v>
      </c>
      <c r="C18" s="2">
        <v>0.58499999999999996</v>
      </c>
      <c r="D18" s="2">
        <v>0.18</v>
      </c>
      <c r="E18" s="2">
        <v>2.3980000000000001</v>
      </c>
      <c r="F18" s="2">
        <v>1</v>
      </c>
      <c r="V18" s="3">
        <v>0.99029166666666657</v>
      </c>
      <c r="W18" s="2">
        <v>1</v>
      </c>
      <c r="X18" s="2">
        <v>0.55500000000000005</v>
      </c>
      <c r="Y18" s="2">
        <v>0.42499999999999999</v>
      </c>
      <c r="Z18" s="2">
        <v>0.15</v>
      </c>
      <c r="AA18" s="2">
        <v>0.873</v>
      </c>
    </row>
    <row r="19" spans="1:27" x14ac:dyDescent="0.2">
      <c r="A19" s="3">
        <v>1.6099156249999997</v>
      </c>
      <c r="B19" s="2">
        <v>0.73</v>
      </c>
      <c r="C19" s="2">
        <v>0.58499999999999996</v>
      </c>
      <c r="D19" s="2">
        <v>0.22500000000000001</v>
      </c>
      <c r="E19" s="2">
        <v>2.2305000000000001</v>
      </c>
      <c r="F19" s="2">
        <v>1</v>
      </c>
      <c r="V19" s="3">
        <v>0.99060000000000004</v>
      </c>
      <c r="W19" s="2">
        <v>1</v>
      </c>
      <c r="X19" s="2">
        <v>0.55000000000000004</v>
      </c>
      <c r="Y19" s="2">
        <v>0.44</v>
      </c>
      <c r="Z19" s="2">
        <v>0.16</v>
      </c>
      <c r="AA19" s="2">
        <v>0.98499999999999999</v>
      </c>
    </row>
    <row r="20" spans="1:27" x14ac:dyDescent="0.2">
      <c r="A20" s="10">
        <v>1.6310600000000002</v>
      </c>
      <c r="B20" s="11">
        <v>0.77500000000000002</v>
      </c>
      <c r="C20" s="11">
        <v>0.56999999999999995</v>
      </c>
      <c r="D20" s="11">
        <v>0.22</v>
      </c>
      <c r="E20" s="11">
        <v>2.032</v>
      </c>
      <c r="F20" s="11">
        <v>1</v>
      </c>
      <c r="V20" s="3">
        <v>0.99087875000000003</v>
      </c>
      <c r="W20" s="2">
        <v>1</v>
      </c>
      <c r="X20" s="2">
        <v>0.55500000000000005</v>
      </c>
      <c r="Y20" s="2">
        <v>0.435</v>
      </c>
      <c r="Z20" s="2">
        <v>0.14499999999999999</v>
      </c>
      <c r="AA20" s="2">
        <v>0.92049999999999998</v>
      </c>
    </row>
    <row r="21" spans="1:27" x14ac:dyDescent="0.2">
      <c r="A21" s="3" t="s">
        <v>64</v>
      </c>
      <c r="B21" s="2">
        <v>6.8350000000000009</v>
      </c>
      <c r="C21" s="2">
        <v>5.32</v>
      </c>
      <c r="D21" s="2">
        <v>1.97</v>
      </c>
      <c r="E21" s="2">
        <v>16.459999999999997</v>
      </c>
      <c r="F21" s="2">
        <v>11</v>
      </c>
      <c r="V21" s="3">
        <v>0.99196458333333337</v>
      </c>
      <c r="W21" s="2">
        <v>1</v>
      </c>
      <c r="X21" s="2">
        <v>0.56499999999999995</v>
      </c>
      <c r="Y21" s="2">
        <v>0.45</v>
      </c>
      <c r="Z21" s="2">
        <v>0.17499999999999999</v>
      </c>
      <c r="AA21" s="2">
        <v>1.2364999999999999</v>
      </c>
    </row>
    <row r="22" spans="1:27" x14ac:dyDescent="0.2">
      <c r="V22" s="3">
        <v>0.99219041666666685</v>
      </c>
      <c r="W22" s="2">
        <v>1</v>
      </c>
      <c r="X22" s="2">
        <v>0.54500000000000004</v>
      </c>
      <c r="Y22" s="2">
        <v>0.43</v>
      </c>
      <c r="Z22" s="2">
        <v>0.155</v>
      </c>
      <c r="AA22" s="2">
        <v>0.80349999999999999</v>
      </c>
    </row>
    <row r="23" spans="1:27" x14ac:dyDescent="0.2">
      <c r="V23" s="3">
        <v>0.99246999999999996</v>
      </c>
      <c r="W23" s="2">
        <v>1</v>
      </c>
      <c r="X23" s="2">
        <v>0.55500000000000005</v>
      </c>
      <c r="Y23" s="2">
        <v>0.43</v>
      </c>
      <c r="Z23" s="2">
        <v>0.13500000000000001</v>
      </c>
      <c r="AA23" s="2">
        <v>0.81200000000000006</v>
      </c>
    </row>
    <row r="24" spans="1:27" x14ac:dyDescent="0.2">
      <c r="A24" s="6" t="s">
        <v>63</v>
      </c>
      <c r="B24" s="5" t="s">
        <v>59</v>
      </c>
      <c r="C24" s="5" t="s">
        <v>60</v>
      </c>
      <c r="D24" s="5" t="s">
        <v>65</v>
      </c>
      <c r="E24" s="5" t="s">
        <v>66</v>
      </c>
      <c r="F24" s="5" t="s">
        <v>67</v>
      </c>
      <c r="V24" s="3">
        <v>0.99277833333333321</v>
      </c>
      <c r="W24" s="2">
        <v>1</v>
      </c>
      <c r="X24" s="2">
        <v>0.58499999999999996</v>
      </c>
      <c r="Y24" s="2">
        <v>0.42</v>
      </c>
      <c r="Z24" s="2">
        <v>0.155</v>
      </c>
      <c r="AA24" s="2">
        <v>1.034</v>
      </c>
    </row>
    <row r="25" spans="1:27" x14ac:dyDescent="0.2">
      <c r="A25" s="16">
        <v>0.61948900000000007</v>
      </c>
      <c r="B25" s="17">
        <v>1</v>
      </c>
      <c r="C25" s="17">
        <v>0.13</v>
      </c>
      <c r="D25" s="17">
        <v>9.5000000000000001E-2</v>
      </c>
      <c r="E25" s="17">
        <v>3.5000000000000003E-2</v>
      </c>
      <c r="F25" s="17">
        <v>1.0500000000000001E-2</v>
      </c>
      <c r="V25" s="3">
        <v>0.99356250000000002</v>
      </c>
      <c r="W25" s="2">
        <v>1</v>
      </c>
      <c r="X25" s="2">
        <v>0.56000000000000005</v>
      </c>
      <c r="Y25" s="2">
        <v>0.43</v>
      </c>
      <c r="Z25" s="2">
        <v>0.15</v>
      </c>
      <c r="AA25" s="2">
        <v>0.87450000000000006</v>
      </c>
    </row>
    <row r="26" spans="1:27" x14ac:dyDescent="0.2">
      <c r="A26" s="9">
        <v>0.62069200000000002</v>
      </c>
      <c r="B26" s="4">
        <v>1</v>
      </c>
      <c r="C26" s="4">
        <v>0.13</v>
      </c>
      <c r="D26" s="4">
        <v>0.1</v>
      </c>
      <c r="E26" s="4">
        <v>0.03</v>
      </c>
      <c r="F26" s="4">
        <v>1.2999999999999999E-2</v>
      </c>
      <c r="V26" s="3">
        <v>0.99370458333333345</v>
      </c>
      <c r="W26" s="2">
        <v>1</v>
      </c>
      <c r="X26" s="2">
        <v>0.56000000000000005</v>
      </c>
      <c r="Y26" s="2">
        <v>0.44</v>
      </c>
      <c r="Z26" s="2">
        <v>0.155</v>
      </c>
      <c r="AA26" s="2">
        <v>0.97050000000000003</v>
      </c>
    </row>
    <row r="27" spans="1:27" x14ac:dyDescent="0.2">
      <c r="A27" s="9">
        <v>0.62851666666666661</v>
      </c>
      <c r="B27" s="4">
        <v>1</v>
      </c>
      <c r="C27" s="4">
        <v>0.155</v>
      </c>
      <c r="D27" s="4">
        <v>0.105</v>
      </c>
      <c r="E27" s="4">
        <v>0.05</v>
      </c>
      <c r="F27" s="4">
        <v>1.7500000000000002E-2</v>
      </c>
      <c r="V27" s="3">
        <v>0.99381583333333312</v>
      </c>
      <c r="W27" s="2">
        <v>1</v>
      </c>
      <c r="X27" s="2">
        <v>0.57499999999999996</v>
      </c>
      <c r="Y27" s="2">
        <v>0.42</v>
      </c>
      <c r="Z27" s="2">
        <v>0.13500000000000001</v>
      </c>
      <c r="AA27" s="2">
        <v>0.85699999999999998</v>
      </c>
    </row>
    <row r="28" spans="1:27" x14ac:dyDescent="0.2">
      <c r="A28" s="9">
        <v>0.63080000000000014</v>
      </c>
      <c r="B28" s="4">
        <v>1</v>
      </c>
      <c r="C28" s="4">
        <v>0.155</v>
      </c>
      <c r="D28" s="4">
        <v>0.115</v>
      </c>
      <c r="E28" s="4">
        <v>2.5000000000000001E-2</v>
      </c>
      <c r="F28" s="4">
        <v>2.4E-2</v>
      </c>
      <c r="V28" s="3">
        <v>0.99404375</v>
      </c>
      <c r="W28" s="2">
        <v>1</v>
      </c>
      <c r="X28" s="2">
        <v>0.57999999999999996</v>
      </c>
      <c r="Y28" s="2">
        <v>0.44</v>
      </c>
      <c r="Z28" s="2">
        <v>0.17499999999999999</v>
      </c>
      <c r="AA28" s="2">
        <v>1.2255</v>
      </c>
    </row>
    <row r="29" spans="1:27" x14ac:dyDescent="0.2">
      <c r="A29" s="9">
        <v>0.63109999999999999</v>
      </c>
      <c r="B29" s="4">
        <v>1</v>
      </c>
      <c r="C29" s="4">
        <v>0.16</v>
      </c>
      <c r="D29" s="4">
        <v>0.11</v>
      </c>
      <c r="E29" s="4">
        <v>2.5000000000000001E-2</v>
      </c>
      <c r="F29" s="4">
        <v>1.7999999999999999E-2</v>
      </c>
      <c r="V29" s="3">
        <v>0.99420291666666671</v>
      </c>
      <c r="W29" s="2">
        <v>1</v>
      </c>
      <c r="X29" s="2">
        <v>0.55500000000000005</v>
      </c>
      <c r="Y29" s="2">
        <v>0.44</v>
      </c>
      <c r="Z29" s="2">
        <v>0.14499999999999999</v>
      </c>
      <c r="AA29" s="2">
        <v>0.88149999999999995</v>
      </c>
    </row>
    <row r="30" spans="1:27" x14ac:dyDescent="0.2">
      <c r="A30" s="9">
        <v>0.6349393333333333</v>
      </c>
      <c r="B30" s="4">
        <v>1</v>
      </c>
      <c r="C30" s="4">
        <v>0.16500000000000001</v>
      </c>
      <c r="D30" s="4">
        <v>0.12</v>
      </c>
      <c r="E30" s="4">
        <v>0.03</v>
      </c>
      <c r="F30" s="4">
        <v>2.1499999999999998E-2</v>
      </c>
      <c r="V30" s="3">
        <v>0.99457708333333339</v>
      </c>
      <c r="W30" s="2">
        <v>1</v>
      </c>
      <c r="X30" s="2">
        <v>0.56000000000000005</v>
      </c>
      <c r="Y30" s="2">
        <v>0.43</v>
      </c>
      <c r="Z30" s="2">
        <v>0.155</v>
      </c>
      <c r="AA30" s="2">
        <v>0.86750000000000005</v>
      </c>
    </row>
    <row r="31" spans="1:27" x14ac:dyDescent="0.2">
      <c r="A31" s="9">
        <v>0.63615733333333335</v>
      </c>
      <c r="B31" s="4">
        <v>1</v>
      </c>
      <c r="C31" s="4">
        <v>0.16500000000000001</v>
      </c>
      <c r="D31" s="4">
        <v>0.125</v>
      </c>
      <c r="E31" s="4">
        <v>0.04</v>
      </c>
      <c r="F31" s="4">
        <v>2.4500000000000001E-2</v>
      </c>
      <c r="V31" s="3">
        <v>0.99554166666666677</v>
      </c>
      <c r="W31" s="2">
        <v>1</v>
      </c>
      <c r="X31" s="2">
        <v>0.56999999999999995</v>
      </c>
      <c r="Y31" s="2">
        <v>0.45500000000000002</v>
      </c>
      <c r="Z31" s="2">
        <v>0.15</v>
      </c>
      <c r="AA31" s="2">
        <v>1.107</v>
      </c>
    </row>
    <row r="32" spans="1:27" x14ac:dyDescent="0.2">
      <c r="A32" s="9">
        <v>0.638656</v>
      </c>
      <c r="B32" s="4">
        <v>1</v>
      </c>
      <c r="C32" s="4">
        <v>0.17499999999999999</v>
      </c>
      <c r="D32" s="4">
        <v>0.125</v>
      </c>
      <c r="E32" s="4">
        <v>0.04</v>
      </c>
      <c r="F32" s="4">
        <v>2.8000000000000001E-2</v>
      </c>
      <c r="V32" s="3">
        <v>0.99611249999999996</v>
      </c>
      <c r="W32" s="2">
        <v>1</v>
      </c>
      <c r="X32" s="2">
        <v>0.55500000000000005</v>
      </c>
      <c r="Y32" s="2">
        <v>0.45</v>
      </c>
      <c r="Z32" s="2">
        <v>0.14499999999999999</v>
      </c>
      <c r="AA32" s="2">
        <v>0.91500000000000004</v>
      </c>
    </row>
    <row r="33" spans="1:27" x14ac:dyDescent="0.2">
      <c r="A33" s="9">
        <v>0.63878000000000013</v>
      </c>
      <c r="B33" s="4">
        <v>1</v>
      </c>
      <c r="C33" s="4">
        <v>0.17</v>
      </c>
      <c r="D33" s="4">
        <v>0.13</v>
      </c>
      <c r="E33" s="4">
        <v>9.5000000000000001E-2</v>
      </c>
      <c r="F33" s="4">
        <v>0.03</v>
      </c>
      <c r="V33" s="3">
        <v>0.99663708333333345</v>
      </c>
      <c r="W33" s="2">
        <v>1</v>
      </c>
      <c r="X33" s="2">
        <v>0.56499999999999995</v>
      </c>
      <c r="Y33" s="2">
        <v>0.44</v>
      </c>
      <c r="Z33" s="2">
        <v>0.155</v>
      </c>
      <c r="AA33" s="2">
        <v>0.9395</v>
      </c>
    </row>
    <row r="34" spans="1:27" x14ac:dyDescent="0.2">
      <c r="A34" s="9">
        <v>0.63884799999999997</v>
      </c>
      <c r="B34" s="4">
        <v>1</v>
      </c>
      <c r="C34" s="4">
        <v>0.17499999999999999</v>
      </c>
      <c r="D34" s="4">
        <v>0.125</v>
      </c>
      <c r="E34" s="4">
        <v>0.04</v>
      </c>
      <c r="F34" s="4">
        <v>2.4E-2</v>
      </c>
      <c r="V34" s="3">
        <v>0.99737500000000001</v>
      </c>
      <c r="W34" s="2">
        <v>1</v>
      </c>
      <c r="X34" s="2">
        <v>0.57499999999999996</v>
      </c>
      <c r="Y34" s="2">
        <v>0.44</v>
      </c>
      <c r="Z34" s="2">
        <v>0.15</v>
      </c>
      <c r="AA34" s="2">
        <v>0.98299999999999998</v>
      </c>
    </row>
    <row r="35" spans="1:27" x14ac:dyDescent="0.2">
      <c r="A35" s="9">
        <v>0.64403733333333335</v>
      </c>
      <c r="B35" s="4">
        <v>1</v>
      </c>
      <c r="C35" s="4">
        <v>0.185</v>
      </c>
      <c r="D35" s="4">
        <v>0.13500000000000001</v>
      </c>
      <c r="E35" s="4">
        <v>0.04</v>
      </c>
      <c r="F35" s="4">
        <v>2.7E-2</v>
      </c>
      <c r="V35" s="3">
        <v>0.99751666666666683</v>
      </c>
      <c r="W35" s="2">
        <v>1</v>
      </c>
      <c r="X35" s="2">
        <v>0.56999999999999995</v>
      </c>
      <c r="Y35" s="2">
        <v>0.46500000000000002</v>
      </c>
      <c r="Z35" s="2">
        <v>0.18</v>
      </c>
      <c r="AA35" s="2">
        <v>1.2949999999999999</v>
      </c>
    </row>
    <row r="36" spans="1:27" x14ac:dyDescent="0.2">
      <c r="A36" s="9">
        <v>0.65022499999999994</v>
      </c>
      <c r="B36" s="4">
        <v>1</v>
      </c>
      <c r="C36" s="4">
        <v>0.19500000000000001</v>
      </c>
      <c r="D36" s="4">
        <v>0.15</v>
      </c>
      <c r="E36" s="4">
        <v>4.4999999999999998E-2</v>
      </c>
      <c r="F36" s="4">
        <v>3.7499999999999999E-2</v>
      </c>
      <c r="V36" s="3">
        <v>0.99766666666666659</v>
      </c>
      <c r="W36" s="2">
        <v>1</v>
      </c>
      <c r="X36" s="2">
        <v>0.56000000000000005</v>
      </c>
      <c r="Y36" s="2">
        <v>0.45</v>
      </c>
      <c r="Z36" s="2">
        <v>0.14000000000000001</v>
      </c>
      <c r="AA36" s="2">
        <v>0.9</v>
      </c>
    </row>
    <row r="37" spans="1:27" x14ac:dyDescent="0.2">
      <c r="A37" s="9">
        <v>0.65046500000000007</v>
      </c>
      <c r="B37" s="4">
        <v>1</v>
      </c>
      <c r="C37" s="4">
        <v>0.23499999999999999</v>
      </c>
      <c r="D37" s="4">
        <v>0.13</v>
      </c>
      <c r="E37" s="4">
        <v>7.4999999999999997E-2</v>
      </c>
      <c r="F37" s="4">
        <v>0.1585</v>
      </c>
      <c r="V37" s="3">
        <v>0.99987333333333328</v>
      </c>
      <c r="W37" s="2">
        <v>1</v>
      </c>
      <c r="X37" s="2">
        <v>0.57499999999999996</v>
      </c>
      <c r="Y37" s="2">
        <v>0.44</v>
      </c>
      <c r="Z37" s="2">
        <v>0.16</v>
      </c>
      <c r="AA37" s="2">
        <v>0.96150000000000002</v>
      </c>
    </row>
    <row r="38" spans="1:27" x14ac:dyDescent="0.2">
      <c r="A38" s="9">
        <v>0.65273466666666669</v>
      </c>
      <c r="B38" s="4">
        <v>1</v>
      </c>
      <c r="C38" s="4">
        <v>0.20499999999999999</v>
      </c>
      <c r="D38" s="4">
        <v>0.15</v>
      </c>
      <c r="E38" s="4">
        <v>5.5E-2</v>
      </c>
      <c r="F38" s="4">
        <v>4.2000000000000003E-2</v>
      </c>
      <c r="V38" s="3">
        <v>1.0004024999999999</v>
      </c>
      <c r="W38" s="2">
        <v>1</v>
      </c>
      <c r="X38" s="2">
        <v>0.58499999999999996</v>
      </c>
      <c r="Y38" s="2">
        <v>0.45500000000000002</v>
      </c>
      <c r="Z38" s="2">
        <v>0.155</v>
      </c>
      <c r="AA38" s="2">
        <v>1.133</v>
      </c>
    </row>
    <row r="39" spans="1:27" x14ac:dyDescent="0.2">
      <c r="A39" s="9">
        <v>0.65543400000000007</v>
      </c>
      <c r="B39" s="4">
        <v>1</v>
      </c>
      <c r="C39" s="4">
        <v>0.215</v>
      </c>
      <c r="D39" s="4">
        <v>0.15</v>
      </c>
      <c r="E39" s="4">
        <v>0.03</v>
      </c>
      <c r="F39" s="4">
        <v>3.85E-2</v>
      </c>
      <c r="V39" s="3">
        <v>1.0004770833333334</v>
      </c>
      <c r="W39" s="2">
        <v>1</v>
      </c>
      <c r="X39" s="2">
        <v>0.56499999999999995</v>
      </c>
      <c r="Y39" s="2">
        <v>0.45</v>
      </c>
      <c r="Z39" s="2">
        <v>0.17499999999999999</v>
      </c>
      <c r="AA39" s="2">
        <v>1.0095000000000001</v>
      </c>
    </row>
    <row r="40" spans="1:27" x14ac:dyDescent="0.2">
      <c r="A40" s="9">
        <v>0.65544733333333338</v>
      </c>
      <c r="B40" s="4">
        <v>1</v>
      </c>
      <c r="C40" s="4">
        <v>0.215</v>
      </c>
      <c r="D40" s="4">
        <v>0.15</v>
      </c>
      <c r="E40" s="4">
        <v>5.5E-2</v>
      </c>
      <c r="F40" s="4">
        <v>4.1000000000000002E-2</v>
      </c>
      <c r="V40" s="3">
        <v>1.0010366666666668</v>
      </c>
      <c r="W40" s="2">
        <v>1</v>
      </c>
      <c r="X40" s="2">
        <v>0.56999999999999995</v>
      </c>
      <c r="Y40" s="2">
        <v>0.44</v>
      </c>
      <c r="Z40" s="2">
        <v>0.19</v>
      </c>
      <c r="AA40" s="2">
        <v>1.018</v>
      </c>
    </row>
    <row r="41" spans="1:27" x14ac:dyDescent="0.2">
      <c r="A41" s="9">
        <v>0.65988366666666676</v>
      </c>
      <c r="B41" s="4">
        <v>1</v>
      </c>
      <c r="C41" s="4">
        <v>0.215</v>
      </c>
      <c r="D41" s="4">
        <v>0.17</v>
      </c>
      <c r="E41" s="4">
        <v>5.5E-2</v>
      </c>
      <c r="F41" s="4">
        <v>6.0499999999999998E-2</v>
      </c>
      <c r="V41" s="3">
        <v>1.0010395833333334</v>
      </c>
      <c r="W41" s="2">
        <v>1</v>
      </c>
      <c r="X41" s="2">
        <v>0.56999999999999995</v>
      </c>
      <c r="Y41" s="2">
        <v>0.44500000000000001</v>
      </c>
      <c r="Z41" s="2">
        <v>0.14499999999999999</v>
      </c>
      <c r="AA41" s="2">
        <v>0.87749999999999995</v>
      </c>
    </row>
    <row r="42" spans="1:27" x14ac:dyDescent="0.2">
      <c r="A42" s="9">
        <v>0.66299866666666674</v>
      </c>
      <c r="B42" s="4">
        <v>1</v>
      </c>
      <c r="C42" s="4">
        <v>0.23</v>
      </c>
      <c r="D42" s="4">
        <v>0.16500000000000001</v>
      </c>
      <c r="E42" s="4">
        <v>0.06</v>
      </c>
      <c r="F42" s="4">
        <v>5.1499999999999997E-2</v>
      </c>
      <c r="V42" s="3">
        <v>1.0011666666666668</v>
      </c>
      <c r="W42" s="2">
        <v>1</v>
      </c>
      <c r="X42" s="2">
        <v>0.56999999999999995</v>
      </c>
      <c r="Y42" s="2">
        <v>0.46</v>
      </c>
      <c r="Z42" s="2">
        <v>0.17</v>
      </c>
      <c r="AA42" s="2">
        <v>1.1000000000000001</v>
      </c>
    </row>
    <row r="43" spans="1:27" x14ac:dyDescent="0.2">
      <c r="A43" s="9">
        <v>0.66769633333333345</v>
      </c>
      <c r="B43" s="4">
        <v>1</v>
      </c>
      <c r="C43" s="4">
        <v>0.24</v>
      </c>
      <c r="D43" s="4">
        <v>0.17499999999999999</v>
      </c>
      <c r="E43" s="4">
        <v>6.5000000000000002E-2</v>
      </c>
      <c r="F43" s="4">
        <v>6.6500000000000004E-2</v>
      </c>
      <c r="V43" s="3">
        <v>1.0016041666666666</v>
      </c>
      <c r="W43" s="2">
        <v>1</v>
      </c>
      <c r="X43" s="2">
        <v>0.57499999999999996</v>
      </c>
      <c r="Y43" s="2">
        <v>0.44</v>
      </c>
      <c r="Z43" s="2">
        <v>0.185</v>
      </c>
      <c r="AA43" s="2">
        <v>1.0249999999999999</v>
      </c>
    </row>
    <row r="44" spans="1:27" x14ac:dyDescent="0.2">
      <c r="A44" s="9">
        <v>0.67302666666666677</v>
      </c>
      <c r="B44" s="4">
        <v>1</v>
      </c>
      <c r="C44" s="4">
        <v>0.245</v>
      </c>
      <c r="D44" s="4">
        <v>0.19500000000000001</v>
      </c>
      <c r="E44" s="4">
        <v>0.06</v>
      </c>
      <c r="F44" s="4">
        <v>9.5000000000000001E-2</v>
      </c>
      <c r="V44" s="3">
        <v>1.0020150000000001</v>
      </c>
      <c r="W44" s="2">
        <v>1</v>
      </c>
      <c r="X44" s="2">
        <v>0.56999999999999995</v>
      </c>
      <c r="Y44" s="2">
        <v>0.46</v>
      </c>
      <c r="Z44" s="2">
        <v>0.14000000000000001</v>
      </c>
      <c r="AA44" s="2">
        <v>0.95350000000000001</v>
      </c>
    </row>
    <row r="45" spans="1:27" x14ac:dyDescent="0.2">
      <c r="A45" s="9">
        <v>0.679512</v>
      </c>
      <c r="B45" s="4">
        <v>1</v>
      </c>
      <c r="C45" s="4">
        <v>0.27</v>
      </c>
      <c r="D45" s="4">
        <v>0.19500000000000001</v>
      </c>
      <c r="E45" s="4">
        <v>7.0000000000000007E-2</v>
      </c>
      <c r="F45" s="4">
        <v>0.10199999999999999</v>
      </c>
      <c r="V45" s="3">
        <v>1.0023066666666665</v>
      </c>
      <c r="W45" s="2">
        <v>1</v>
      </c>
      <c r="X45" s="2">
        <v>0.57999999999999996</v>
      </c>
      <c r="Y45" s="2">
        <v>0.44500000000000001</v>
      </c>
      <c r="Z45" s="2">
        <v>0.16</v>
      </c>
      <c r="AA45" s="2">
        <v>0.98399999999999999</v>
      </c>
    </row>
    <row r="46" spans="1:27" x14ac:dyDescent="0.2">
      <c r="A46" s="9">
        <v>0.68204366666666683</v>
      </c>
      <c r="B46" s="4">
        <v>1</v>
      </c>
      <c r="C46" s="4">
        <v>0.27500000000000002</v>
      </c>
      <c r="D46" s="4">
        <v>0.2</v>
      </c>
      <c r="E46" s="4">
        <v>6.5000000000000002E-2</v>
      </c>
      <c r="F46" s="4">
        <v>0.10349999999999999</v>
      </c>
      <c r="V46" s="3">
        <v>1.0024612500000001</v>
      </c>
      <c r="W46" s="2">
        <v>1</v>
      </c>
      <c r="X46" s="2">
        <v>0.57999999999999996</v>
      </c>
      <c r="Y46" s="2">
        <v>0.435</v>
      </c>
      <c r="Z46" s="2">
        <v>0.155</v>
      </c>
      <c r="AA46" s="2">
        <v>0.87849999999999995</v>
      </c>
    </row>
    <row r="47" spans="1:27" x14ac:dyDescent="0.2">
      <c r="A47" s="9">
        <v>0.68229200000000001</v>
      </c>
      <c r="B47" s="4">
        <v>1</v>
      </c>
      <c r="C47" s="4">
        <v>0.26500000000000001</v>
      </c>
      <c r="D47" s="4">
        <v>0.21</v>
      </c>
      <c r="E47" s="4">
        <v>0.06</v>
      </c>
      <c r="F47" s="4">
        <v>9.6500000000000002E-2</v>
      </c>
      <c r="V47" s="3">
        <v>1.0024795833333335</v>
      </c>
      <c r="W47" s="2">
        <v>1</v>
      </c>
      <c r="X47" s="2">
        <v>0.56999999999999995</v>
      </c>
      <c r="Y47" s="2">
        <v>0.46</v>
      </c>
      <c r="Z47" s="2">
        <v>0.155</v>
      </c>
      <c r="AA47" s="2">
        <v>1.0004999999999999</v>
      </c>
    </row>
    <row r="48" spans="1:27" x14ac:dyDescent="0.2">
      <c r="A48" s="9">
        <v>0.68241166666666675</v>
      </c>
      <c r="B48" s="4">
        <v>1</v>
      </c>
      <c r="C48" s="4">
        <v>0.27500000000000002</v>
      </c>
      <c r="D48" s="4">
        <v>0.2</v>
      </c>
      <c r="E48" s="4">
        <v>5.5E-2</v>
      </c>
      <c r="F48" s="4">
        <v>9.2499999999999999E-2</v>
      </c>
      <c r="V48" s="3">
        <v>1.0025333333333333</v>
      </c>
      <c r="W48" s="2">
        <v>1</v>
      </c>
      <c r="X48" s="2">
        <v>0.56499999999999995</v>
      </c>
      <c r="Y48" s="2">
        <v>0.45</v>
      </c>
      <c r="Z48" s="2">
        <v>0.16</v>
      </c>
      <c r="AA48" s="2">
        <v>0.89500000000000002</v>
      </c>
    </row>
    <row r="49" spans="1:27" x14ac:dyDescent="0.2">
      <c r="A49" s="9">
        <v>0.68321166666666677</v>
      </c>
      <c r="B49" s="4">
        <v>1</v>
      </c>
      <c r="C49" s="4">
        <v>0.27500000000000002</v>
      </c>
      <c r="D49" s="4">
        <v>0.20499999999999999</v>
      </c>
      <c r="E49" s="4">
        <v>7.4999999999999997E-2</v>
      </c>
      <c r="F49" s="4">
        <v>0.1105</v>
      </c>
      <c r="V49" s="3">
        <v>1.0027187499999999</v>
      </c>
      <c r="W49" s="2">
        <v>1</v>
      </c>
      <c r="X49" s="2">
        <v>0.58499999999999996</v>
      </c>
      <c r="Y49" s="2">
        <v>0.45</v>
      </c>
      <c r="Z49" s="2">
        <v>0.17499999999999999</v>
      </c>
      <c r="AA49" s="2">
        <v>1.1274999999999999</v>
      </c>
    </row>
    <row r="50" spans="1:27" x14ac:dyDescent="0.2">
      <c r="A50" s="9">
        <v>0.68348866666666686</v>
      </c>
      <c r="B50" s="4">
        <v>1</v>
      </c>
      <c r="C50" s="4">
        <v>0.27500000000000002</v>
      </c>
      <c r="D50" s="4">
        <v>0.20499999999999999</v>
      </c>
      <c r="E50" s="4">
        <v>6.5000000000000002E-2</v>
      </c>
      <c r="F50" s="4">
        <v>0.10100000000000001</v>
      </c>
      <c r="V50" s="3">
        <v>1.0028333333333332</v>
      </c>
      <c r="W50" s="2">
        <v>1</v>
      </c>
      <c r="X50" s="2">
        <v>0.57999999999999996</v>
      </c>
      <c r="Y50" s="2">
        <v>0.45500000000000002</v>
      </c>
      <c r="Z50" s="2">
        <v>0.15</v>
      </c>
      <c r="AA50" s="2">
        <v>1.012</v>
      </c>
    </row>
    <row r="51" spans="1:27" x14ac:dyDescent="0.2">
      <c r="A51" s="9">
        <v>0.68409600000000004</v>
      </c>
      <c r="B51" s="4">
        <v>1</v>
      </c>
      <c r="C51" s="4">
        <v>0.28000000000000003</v>
      </c>
      <c r="D51" s="4">
        <v>0.2</v>
      </c>
      <c r="E51" s="4">
        <v>0.08</v>
      </c>
      <c r="F51" s="4">
        <v>9.1499999999999998E-2</v>
      </c>
      <c r="V51" s="3">
        <v>1.0029566666666665</v>
      </c>
      <c r="W51" s="2">
        <v>1</v>
      </c>
      <c r="X51" s="2">
        <v>0.57499999999999996</v>
      </c>
      <c r="Y51" s="2">
        <v>0.45</v>
      </c>
      <c r="Z51" s="2">
        <v>0.155</v>
      </c>
      <c r="AA51" s="2">
        <v>0.94799999999999995</v>
      </c>
    </row>
    <row r="52" spans="1:27" x14ac:dyDescent="0.2">
      <c r="A52" s="9">
        <v>0.68411233333333332</v>
      </c>
      <c r="B52" s="4">
        <v>1</v>
      </c>
      <c r="C52" s="4">
        <v>0.28000000000000003</v>
      </c>
      <c r="D52" s="4">
        <v>0.20499999999999999</v>
      </c>
      <c r="E52" s="4">
        <v>5.5E-2</v>
      </c>
      <c r="F52" s="4">
        <v>0.1135</v>
      </c>
      <c r="V52" s="3">
        <v>1.0032833333333333</v>
      </c>
      <c r="W52" s="2">
        <v>1</v>
      </c>
      <c r="X52" s="2">
        <v>0.57999999999999996</v>
      </c>
      <c r="Y52" s="2">
        <v>0.45</v>
      </c>
      <c r="Z52" s="2">
        <v>0.17499999999999999</v>
      </c>
      <c r="AA52" s="2">
        <v>1.0680000000000001</v>
      </c>
    </row>
    <row r="53" spans="1:27" x14ac:dyDescent="0.2">
      <c r="A53" s="9">
        <v>0.68570866666666674</v>
      </c>
      <c r="B53" s="4">
        <v>1</v>
      </c>
      <c r="C53" s="4">
        <v>0.28000000000000003</v>
      </c>
      <c r="D53" s="4">
        <v>0.21</v>
      </c>
      <c r="E53" s="4">
        <v>6.5000000000000002E-2</v>
      </c>
      <c r="F53" s="4">
        <v>0.111</v>
      </c>
      <c r="V53" s="3">
        <v>1.0034583333333333</v>
      </c>
      <c r="W53" s="2">
        <v>1</v>
      </c>
      <c r="X53" s="2">
        <v>0.58499999999999996</v>
      </c>
      <c r="Y53" s="2">
        <v>0.45</v>
      </c>
      <c r="Z53" s="2">
        <v>0.15</v>
      </c>
      <c r="AA53" s="2">
        <v>0.997</v>
      </c>
    </row>
    <row r="54" spans="1:27" x14ac:dyDescent="0.2">
      <c r="A54" s="9">
        <v>0.68636799999999998</v>
      </c>
      <c r="B54" s="4">
        <v>1</v>
      </c>
      <c r="C54" s="4">
        <v>0.28000000000000003</v>
      </c>
      <c r="D54" s="4">
        <v>0.215</v>
      </c>
      <c r="E54" s="4">
        <v>0.08</v>
      </c>
      <c r="F54" s="4">
        <v>0.13200000000000001</v>
      </c>
      <c r="V54" s="3">
        <v>1.0037699999999998</v>
      </c>
      <c r="W54" s="2">
        <v>1</v>
      </c>
      <c r="X54" s="2">
        <v>0.58499999999999996</v>
      </c>
      <c r="Y54" s="2">
        <v>0.44500000000000001</v>
      </c>
      <c r="Z54" s="2">
        <v>0.14000000000000001</v>
      </c>
      <c r="AA54" s="2">
        <v>0.91300000000000003</v>
      </c>
    </row>
    <row r="55" spans="1:27" x14ac:dyDescent="0.2">
      <c r="A55" s="9">
        <v>0.68771000000000004</v>
      </c>
      <c r="B55" s="4">
        <v>1</v>
      </c>
      <c r="C55" s="4">
        <v>0.28999999999999998</v>
      </c>
      <c r="D55" s="4">
        <v>0.20499999999999999</v>
      </c>
      <c r="E55" s="4">
        <v>7.0000000000000007E-2</v>
      </c>
      <c r="F55" s="4">
        <v>9.7500000000000003E-2</v>
      </c>
      <c r="V55" s="3">
        <v>1.0040024999999999</v>
      </c>
      <c r="W55" s="2">
        <v>1</v>
      </c>
      <c r="X55" s="2">
        <v>0.57499999999999996</v>
      </c>
      <c r="Y55" s="2">
        <v>0.44500000000000001</v>
      </c>
      <c r="Z55" s="2">
        <v>0.14499999999999999</v>
      </c>
      <c r="AA55" s="2">
        <v>0.84699999999999998</v>
      </c>
    </row>
    <row r="56" spans="1:27" x14ac:dyDescent="0.2">
      <c r="A56" s="9">
        <v>0.689612</v>
      </c>
      <c r="B56" s="4">
        <v>1</v>
      </c>
      <c r="C56" s="4">
        <v>0.28999999999999998</v>
      </c>
      <c r="D56" s="4">
        <v>0.215</v>
      </c>
      <c r="E56" s="4">
        <v>0.06</v>
      </c>
      <c r="F56" s="4">
        <v>0.1115</v>
      </c>
      <c r="V56" s="3">
        <v>1.0043199999999999</v>
      </c>
      <c r="W56" s="2">
        <v>1</v>
      </c>
      <c r="X56" s="2">
        <v>0.6</v>
      </c>
      <c r="Y56" s="2">
        <v>0.45</v>
      </c>
      <c r="Z56" s="2">
        <v>0.16</v>
      </c>
      <c r="AA56" s="2">
        <v>1.1419999999999999</v>
      </c>
    </row>
    <row r="57" spans="1:27" x14ac:dyDescent="0.2">
      <c r="A57" s="9">
        <v>0.69040000000000001</v>
      </c>
      <c r="B57" s="4">
        <v>1</v>
      </c>
      <c r="C57" s="4">
        <v>0.29499999999999998</v>
      </c>
      <c r="D57" s="4">
        <v>0.21</v>
      </c>
      <c r="E57" s="4">
        <v>0.08</v>
      </c>
      <c r="F57" s="4">
        <v>0.1</v>
      </c>
      <c r="V57" s="3">
        <v>1.0051033333333335</v>
      </c>
      <c r="W57" s="2">
        <v>1</v>
      </c>
      <c r="X57" s="2">
        <v>0.59499999999999997</v>
      </c>
      <c r="Y57" s="2">
        <v>0.46500000000000002</v>
      </c>
      <c r="Z57" s="2">
        <v>0.14000000000000001</v>
      </c>
      <c r="AA57" s="2">
        <v>1.113</v>
      </c>
    </row>
    <row r="58" spans="1:27" x14ac:dyDescent="0.2">
      <c r="A58" s="9">
        <v>0.69062400000000013</v>
      </c>
      <c r="B58" s="4">
        <v>1</v>
      </c>
      <c r="C58" s="4">
        <v>0.29499999999999998</v>
      </c>
      <c r="D58" s="4">
        <v>0.215</v>
      </c>
      <c r="E58" s="4">
        <v>8.5000000000000006E-2</v>
      </c>
      <c r="F58" s="4">
        <v>0.128</v>
      </c>
      <c r="V58" s="3">
        <v>1.0051533333333333</v>
      </c>
      <c r="W58" s="2">
        <v>1</v>
      </c>
      <c r="X58" s="2">
        <v>0.57499999999999996</v>
      </c>
      <c r="Y58" s="2">
        <v>0.46500000000000002</v>
      </c>
      <c r="Z58" s="2">
        <v>0.14000000000000001</v>
      </c>
      <c r="AA58" s="2">
        <v>0.95799999999999996</v>
      </c>
    </row>
    <row r="59" spans="1:27" x14ac:dyDescent="0.2">
      <c r="A59" s="9">
        <v>0.69097333333333344</v>
      </c>
      <c r="B59" s="4">
        <v>1</v>
      </c>
      <c r="C59" s="4">
        <v>0.29499999999999998</v>
      </c>
      <c r="D59" s="4">
        <v>0.215</v>
      </c>
      <c r="E59" s="4">
        <v>7.4999999999999997E-2</v>
      </c>
      <c r="F59" s="4">
        <v>0.11600000000000001</v>
      </c>
      <c r="V59" s="3">
        <v>1.0054399999999999</v>
      </c>
      <c r="W59" s="2">
        <v>1</v>
      </c>
      <c r="X59" s="2">
        <v>0.57499999999999996</v>
      </c>
      <c r="Y59" s="2">
        <v>0.47499999999999998</v>
      </c>
      <c r="Z59" s="2">
        <v>0.16</v>
      </c>
      <c r="AA59" s="2">
        <v>1.1140000000000001</v>
      </c>
    </row>
    <row r="60" spans="1:27" x14ac:dyDescent="0.2">
      <c r="A60" s="9">
        <v>0.69126666666666658</v>
      </c>
      <c r="B60" s="4">
        <v>1</v>
      </c>
      <c r="C60" s="4">
        <v>0.28999999999999998</v>
      </c>
      <c r="D60" s="4">
        <v>0.22500000000000001</v>
      </c>
      <c r="E60" s="4">
        <v>7.4999999999999997E-2</v>
      </c>
      <c r="F60" s="4">
        <v>0.14000000000000001</v>
      </c>
      <c r="V60" s="3">
        <v>1.0056591666666665</v>
      </c>
      <c r="W60" s="2">
        <v>1</v>
      </c>
      <c r="X60" s="2">
        <v>0.57999999999999996</v>
      </c>
      <c r="Y60" s="2">
        <v>0.49</v>
      </c>
      <c r="Z60" s="2">
        <v>0.13</v>
      </c>
      <c r="AA60" s="2">
        <v>1.1335</v>
      </c>
    </row>
    <row r="61" spans="1:27" x14ac:dyDescent="0.2">
      <c r="A61" s="9">
        <v>0.69178933333333337</v>
      </c>
      <c r="B61" s="4">
        <v>1</v>
      </c>
      <c r="C61" s="4">
        <v>0.29499999999999998</v>
      </c>
      <c r="D61" s="4">
        <v>0.22</v>
      </c>
      <c r="E61" s="4">
        <v>7.0000000000000007E-2</v>
      </c>
      <c r="F61" s="4">
        <v>0.126</v>
      </c>
      <c r="V61" s="3">
        <v>1.0057683333333334</v>
      </c>
      <c r="W61" s="2">
        <v>1</v>
      </c>
      <c r="X61" s="2">
        <v>0.57999999999999996</v>
      </c>
      <c r="Y61" s="2">
        <v>0.46</v>
      </c>
      <c r="Z61" s="2">
        <v>0.13500000000000001</v>
      </c>
      <c r="AA61" s="2">
        <v>0.92600000000000005</v>
      </c>
    </row>
    <row r="62" spans="1:27" x14ac:dyDescent="0.2">
      <c r="A62" s="9">
        <v>0.69227733333333341</v>
      </c>
      <c r="B62" s="4">
        <v>1</v>
      </c>
      <c r="C62" s="4">
        <v>0.32</v>
      </c>
      <c r="D62" s="4">
        <v>0.20499999999999999</v>
      </c>
      <c r="E62" s="4">
        <v>0.08</v>
      </c>
      <c r="F62" s="4">
        <v>0.18099999999999999</v>
      </c>
      <c r="V62" s="3">
        <v>1.0058333333333334</v>
      </c>
      <c r="W62" s="2">
        <v>1</v>
      </c>
      <c r="X62" s="2">
        <v>0.59499999999999997</v>
      </c>
      <c r="Y62" s="2">
        <v>0.435</v>
      </c>
      <c r="Z62" s="2">
        <v>0.15</v>
      </c>
      <c r="AA62" s="2">
        <v>0.9</v>
      </c>
    </row>
    <row r="63" spans="1:27" x14ac:dyDescent="0.2">
      <c r="A63" s="9">
        <v>0.69331200000000004</v>
      </c>
      <c r="B63" s="4">
        <v>1</v>
      </c>
      <c r="C63" s="4">
        <v>0.3</v>
      </c>
      <c r="D63" s="4">
        <v>0.22</v>
      </c>
      <c r="E63" s="4">
        <v>0.08</v>
      </c>
      <c r="F63" s="4">
        <v>0.1255</v>
      </c>
      <c r="V63" s="3">
        <v>1.0059166666666666</v>
      </c>
      <c r="W63" s="2">
        <v>2</v>
      </c>
      <c r="X63" s="2">
        <v>1.1599999999999999</v>
      </c>
      <c r="Y63" s="2">
        <v>0.9</v>
      </c>
      <c r="Z63" s="2">
        <v>0.3</v>
      </c>
      <c r="AA63" s="2">
        <v>1.7959999999999998</v>
      </c>
    </row>
    <row r="64" spans="1:27" x14ac:dyDescent="0.2">
      <c r="A64" s="9">
        <v>0.69379600000000008</v>
      </c>
      <c r="B64" s="4">
        <v>1</v>
      </c>
      <c r="C64" s="4">
        <v>0.30499999999999999</v>
      </c>
      <c r="D64" s="4">
        <v>0.22</v>
      </c>
      <c r="E64" s="4">
        <v>7.0000000000000007E-2</v>
      </c>
      <c r="F64" s="4">
        <v>0.14099999999999999</v>
      </c>
      <c r="V64" s="3">
        <v>1.0065183333333334</v>
      </c>
      <c r="W64" s="2">
        <v>1</v>
      </c>
      <c r="X64" s="2">
        <v>0.57999999999999996</v>
      </c>
      <c r="Y64" s="2">
        <v>0.46</v>
      </c>
      <c r="Z64" s="2">
        <v>0.14000000000000001</v>
      </c>
      <c r="AA64" s="2">
        <v>0.92649999999999999</v>
      </c>
    </row>
    <row r="65" spans="1:27" x14ac:dyDescent="0.2">
      <c r="A65" s="9">
        <v>0.6940993333333334</v>
      </c>
      <c r="B65" s="4">
        <v>1</v>
      </c>
      <c r="C65" s="4">
        <v>0.29499999999999998</v>
      </c>
      <c r="D65" s="4">
        <v>0.22500000000000001</v>
      </c>
      <c r="E65" s="4">
        <v>0.09</v>
      </c>
      <c r="F65" s="4">
        <v>0.1105</v>
      </c>
      <c r="V65" s="3">
        <v>1.0067066666666666</v>
      </c>
      <c r="W65" s="2">
        <v>1</v>
      </c>
      <c r="X65" s="2">
        <v>0.56999999999999995</v>
      </c>
      <c r="Y65" s="2">
        <v>0.45</v>
      </c>
      <c r="Z65" s="2">
        <v>0.18</v>
      </c>
      <c r="AA65" s="2">
        <v>0.90800000000000003</v>
      </c>
    </row>
    <row r="66" spans="1:27" x14ac:dyDescent="0.2">
      <c r="A66" s="9">
        <v>0.69479933333333344</v>
      </c>
      <c r="B66" s="4">
        <v>1</v>
      </c>
      <c r="C66" s="4">
        <v>0.30499999999999999</v>
      </c>
      <c r="D66" s="4">
        <v>0.22500000000000001</v>
      </c>
      <c r="E66" s="4">
        <v>7.0000000000000007E-2</v>
      </c>
      <c r="F66" s="4">
        <v>0.14849999999999999</v>
      </c>
      <c r="V66" s="3">
        <v>1.0068112500000002</v>
      </c>
      <c r="W66" s="2">
        <v>1</v>
      </c>
      <c r="X66" s="2">
        <v>0.59499999999999997</v>
      </c>
      <c r="Y66" s="2">
        <v>0.48499999999999999</v>
      </c>
      <c r="Z66" s="2">
        <v>0.14499999999999999</v>
      </c>
      <c r="AA66" s="2">
        <v>1.2515000000000001</v>
      </c>
    </row>
    <row r="67" spans="1:27" x14ac:dyDescent="0.2">
      <c r="A67" s="9">
        <v>0.69531900000000002</v>
      </c>
      <c r="B67" s="4">
        <v>1</v>
      </c>
      <c r="C67" s="4">
        <v>0.31</v>
      </c>
      <c r="D67" s="4">
        <v>0.24</v>
      </c>
      <c r="E67" s="4">
        <v>0.105</v>
      </c>
      <c r="F67" s="4">
        <v>0.28849999999999998</v>
      </c>
      <c r="V67" s="3">
        <v>1.0076466666666668</v>
      </c>
      <c r="W67" s="2">
        <v>1</v>
      </c>
      <c r="X67" s="2">
        <v>0.59</v>
      </c>
      <c r="Y67" s="2">
        <v>0.46500000000000002</v>
      </c>
      <c r="Z67" s="2">
        <v>0.16</v>
      </c>
      <c r="AA67" s="2">
        <v>1.1005</v>
      </c>
    </row>
    <row r="68" spans="1:27" x14ac:dyDescent="0.2">
      <c r="A68" s="9">
        <v>0.69592333333333334</v>
      </c>
      <c r="B68" s="4">
        <v>1</v>
      </c>
      <c r="C68" s="4">
        <v>0.31</v>
      </c>
      <c r="D68" s="4">
        <v>0.22500000000000001</v>
      </c>
      <c r="E68" s="4">
        <v>0.05</v>
      </c>
      <c r="F68" s="4">
        <v>0.14449999999999999</v>
      </c>
      <c r="V68" s="3">
        <v>1.0076779166666665</v>
      </c>
      <c r="W68" s="2">
        <v>1</v>
      </c>
      <c r="X68" s="2">
        <v>0.6</v>
      </c>
      <c r="Y68" s="2">
        <v>0.44500000000000001</v>
      </c>
      <c r="Z68" s="2">
        <v>0.13500000000000001</v>
      </c>
      <c r="AA68" s="2">
        <v>0.92049999999999998</v>
      </c>
    </row>
    <row r="69" spans="1:27" x14ac:dyDescent="0.2">
      <c r="A69" s="9">
        <v>0.69705499999999998</v>
      </c>
      <c r="B69" s="4">
        <v>1</v>
      </c>
      <c r="C69" s="4">
        <v>0.31</v>
      </c>
      <c r="D69" s="4">
        <v>0.22500000000000001</v>
      </c>
      <c r="E69" s="4">
        <v>7.4999999999999997E-2</v>
      </c>
      <c r="F69" s="4">
        <v>0.1295</v>
      </c>
      <c r="V69" s="3">
        <v>1.0079037500000001</v>
      </c>
      <c r="W69" s="2">
        <v>1</v>
      </c>
      <c r="X69" s="2">
        <v>0.59</v>
      </c>
      <c r="Y69" s="2">
        <v>0.46</v>
      </c>
      <c r="Z69" s="2">
        <v>0.14499999999999999</v>
      </c>
      <c r="AA69" s="2">
        <v>0.99050000000000005</v>
      </c>
    </row>
    <row r="70" spans="1:27" x14ac:dyDescent="0.2">
      <c r="A70" s="9">
        <v>0.69818666666666673</v>
      </c>
      <c r="B70" s="4">
        <v>1</v>
      </c>
      <c r="C70" s="4">
        <v>0.315</v>
      </c>
      <c r="D70" s="4">
        <v>0.23</v>
      </c>
      <c r="E70" s="4">
        <v>0</v>
      </c>
      <c r="F70" s="4">
        <v>0.13400000000000001</v>
      </c>
      <c r="V70" s="3">
        <v>1.00796375</v>
      </c>
      <c r="W70" s="2">
        <v>1</v>
      </c>
      <c r="X70" s="2">
        <v>0.59</v>
      </c>
      <c r="Y70" s="2">
        <v>0.46500000000000002</v>
      </c>
      <c r="Z70" s="2">
        <v>0.13500000000000001</v>
      </c>
      <c r="AA70" s="2">
        <v>0.98950000000000005</v>
      </c>
    </row>
    <row r="71" spans="1:27" x14ac:dyDescent="0.2">
      <c r="A71" s="9">
        <v>0.69946666666666679</v>
      </c>
      <c r="B71" s="4">
        <v>1</v>
      </c>
      <c r="C71" s="4">
        <v>0.315</v>
      </c>
      <c r="D71" s="4">
        <v>0.23</v>
      </c>
      <c r="E71" s="4">
        <v>0.08</v>
      </c>
      <c r="F71" s="4">
        <v>0.13750000000000001</v>
      </c>
      <c r="V71" s="3">
        <v>1.0089066666666666</v>
      </c>
      <c r="W71" s="2">
        <v>1</v>
      </c>
      <c r="X71" s="2">
        <v>0.6</v>
      </c>
      <c r="Y71" s="2">
        <v>0.47</v>
      </c>
      <c r="Z71" s="2">
        <v>0.16</v>
      </c>
      <c r="AA71" s="2">
        <v>1.194</v>
      </c>
    </row>
    <row r="72" spans="1:27" x14ac:dyDescent="0.2">
      <c r="A72" s="9">
        <v>0.69989666666666672</v>
      </c>
      <c r="B72" s="4">
        <v>1</v>
      </c>
      <c r="C72" s="4">
        <v>0.33</v>
      </c>
      <c r="D72" s="4">
        <v>0.22500000000000001</v>
      </c>
      <c r="E72" s="4">
        <v>7.4999999999999997E-2</v>
      </c>
      <c r="F72" s="4">
        <v>0.187</v>
      </c>
      <c r="V72" s="3">
        <v>1.0089166666666667</v>
      </c>
      <c r="W72" s="2">
        <v>1</v>
      </c>
      <c r="X72" s="2">
        <v>0.58499999999999996</v>
      </c>
      <c r="Y72" s="2">
        <v>0.45500000000000002</v>
      </c>
      <c r="Z72" s="2">
        <v>0.15</v>
      </c>
      <c r="AA72" s="2">
        <v>0.90600000000000003</v>
      </c>
    </row>
    <row r="73" spans="1:27" x14ac:dyDescent="0.2">
      <c r="A73" s="9">
        <v>0.70002200000000014</v>
      </c>
      <c r="B73" s="4">
        <v>1</v>
      </c>
      <c r="C73" s="4">
        <v>0.315</v>
      </c>
      <c r="D73" s="4">
        <v>0.23</v>
      </c>
      <c r="E73" s="4">
        <v>0.09</v>
      </c>
      <c r="F73" s="4">
        <v>0.1285</v>
      </c>
      <c r="V73" s="3">
        <v>1.00935</v>
      </c>
      <c r="W73" s="2">
        <v>1</v>
      </c>
      <c r="X73" s="2">
        <v>0.57999999999999996</v>
      </c>
      <c r="Y73" s="2">
        <v>0.45500000000000002</v>
      </c>
      <c r="Z73" s="2">
        <v>0.17</v>
      </c>
      <c r="AA73" s="2">
        <v>0.93</v>
      </c>
    </row>
    <row r="74" spans="1:27" x14ac:dyDescent="0.2">
      <c r="A74" s="9">
        <v>0.7002316666666667</v>
      </c>
      <c r="B74" s="4">
        <v>1</v>
      </c>
      <c r="C74" s="4">
        <v>0.315</v>
      </c>
      <c r="D74" s="4">
        <v>0.23499999999999999</v>
      </c>
      <c r="E74" s="4">
        <v>7.4999999999999997E-2</v>
      </c>
      <c r="F74" s="4">
        <v>0.14849999999999999</v>
      </c>
      <c r="V74" s="3">
        <v>1.0094449999999999</v>
      </c>
      <c r="W74" s="2">
        <v>1</v>
      </c>
      <c r="X74" s="2">
        <v>0.57499999999999996</v>
      </c>
      <c r="Y74" s="2">
        <v>0.48</v>
      </c>
      <c r="Z74" s="2">
        <v>0.16500000000000001</v>
      </c>
      <c r="AA74" s="2">
        <v>1.0780000000000001</v>
      </c>
    </row>
    <row r="75" spans="1:27" x14ac:dyDescent="0.2">
      <c r="A75" s="9">
        <v>0.70052000000000003</v>
      </c>
      <c r="B75" s="4">
        <v>1</v>
      </c>
      <c r="C75" s="4">
        <v>0.33500000000000002</v>
      </c>
      <c r="D75" s="4">
        <v>0.22</v>
      </c>
      <c r="E75" s="4">
        <v>7.0000000000000007E-2</v>
      </c>
      <c r="F75" s="4">
        <v>0.17</v>
      </c>
      <c r="V75" s="3">
        <v>1.0095400000000001</v>
      </c>
      <c r="W75" s="2">
        <v>1</v>
      </c>
      <c r="X75" s="2">
        <v>0.59</v>
      </c>
      <c r="Y75" s="2">
        <v>0.46</v>
      </c>
      <c r="Z75" s="2">
        <v>0.16</v>
      </c>
      <c r="AA75" s="2">
        <v>1.0115000000000001</v>
      </c>
    </row>
    <row r="76" spans="1:27" x14ac:dyDescent="0.2">
      <c r="A76" s="9">
        <v>0.70109833333333338</v>
      </c>
      <c r="B76" s="4">
        <v>1</v>
      </c>
      <c r="C76" s="4">
        <v>0.315</v>
      </c>
      <c r="D76" s="4">
        <v>0.23499999999999999</v>
      </c>
      <c r="E76" s="4">
        <v>7.4999999999999997E-2</v>
      </c>
      <c r="F76" s="4">
        <v>0.1285</v>
      </c>
      <c r="V76" s="3">
        <v>1.0096799999999999</v>
      </c>
      <c r="W76" s="2">
        <v>1</v>
      </c>
      <c r="X76" s="2">
        <v>0.6</v>
      </c>
      <c r="Y76" s="2">
        <v>0.46500000000000002</v>
      </c>
      <c r="Z76" s="2">
        <v>0.16</v>
      </c>
      <c r="AA76" s="2">
        <v>1.133</v>
      </c>
    </row>
    <row r="77" spans="1:27" x14ac:dyDescent="0.2">
      <c r="A77" s="9">
        <v>0.70166399999999995</v>
      </c>
      <c r="B77" s="4">
        <v>1</v>
      </c>
      <c r="C77" s="4">
        <v>0.32</v>
      </c>
      <c r="D77" s="4">
        <v>0.23499999999999999</v>
      </c>
      <c r="E77" s="4">
        <v>0.08</v>
      </c>
      <c r="F77" s="4">
        <v>0.14849999999999999</v>
      </c>
      <c r="V77" s="3">
        <v>1.0109399999999999</v>
      </c>
      <c r="W77" s="2">
        <v>1</v>
      </c>
      <c r="X77" s="2">
        <v>0.59</v>
      </c>
      <c r="Y77" s="2">
        <v>0.47499999999999998</v>
      </c>
      <c r="Z77" s="2">
        <v>0.16</v>
      </c>
      <c r="AA77" s="2">
        <v>1.1014999999999999</v>
      </c>
    </row>
    <row r="78" spans="1:27" x14ac:dyDescent="0.2">
      <c r="A78" s="9">
        <v>0.70219333333333334</v>
      </c>
      <c r="B78" s="4">
        <v>1</v>
      </c>
      <c r="C78" s="4">
        <v>0.32</v>
      </c>
      <c r="D78" s="4">
        <v>0.24</v>
      </c>
      <c r="E78" s="4">
        <v>8.5000000000000006E-2</v>
      </c>
      <c r="F78" s="4">
        <v>0.17</v>
      </c>
      <c r="V78" s="3">
        <v>1.0113400000000001</v>
      </c>
      <c r="W78" s="2">
        <v>1</v>
      </c>
      <c r="X78" s="2">
        <v>0.56999999999999995</v>
      </c>
      <c r="Y78" s="2">
        <v>0.495</v>
      </c>
      <c r="Z78" s="2">
        <v>0.16</v>
      </c>
      <c r="AA78" s="2">
        <v>1.0914999999999999</v>
      </c>
    </row>
    <row r="79" spans="1:27" x14ac:dyDescent="0.2">
      <c r="A79" s="9">
        <v>0.70256333333333343</v>
      </c>
      <c r="B79" s="4">
        <v>1</v>
      </c>
      <c r="C79" s="4">
        <v>0.32500000000000001</v>
      </c>
      <c r="D79" s="4">
        <v>0.24</v>
      </c>
      <c r="E79" s="4">
        <v>7.4999999999999997E-2</v>
      </c>
      <c r="F79" s="4">
        <v>0.187</v>
      </c>
      <c r="V79" s="3">
        <v>1.0115208333333334</v>
      </c>
      <c r="W79" s="2">
        <v>1</v>
      </c>
      <c r="X79" s="2">
        <v>0.59499999999999997</v>
      </c>
      <c r="Y79" s="2">
        <v>0.46500000000000002</v>
      </c>
      <c r="Z79" s="2">
        <v>0.17499999999999999</v>
      </c>
      <c r="AA79" s="2">
        <v>1.115</v>
      </c>
    </row>
    <row r="80" spans="1:27" x14ac:dyDescent="0.2">
      <c r="A80" s="9">
        <v>0.70330633333333337</v>
      </c>
      <c r="B80" s="4">
        <v>1</v>
      </c>
      <c r="C80" s="4">
        <v>0.315</v>
      </c>
      <c r="D80" s="4">
        <v>0.245</v>
      </c>
      <c r="E80" s="4">
        <v>8.5000000000000006E-2</v>
      </c>
      <c r="F80" s="4">
        <v>0.14349999999999999</v>
      </c>
      <c r="V80" s="3">
        <v>1.0115749999999999</v>
      </c>
      <c r="W80" s="2">
        <v>1</v>
      </c>
      <c r="X80" s="2">
        <v>0.60499999999999998</v>
      </c>
      <c r="Y80" s="2">
        <v>0.47499999999999998</v>
      </c>
      <c r="Z80" s="2">
        <v>0.14000000000000001</v>
      </c>
      <c r="AA80" s="2">
        <v>1.1174999999999999</v>
      </c>
    </row>
    <row r="81" spans="1:27" x14ac:dyDescent="0.2">
      <c r="A81" s="9">
        <v>0.70383133333333336</v>
      </c>
      <c r="B81" s="4">
        <v>1</v>
      </c>
      <c r="C81" s="4">
        <v>0.32</v>
      </c>
      <c r="D81" s="4">
        <v>0.24</v>
      </c>
      <c r="E81" s="4">
        <v>8.5000000000000006E-2</v>
      </c>
      <c r="F81" s="4">
        <v>0.13100000000000001</v>
      </c>
      <c r="V81" s="3">
        <v>1.0118445833333332</v>
      </c>
      <c r="W81" s="2">
        <v>1</v>
      </c>
      <c r="X81" s="2">
        <v>0.6</v>
      </c>
      <c r="Y81" s="2">
        <v>0.47499999999999998</v>
      </c>
      <c r="Z81" s="2">
        <v>0.155</v>
      </c>
      <c r="AA81" s="2">
        <v>1.1385000000000001</v>
      </c>
    </row>
    <row r="82" spans="1:27" x14ac:dyDescent="0.2">
      <c r="A82" s="9">
        <v>0.70390400000000009</v>
      </c>
      <c r="B82" s="4">
        <v>1</v>
      </c>
      <c r="C82" s="4">
        <v>0.32</v>
      </c>
      <c r="D82" s="4">
        <v>0.245</v>
      </c>
      <c r="E82" s="4">
        <v>0.08</v>
      </c>
      <c r="F82" s="4">
        <v>0.1585</v>
      </c>
      <c r="V82" s="3">
        <v>1.0118541666666665</v>
      </c>
      <c r="W82" s="2">
        <v>1</v>
      </c>
      <c r="X82" s="2">
        <v>0.59</v>
      </c>
      <c r="Y82" s="2">
        <v>0.47</v>
      </c>
      <c r="Z82" s="2">
        <v>0.15</v>
      </c>
      <c r="AA82" s="2">
        <v>0.99550000000000005</v>
      </c>
    </row>
    <row r="83" spans="1:27" x14ac:dyDescent="0.2">
      <c r="A83" s="9">
        <v>0.70394000000000001</v>
      </c>
      <c r="B83" s="4">
        <v>1</v>
      </c>
      <c r="C83" s="4">
        <v>0.35</v>
      </c>
      <c r="D83" s="4">
        <v>0.25</v>
      </c>
      <c r="E83" s="4">
        <v>0.1</v>
      </c>
      <c r="F83" s="4">
        <v>0.40150000000000002</v>
      </c>
      <c r="V83" s="3">
        <v>1.0118949999999998</v>
      </c>
      <c r="W83" s="2">
        <v>1</v>
      </c>
      <c r="X83" s="2">
        <v>0.57999999999999996</v>
      </c>
      <c r="Y83" s="2">
        <v>0.47499999999999998</v>
      </c>
      <c r="Z83" s="2">
        <v>0.155</v>
      </c>
      <c r="AA83" s="2">
        <v>0.97399999999999998</v>
      </c>
    </row>
    <row r="84" spans="1:27" x14ac:dyDescent="0.2">
      <c r="A84" s="9">
        <v>0.70397866666666664</v>
      </c>
      <c r="B84" s="4">
        <v>1</v>
      </c>
      <c r="C84" s="4">
        <v>0.32500000000000001</v>
      </c>
      <c r="D84" s="4">
        <v>0.24</v>
      </c>
      <c r="E84" s="4">
        <v>7.0000000000000007E-2</v>
      </c>
      <c r="F84" s="4">
        <v>0.152</v>
      </c>
      <c r="V84" s="3">
        <v>1.0119066666666667</v>
      </c>
      <c r="W84" s="2">
        <v>1</v>
      </c>
      <c r="X84" s="2">
        <v>0.65500000000000003</v>
      </c>
      <c r="Y84" s="2">
        <v>0.46</v>
      </c>
      <c r="Z84" s="2">
        <v>0.16</v>
      </c>
      <c r="AA84" s="2">
        <v>1.494</v>
      </c>
    </row>
    <row r="85" spans="1:27" x14ac:dyDescent="0.2">
      <c r="A85" s="9">
        <v>0.70405833333333334</v>
      </c>
      <c r="B85" s="4">
        <v>1</v>
      </c>
      <c r="C85" s="4">
        <v>0.32500000000000001</v>
      </c>
      <c r="D85" s="4">
        <v>0.24</v>
      </c>
      <c r="E85" s="4">
        <v>7.4999999999999997E-2</v>
      </c>
      <c r="F85" s="4">
        <v>0.1525</v>
      </c>
      <c r="V85" s="3">
        <v>1.0120908333333332</v>
      </c>
      <c r="W85" s="2">
        <v>1</v>
      </c>
      <c r="X85" s="2">
        <v>0.58499999999999996</v>
      </c>
      <c r="Y85" s="2">
        <v>0.47499999999999998</v>
      </c>
      <c r="Z85" s="2">
        <v>0.16500000000000001</v>
      </c>
      <c r="AA85" s="2">
        <v>1.0529999999999999</v>
      </c>
    </row>
    <row r="86" spans="1:27" x14ac:dyDescent="0.2">
      <c r="A86" s="9">
        <v>0.70615133333333346</v>
      </c>
      <c r="B86" s="4">
        <v>1</v>
      </c>
      <c r="C86" s="4">
        <v>0.33</v>
      </c>
      <c r="D86" s="4">
        <v>0.245</v>
      </c>
      <c r="E86" s="4">
        <v>8.5000000000000006E-2</v>
      </c>
      <c r="F86" s="4">
        <v>0.17100000000000001</v>
      </c>
      <c r="V86" s="3">
        <v>1.0125000000000002</v>
      </c>
      <c r="W86" s="2">
        <v>1</v>
      </c>
      <c r="X86" s="2">
        <v>0.59499999999999997</v>
      </c>
      <c r="Y86" s="2">
        <v>0.46500000000000002</v>
      </c>
      <c r="Z86" s="2">
        <v>0.15</v>
      </c>
      <c r="AA86" s="2">
        <v>0.98</v>
      </c>
    </row>
    <row r="87" spans="1:27" x14ac:dyDescent="0.2">
      <c r="A87" s="9">
        <v>0.70646500000000001</v>
      </c>
      <c r="B87" s="4">
        <v>1</v>
      </c>
      <c r="C87" s="4">
        <v>0.32500000000000001</v>
      </c>
      <c r="D87" s="4">
        <v>0.25</v>
      </c>
      <c r="E87" s="4">
        <v>7.4999999999999997E-2</v>
      </c>
      <c r="F87" s="4">
        <v>0.1585</v>
      </c>
      <c r="V87" s="3">
        <v>1.0125333333333333</v>
      </c>
      <c r="W87" s="2">
        <v>1</v>
      </c>
      <c r="X87" s="2">
        <v>0.6</v>
      </c>
      <c r="Y87" s="2">
        <v>0.46500000000000002</v>
      </c>
      <c r="Z87" s="2">
        <v>0.155</v>
      </c>
      <c r="AA87" s="2">
        <v>1.04</v>
      </c>
    </row>
    <row r="88" spans="1:27" x14ac:dyDescent="0.2">
      <c r="A88" s="9">
        <v>0.70874666666666664</v>
      </c>
      <c r="B88" s="4">
        <v>1</v>
      </c>
      <c r="C88" s="4">
        <v>0.35</v>
      </c>
      <c r="D88" s="4">
        <v>0.23499999999999999</v>
      </c>
      <c r="E88" s="4">
        <v>0.08</v>
      </c>
      <c r="F88" s="4">
        <v>0.17</v>
      </c>
      <c r="V88" s="3">
        <v>1.0126633333333332</v>
      </c>
      <c r="W88" s="2">
        <v>1</v>
      </c>
      <c r="X88" s="2">
        <v>0.59</v>
      </c>
      <c r="Y88" s="2">
        <v>0.47499999999999998</v>
      </c>
      <c r="Z88" s="2">
        <v>0.14000000000000001</v>
      </c>
      <c r="AA88" s="2">
        <v>0.97699999999999998</v>
      </c>
    </row>
    <row r="89" spans="1:27" x14ac:dyDescent="0.2">
      <c r="A89" s="9">
        <v>0.71098666666666677</v>
      </c>
      <c r="B89" s="4">
        <v>1</v>
      </c>
      <c r="C89" s="4">
        <v>0.33500000000000002</v>
      </c>
      <c r="D89" s="4">
        <v>0.26</v>
      </c>
      <c r="E89" s="4">
        <v>0.1</v>
      </c>
      <c r="F89" s="4">
        <v>0.192</v>
      </c>
      <c r="V89" s="3">
        <v>1.0126666666666666</v>
      </c>
      <c r="W89" s="2">
        <v>1</v>
      </c>
      <c r="X89" s="2">
        <v>0.61499999999999999</v>
      </c>
      <c r="Y89" s="2">
        <v>0.47</v>
      </c>
      <c r="Z89" s="2">
        <v>0.155</v>
      </c>
      <c r="AA89" s="2">
        <v>1.2</v>
      </c>
    </row>
    <row r="90" spans="1:27" x14ac:dyDescent="0.2">
      <c r="A90" s="9">
        <v>0.71146666666666669</v>
      </c>
      <c r="B90" s="4">
        <v>1</v>
      </c>
      <c r="C90" s="4">
        <v>0.34</v>
      </c>
      <c r="D90" s="4">
        <v>0.26</v>
      </c>
      <c r="E90" s="4">
        <v>0.08</v>
      </c>
      <c r="F90" s="4">
        <v>0.2</v>
      </c>
      <c r="V90" s="3">
        <v>1.0128174999999999</v>
      </c>
      <c r="W90" s="2">
        <v>1</v>
      </c>
      <c r="X90" s="2">
        <v>0.59</v>
      </c>
      <c r="Y90" s="2">
        <v>0.47499999999999998</v>
      </c>
      <c r="Z90" s="2">
        <v>0.16500000000000001</v>
      </c>
      <c r="AA90" s="2">
        <v>1.077</v>
      </c>
    </row>
    <row r="91" spans="1:27" x14ac:dyDescent="0.2">
      <c r="A91" s="9">
        <v>0.71209033333333338</v>
      </c>
      <c r="B91" s="4">
        <v>1</v>
      </c>
      <c r="C91" s="4">
        <v>0.34499999999999997</v>
      </c>
      <c r="D91" s="4">
        <v>0.255</v>
      </c>
      <c r="E91" s="4">
        <v>9.5000000000000001E-2</v>
      </c>
      <c r="F91" s="4">
        <v>0.19450000000000001</v>
      </c>
      <c r="V91" s="3">
        <v>1.0129729166666666</v>
      </c>
      <c r="W91" s="2">
        <v>1</v>
      </c>
      <c r="X91" s="2">
        <v>0.61499999999999999</v>
      </c>
      <c r="Y91" s="2">
        <v>0.47</v>
      </c>
      <c r="Z91" s="2">
        <v>0.17499999999999999</v>
      </c>
      <c r="AA91" s="2">
        <v>1.2985</v>
      </c>
    </row>
    <row r="92" spans="1:27" x14ac:dyDescent="0.2">
      <c r="A92" s="9">
        <v>0.71367933333333333</v>
      </c>
      <c r="B92" s="4">
        <v>1</v>
      </c>
      <c r="C92" s="4">
        <v>0.35</v>
      </c>
      <c r="D92" s="4">
        <v>0.26</v>
      </c>
      <c r="E92" s="4">
        <v>9.5000000000000001E-2</v>
      </c>
      <c r="F92" s="4">
        <v>0.221</v>
      </c>
      <c r="V92" s="3">
        <v>1.0133595833333333</v>
      </c>
      <c r="W92" s="2">
        <v>1</v>
      </c>
      <c r="X92" s="2">
        <v>0.58499999999999996</v>
      </c>
      <c r="Y92" s="2">
        <v>0.46500000000000002</v>
      </c>
      <c r="Z92" s="2">
        <v>0.16500000000000001</v>
      </c>
      <c r="AA92" s="2">
        <v>0.9355</v>
      </c>
    </row>
    <row r="93" spans="1:27" x14ac:dyDescent="0.2">
      <c r="A93" s="9">
        <v>0.71395533333333328</v>
      </c>
      <c r="B93" s="4">
        <v>1</v>
      </c>
      <c r="C93" s="4">
        <v>0.35</v>
      </c>
      <c r="D93" s="4">
        <v>0.255</v>
      </c>
      <c r="E93" s="4">
        <v>0.09</v>
      </c>
      <c r="F93" s="4">
        <v>0.17849999999999999</v>
      </c>
      <c r="V93" s="3">
        <v>1.0136379166666669</v>
      </c>
      <c r="W93" s="2">
        <v>1</v>
      </c>
      <c r="X93" s="2">
        <v>0.59499999999999997</v>
      </c>
      <c r="Y93" s="2">
        <v>0.47</v>
      </c>
      <c r="Z93" s="2">
        <v>0.13500000000000001</v>
      </c>
      <c r="AA93" s="2">
        <v>0.9365</v>
      </c>
    </row>
    <row r="94" spans="1:27" x14ac:dyDescent="0.2">
      <c r="A94" s="9">
        <v>0.7153586666666667</v>
      </c>
      <c r="B94" s="4">
        <v>1</v>
      </c>
      <c r="C94" s="4">
        <v>0.35</v>
      </c>
      <c r="D94" s="4">
        <v>0.26</v>
      </c>
      <c r="E94" s="4">
        <v>8.5000000000000006E-2</v>
      </c>
      <c r="F94" s="4">
        <v>0.17399999999999999</v>
      </c>
      <c r="V94" s="3">
        <v>1.0139166666666666</v>
      </c>
      <c r="W94" s="2">
        <v>1</v>
      </c>
      <c r="X94" s="2">
        <v>0.62</v>
      </c>
      <c r="Y94" s="2">
        <v>0.48</v>
      </c>
      <c r="Z94" s="2">
        <v>0.15</v>
      </c>
      <c r="AA94" s="2">
        <v>1.266</v>
      </c>
    </row>
    <row r="95" spans="1:27" x14ac:dyDescent="0.2">
      <c r="A95" s="9">
        <v>0.71585733333333335</v>
      </c>
      <c r="B95" s="4">
        <v>1</v>
      </c>
      <c r="C95" s="4">
        <v>0.35</v>
      </c>
      <c r="D95" s="4">
        <v>0.26500000000000001</v>
      </c>
      <c r="E95" s="4">
        <v>0.09</v>
      </c>
      <c r="F95" s="4">
        <v>0.19700000000000001</v>
      </c>
      <c r="V95" s="3">
        <v>1.0140845833333332</v>
      </c>
      <c r="W95" s="2">
        <v>1</v>
      </c>
      <c r="X95" s="2">
        <v>0.59</v>
      </c>
      <c r="Y95" s="2">
        <v>0.47</v>
      </c>
      <c r="Z95" s="2">
        <v>0.14499999999999999</v>
      </c>
      <c r="AA95" s="2">
        <v>0.92349999999999999</v>
      </c>
    </row>
    <row r="96" spans="1:27" x14ac:dyDescent="0.2">
      <c r="A96" s="9">
        <v>0.71591866666666659</v>
      </c>
      <c r="B96" s="4">
        <v>1</v>
      </c>
      <c r="C96" s="4">
        <v>0.35</v>
      </c>
      <c r="D96" s="4">
        <v>0.26500000000000001</v>
      </c>
      <c r="E96" s="4">
        <v>0.11</v>
      </c>
      <c r="F96" s="4">
        <v>0.20899999999999999</v>
      </c>
      <c r="V96" s="3">
        <v>1.0141516666666666</v>
      </c>
      <c r="W96" s="2">
        <v>1</v>
      </c>
      <c r="X96" s="2">
        <v>0.60499999999999998</v>
      </c>
      <c r="Y96" s="2">
        <v>0.45</v>
      </c>
      <c r="Z96" s="2">
        <v>0.19500000000000001</v>
      </c>
      <c r="AA96" s="2">
        <v>1.0980000000000001</v>
      </c>
    </row>
    <row r="97" spans="1:27" x14ac:dyDescent="0.2">
      <c r="A97" s="9">
        <v>0.71598866666666672</v>
      </c>
      <c r="B97" s="4">
        <v>1</v>
      </c>
      <c r="C97" s="4">
        <v>0.34499999999999997</v>
      </c>
      <c r="D97" s="4">
        <v>0.27</v>
      </c>
      <c r="E97" s="4">
        <v>9.5000000000000001E-2</v>
      </c>
      <c r="F97" s="4">
        <v>0.19700000000000001</v>
      </c>
      <c r="V97" s="3">
        <v>1.0148266666666668</v>
      </c>
      <c r="W97" s="2">
        <v>1</v>
      </c>
      <c r="X97" s="2">
        <v>0.59499999999999997</v>
      </c>
      <c r="Y97" s="2">
        <v>0.46</v>
      </c>
      <c r="Z97" s="2">
        <v>0.16</v>
      </c>
      <c r="AA97" s="2">
        <v>0.92100000000000004</v>
      </c>
    </row>
    <row r="98" spans="1:27" x14ac:dyDescent="0.2">
      <c r="A98" s="9">
        <v>0.71633266666666673</v>
      </c>
      <c r="B98" s="4">
        <v>1</v>
      </c>
      <c r="C98" s="4">
        <v>0.35</v>
      </c>
      <c r="D98" s="4">
        <v>0.26500000000000001</v>
      </c>
      <c r="E98" s="4">
        <v>0.09</v>
      </c>
      <c r="F98" s="4">
        <v>0.1855</v>
      </c>
      <c r="V98" s="3">
        <v>1.0149624999999998</v>
      </c>
      <c r="W98" s="2">
        <v>1</v>
      </c>
      <c r="X98" s="2">
        <v>0.60499999999999998</v>
      </c>
      <c r="Y98" s="2">
        <v>0.47499999999999998</v>
      </c>
      <c r="Z98" s="2">
        <v>0.17499999999999999</v>
      </c>
      <c r="AA98" s="2">
        <v>1.2010000000000001</v>
      </c>
    </row>
    <row r="99" spans="1:27" x14ac:dyDescent="0.2">
      <c r="A99" s="9">
        <v>0.71666333333333332</v>
      </c>
      <c r="B99" s="4">
        <v>1</v>
      </c>
      <c r="C99" s="4">
        <v>0.35</v>
      </c>
      <c r="D99" s="4">
        <v>0.26500000000000001</v>
      </c>
      <c r="E99" s="4">
        <v>0.09</v>
      </c>
      <c r="F99" s="4">
        <v>0.17749999999999999</v>
      </c>
      <c r="V99" s="3">
        <v>1.0150416666666668</v>
      </c>
      <c r="W99" s="2">
        <v>1</v>
      </c>
      <c r="X99" s="2">
        <v>0.59499999999999997</v>
      </c>
      <c r="Y99" s="2">
        <v>0.46500000000000002</v>
      </c>
      <c r="Z99" s="2">
        <v>0.15</v>
      </c>
      <c r="AA99" s="2">
        <v>0.91900000000000004</v>
      </c>
    </row>
    <row r="100" spans="1:27" x14ac:dyDescent="0.2">
      <c r="A100" s="9">
        <v>0.71671299999999993</v>
      </c>
      <c r="B100" s="4">
        <v>1</v>
      </c>
      <c r="C100" s="4">
        <v>0.35</v>
      </c>
      <c r="D100" s="4">
        <v>0.26500000000000001</v>
      </c>
      <c r="E100" s="4">
        <v>8.5000000000000006E-2</v>
      </c>
      <c r="F100" s="4">
        <v>0.17349999999999999</v>
      </c>
      <c r="V100" s="3">
        <v>1.0150908333333331</v>
      </c>
      <c r="W100" s="2">
        <v>1</v>
      </c>
      <c r="X100" s="2">
        <v>0.6</v>
      </c>
      <c r="Y100" s="2">
        <v>0.47499999999999998</v>
      </c>
      <c r="Z100" s="2">
        <v>0.155</v>
      </c>
      <c r="AA100" s="2">
        <v>1.0589999999999999</v>
      </c>
    </row>
    <row r="101" spans="1:27" x14ac:dyDescent="0.2">
      <c r="A101" s="9">
        <v>0.71683933333333338</v>
      </c>
      <c r="B101" s="4">
        <v>1</v>
      </c>
      <c r="C101" s="4">
        <v>0.35</v>
      </c>
      <c r="D101" s="4">
        <v>0.27</v>
      </c>
      <c r="E101" s="4">
        <v>0.09</v>
      </c>
      <c r="F101" s="4">
        <v>0.20549999999999999</v>
      </c>
      <c r="V101" s="3">
        <v>1.0150916666666665</v>
      </c>
      <c r="W101" s="2">
        <v>1</v>
      </c>
      <c r="X101" s="2">
        <v>0.61499999999999999</v>
      </c>
      <c r="Y101" s="2">
        <v>0.47</v>
      </c>
      <c r="Z101" s="2">
        <v>0.17499999999999999</v>
      </c>
      <c r="AA101" s="2">
        <v>1.242</v>
      </c>
    </row>
    <row r="102" spans="1:27" x14ac:dyDescent="0.2">
      <c r="A102" s="9">
        <v>0.71846333333333334</v>
      </c>
      <c r="B102" s="4">
        <v>1</v>
      </c>
      <c r="C102" s="4">
        <v>0.35499999999999998</v>
      </c>
      <c r="D102" s="4">
        <v>0.28999999999999998</v>
      </c>
      <c r="E102" s="4">
        <v>0.09</v>
      </c>
      <c r="F102" s="4">
        <v>0.32750000000000001</v>
      </c>
      <c r="V102" s="3">
        <v>1.0151891666666666</v>
      </c>
      <c r="W102" s="2">
        <v>1</v>
      </c>
      <c r="X102" s="2">
        <v>0.6</v>
      </c>
      <c r="Y102" s="2">
        <v>0.47</v>
      </c>
      <c r="Z102" s="2">
        <v>0.16500000000000001</v>
      </c>
      <c r="AA102" s="2">
        <v>1.0589999999999999</v>
      </c>
    </row>
    <row r="103" spans="1:27" x14ac:dyDescent="0.2">
      <c r="A103" s="9">
        <v>0.71870766666666674</v>
      </c>
      <c r="B103" s="4">
        <v>1</v>
      </c>
      <c r="C103" s="4">
        <v>0.36</v>
      </c>
      <c r="D103" s="4">
        <v>0.26500000000000001</v>
      </c>
      <c r="E103" s="4">
        <v>8.5000000000000006E-2</v>
      </c>
      <c r="F103" s="4">
        <v>0.1895</v>
      </c>
      <c r="V103" s="3">
        <v>1.0152262500000002</v>
      </c>
      <c r="W103" s="2">
        <v>1</v>
      </c>
      <c r="X103" s="2">
        <v>0.59499999999999997</v>
      </c>
      <c r="Y103" s="2">
        <v>0.47</v>
      </c>
      <c r="Z103" s="2">
        <v>0.16500000000000001</v>
      </c>
      <c r="AA103" s="2">
        <v>1.0155000000000001</v>
      </c>
    </row>
    <row r="104" spans="1:27" x14ac:dyDescent="0.2">
      <c r="A104" s="9">
        <v>0.71897500000000003</v>
      </c>
      <c r="B104" s="4">
        <v>1</v>
      </c>
      <c r="C104" s="4">
        <v>0.35499999999999998</v>
      </c>
      <c r="D104" s="4">
        <v>0.27</v>
      </c>
      <c r="E104" s="4">
        <v>7.4999999999999997E-2</v>
      </c>
      <c r="F104" s="4">
        <v>0.17749999999999999</v>
      </c>
      <c r="V104" s="3">
        <v>1.0152475000000001</v>
      </c>
      <c r="W104" s="2">
        <v>1</v>
      </c>
      <c r="X104" s="2">
        <v>0.6</v>
      </c>
      <c r="Y104" s="2">
        <v>0.47</v>
      </c>
      <c r="Z104" s="2">
        <v>0.17</v>
      </c>
      <c r="AA104" s="2">
        <v>1.0805</v>
      </c>
    </row>
    <row r="105" spans="1:27" x14ac:dyDescent="0.2">
      <c r="A105" s="9">
        <v>0.71910000000000007</v>
      </c>
      <c r="B105" s="4">
        <v>1</v>
      </c>
      <c r="C105" s="4">
        <v>0.34499999999999997</v>
      </c>
      <c r="D105" s="4">
        <v>0.28499999999999998</v>
      </c>
      <c r="E105" s="4">
        <v>0.1</v>
      </c>
      <c r="F105" s="4">
        <v>0.2225</v>
      </c>
      <c r="V105" s="3">
        <v>1.0153375</v>
      </c>
      <c r="W105" s="2">
        <v>1</v>
      </c>
      <c r="X105" s="2">
        <v>0.58499999999999996</v>
      </c>
      <c r="Y105" s="2">
        <v>0.46500000000000002</v>
      </c>
      <c r="Z105" s="2">
        <v>0.16500000000000001</v>
      </c>
      <c r="AA105" s="2">
        <v>0.88500000000000001</v>
      </c>
    </row>
    <row r="106" spans="1:27" x14ac:dyDescent="0.2">
      <c r="A106" s="9">
        <v>0.71942333333333341</v>
      </c>
      <c r="B106" s="4">
        <v>1</v>
      </c>
      <c r="C106" s="4">
        <v>0.36</v>
      </c>
      <c r="D106" s="4">
        <v>0.27</v>
      </c>
      <c r="E106" s="4">
        <v>0.09</v>
      </c>
      <c r="F106" s="4">
        <v>0.20749999999999999</v>
      </c>
      <c r="V106" s="3">
        <v>1.0154800000000002</v>
      </c>
      <c r="W106" s="2">
        <v>1</v>
      </c>
      <c r="X106" s="2">
        <v>0.59</v>
      </c>
      <c r="Y106" s="2">
        <v>0.49</v>
      </c>
      <c r="Z106" s="2">
        <v>0.13500000000000001</v>
      </c>
      <c r="AA106" s="2">
        <v>1.008</v>
      </c>
    </row>
    <row r="107" spans="1:27" x14ac:dyDescent="0.2">
      <c r="A107" s="9">
        <v>0.71973500000000001</v>
      </c>
      <c r="B107" s="4">
        <v>1</v>
      </c>
      <c r="C107" s="4">
        <v>0.36499999999999999</v>
      </c>
      <c r="D107" s="4">
        <v>0.27</v>
      </c>
      <c r="E107" s="4">
        <v>7.4999999999999997E-2</v>
      </c>
      <c r="F107" s="4">
        <v>0.2215</v>
      </c>
      <c r="V107" s="3">
        <v>1.0155624999999999</v>
      </c>
      <c r="W107" s="2">
        <v>1</v>
      </c>
      <c r="X107" s="2">
        <v>0.61499999999999999</v>
      </c>
      <c r="Y107" s="2">
        <v>0.46</v>
      </c>
      <c r="Z107" s="2">
        <v>0.15</v>
      </c>
      <c r="AA107" s="2">
        <v>1.0265</v>
      </c>
    </row>
    <row r="108" spans="1:27" x14ac:dyDescent="0.2">
      <c r="A108" s="9">
        <v>0.71986666666666677</v>
      </c>
      <c r="B108" s="4">
        <v>1</v>
      </c>
      <c r="C108" s="4">
        <v>0.36</v>
      </c>
      <c r="D108" s="4">
        <v>0.27</v>
      </c>
      <c r="E108" s="4">
        <v>9.5000000000000001E-2</v>
      </c>
      <c r="F108" s="4">
        <v>0.2</v>
      </c>
      <c r="V108" s="3">
        <v>1.0155654166666666</v>
      </c>
      <c r="W108" s="2">
        <v>1</v>
      </c>
      <c r="X108" s="2">
        <v>0.6</v>
      </c>
      <c r="Y108" s="2">
        <v>0.48</v>
      </c>
      <c r="Z108" s="2">
        <v>0.16500000000000001</v>
      </c>
      <c r="AA108" s="2">
        <v>1.1345000000000001</v>
      </c>
    </row>
    <row r="109" spans="1:27" x14ac:dyDescent="0.2">
      <c r="A109" s="9">
        <v>0.72020866666666672</v>
      </c>
      <c r="B109" s="4">
        <v>1</v>
      </c>
      <c r="C109" s="4">
        <v>0.36</v>
      </c>
      <c r="D109" s="4">
        <v>0.27</v>
      </c>
      <c r="E109" s="4">
        <v>0.09</v>
      </c>
      <c r="F109" s="4">
        <v>0.1885</v>
      </c>
      <c r="V109" s="3">
        <v>1.0157500000000002</v>
      </c>
      <c r="W109" s="2">
        <v>1</v>
      </c>
      <c r="X109" s="2">
        <v>0.59</v>
      </c>
      <c r="Y109" s="2">
        <v>0.5</v>
      </c>
      <c r="Z109" s="2">
        <v>0.15</v>
      </c>
      <c r="AA109" s="2">
        <v>1.1419999999999999</v>
      </c>
    </row>
    <row r="110" spans="1:27" x14ac:dyDescent="0.2">
      <c r="A110" s="9">
        <v>0.72048000000000012</v>
      </c>
      <c r="B110" s="4">
        <v>1</v>
      </c>
      <c r="C110" s="4">
        <v>0.375</v>
      </c>
      <c r="D110" s="4">
        <v>0.26</v>
      </c>
      <c r="E110" s="4">
        <v>0.08</v>
      </c>
      <c r="F110" s="4">
        <v>0.20749999999999999</v>
      </c>
      <c r="V110" s="3">
        <v>1.016</v>
      </c>
      <c r="W110" s="2">
        <v>1</v>
      </c>
      <c r="X110" s="2">
        <v>0.62</v>
      </c>
      <c r="Y110" s="2">
        <v>0.51</v>
      </c>
      <c r="Z110" s="2">
        <v>0.15</v>
      </c>
      <c r="AA110" s="2">
        <v>1.456</v>
      </c>
    </row>
    <row r="111" spans="1:27" x14ac:dyDescent="0.2">
      <c r="A111" s="9">
        <v>0.72072333333333338</v>
      </c>
      <c r="B111" s="4">
        <v>1</v>
      </c>
      <c r="C111" s="4">
        <v>0.36499999999999999</v>
      </c>
      <c r="D111" s="4">
        <v>0.27</v>
      </c>
      <c r="E111" s="4">
        <v>8.5000000000000006E-2</v>
      </c>
      <c r="F111" s="4">
        <v>0.20499999999999999</v>
      </c>
      <c r="V111" s="3">
        <v>1.0162441666666666</v>
      </c>
      <c r="W111" s="2">
        <v>1</v>
      </c>
      <c r="X111" s="2">
        <v>0.56499999999999995</v>
      </c>
      <c r="Y111" s="2">
        <v>0.505</v>
      </c>
      <c r="Z111" s="2">
        <v>0.21</v>
      </c>
      <c r="AA111" s="2">
        <v>1.2765</v>
      </c>
    </row>
    <row r="112" spans="1:27" x14ac:dyDescent="0.2">
      <c r="A112" s="9">
        <v>0.720974</v>
      </c>
      <c r="B112" s="4">
        <v>1</v>
      </c>
      <c r="C112" s="4">
        <v>0.36499999999999999</v>
      </c>
      <c r="D112" s="4">
        <v>0.27500000000000002</v>
      </c>
      <c r="E112" s="4">
        <v>0.09</v>
      </c>
      <c r="F112" s="4">
        <v>0.23449999999999999</v>
      </c>
      <c r="V112" s="3">
        <v>1.0167137499999999</v>
      </c>
      <c r="W112" s="2">
        <v>1</v>
      </c>
      <c r="X112" s="2">
        <v>0.60499999999999998</v>
      </c>
      <c r="Y112" s="2">
        <v>0.47499999999999998</v>
      </c>
      <c r="Z112" s="2">
        <v>0.14499999999999999</v>
      </c>
      <c r="AA112" s="2">
        <v>1.0185</v>
      </c>
    </row>
    <row r="113" spans="1:27" x14ac:dyDescent="0.2">
      <c r="A113" s="9">
        <v>0.72168233333333331</v>
      </c>
      <c r="B113" s="4">
        <v>1</v>
      </c>
      <c r="C113" s="4">
        <v>0.37</v>
      </c>
      <c r="D113" s="4">
        <v>0.28000000000000003</v>
      </c>
      <c r="E113" s="4">
        <v>9.5000000000000001E-2</v>
      </c>
      <c r="F113" s="4">
        <v>0.28649999999999998</v>
      </c>
      <c r="V113" s="3">
        <v>1.0167600000000001</v>
      </c>
      <c r="W113" s="2">
        <v>1</v>
      </c>
      <c r="X113" s="2">
        <v>0.625</v>
      </c>
      <c r="Y113" s="2">
        <v>0.49</v>
      </c>
      <c r="Z113" s="2">
        <v>0.11</v>
      </c>
      <c r="AA113" s="2">
        <v>1.1359999999999999</v>
      </c>
    </row>
    <row r="114" spans="1:27" x14ac:dyDescent="0.2">
      <c r="A114" s="9">
        <v>0.72273133333333339</v>
      </c>
      <c r="B114" s="4">
        <v>1</v>
      </c>
      <c r="C114" s="4">
        <v>0.37</v>
      </c>
      <c r="D114" s="4">
        <v>0.28000000000000003</v>
      </c>
      <c r="E114" s="4">
        <v>0.09</v>
      </c>
      <c r="F114" s="4">
        <v>0.25650000000000001</v>
      </c>
      <c r="V114" s="3">
        <v>1.0167983333333335</v>
      </c>
      <c r="W114" s="2">
        <v>1</v>
      </c>
      <c r="X114" s="2">
        <v>0.62</v>
      </c>
      <c r="Y114" s="2">
        <v>0.46</v>
      </c>
      <c r="Z114" s="2">
        <v>0.17</v>
      </c>
      <c r="AA114" s="2">
        <v>1.127</v>
      </c>
    </row>
    <row r="115" spans="1:27" x14ac:dyDescent="0.2">
      <c r="A115" s="9">
        <v>0.72278333333333344</v>
      </c>
      <c r="B115" s="4">
        <v>1</v>
      </c>
      <c r="C115" s="4">
        <v>0.40500000000000003</v>
      </c>
      <c r="D115" s="4">
        <v>0.25</v>
      </c>
      <c r="E115" s="4">
        <v>0.09</v>
      </c>
      <c r="F115" s="4">
        <v>0.28749999999999998</v>
      </c>
      <c r="V115" s="3">
        <v>1.0169970833333333</v>
      </c>
      <c r="W115" s="2">
        <v>1</v>
      </c>
      <c r="X115" s="2">
        <v>0.6</v>
      </c>
      <c r="Y115" s="2">
        <v>0.48499999999999999</v>
      </c>
      <c r="Z115" s="2">
        <v>0.16500000000000001</v>
      </c>
      <c r="AA115" s="2">
        <v>1.1405000000000001</v>
      </c>
    </row>
    <row r="116" spans="1:27" x14ac:dyDescent="0.2">
      <c r="A116" s="9">
        <v>0.72299933333333344</v>
      </c>
      <c r="B116" s="4">
        <v>1</v>
      </c>
      <c r="C116" s="4">
        <v>0.37</v>
      </c>
      <c r="D116" s="4">
        <v>0.27</v>
      </c>
      <c r="E116" s="4">
        <v>0.09</v>
      </c>
      <c r="F116" s="4">
        <v>0.1855</v>
      </c>
      <c r="V116" s="3">
        <v>1.0170416666666666</v>
      </c>
      <c r="W116" s="2">
        <v>1</v>
      </c>
      <c r="X116" s="2">
        <v>0.63</v>
      </c>
      <c r="Y116" s="2">
        <v>0.48</v>
      </c>
      <c r="Z116" s="2">
        <v>0.15</v>
      </c>
      <c r="AA116" s="2">
        <v>1.2709999999999999</v>
      </c>
    </row>
    <row r="117" spans="1:27" x14ac:dyDescent="0.2">
      <c r="A117" s="9">
        <v>0.72330900000000009</v>
      </c>
      <c r="B117" s="4">
        <v>1</v>
      </c>
      <c r="C117" s="4">
        <v>0.375</v>
      </c>
      <c r="D117" s="4">
        <v>0.27500000000000002</v>
      </c>
      <c r="E117" s="4">
        <v>9.5000000000000001E-2</v>
      </c>
      <c r="F117" s="4">
        <v>0.2465</v>
      </c>
      <c r="V117" s="3">
        <v>1.017273333333333</v>
      </c>
      <c r="W117" s="2">
        <v>1</v>
      </c>
      <c r="X117" s="2">
        <v>0.6</v>
      </c>
      <c r="Y117" s="2">
        <v>0.47499999999999998</v>
      </c>
      <c r="Z117" s="2">
        <v>0.16</v>
      </c>
      <c r="AA117" s="2">
        <v>1.0265</v>
      </c>
    </row>
    <row r="118" spans="1:27" x14ac:dyDescent="0.2">
      <c r="A118" s="9">
        <v>0.72370266666666661</v>
      </c>
      <c r="B118" s="4">
        <v>1</v>
      </c>
      <c r="C118" s="4">
        <v>0.37</v>
      </c>
      <c r="D118" s="4">
        <v>0.28000000000000003</v>
      </c>
      <c r="E118" s="4">
        <v>0.09</v>
      </c>
      <c r="F118" s="4">
        <v>0.23300000000000001</v>
      </c>
      <c r="V118" s="3">
        <v>1.0172875000000001</v>
      </c>
      <c r="W118" s="2">
        <v>1</v>
      </c>
      <c r="X118" s="2">
        <v>0.59499999999999997</v>
      </c>
      <c r="Y118" s="2">
        <v>0.495</v>
      </c>
      <c r="Z118" s="2">
        <v>0.185</v>
      </c>
      <c r="AA118" s="2">
        <v>1.2849999999999999</v>
      </c>
    </row>
    <row r="119" spans="1:27" x14ac:dyDescent="0.2">
      <c r="A119" s="9">
        <v>0.72403333333333342</v>
      </c>
      <c r="B119" s="4">
        <v>1</v>
      </c>
      <c r="C119" s="4">
        <v>0.375</v>
      </c>
      <c r="D119" s="4">
        <v>0.27500000000000002</v>
      </c>
      <c r="E119" s="4">
        <v>0.1</v>
      </c>
      <c r="F119" s="4">
        <v>0.23250000000000001</v>
      </c>
      <c r="V119" s="3">
        <v>1.0174333333333332</v>
      </c>
      <c r="W119" s="2">
        <v>1</v>
      </c>
      <c r="X119" s="2">
        <v>0.61499999999999999</v>
      </c>
      <c r="Y119" s="2">
        <v>0.47499999999999998</v>
      </c>
      <c r="Z119" s="2">
        <v>0.17499999999999999</v>
      </c>
      <c r="AA119" s="2">
        <v>1.224</v>
      </c>
    </row>
    <row r="120" spans="1:27" x14ac:dyDescent="0.2">
      <c r="A120" s="9">
        <v>0.72409333333333348</v>
      </c>
      <c r="B120" s="4">
        <v>1</v>
      </c>
      <c r="C120" s="4">
        <v>0.375</v>
      </c>
      <c r="D120" s="4">
        <v>0.27500000000000002</v>
      </c>
      <c r="E120" s="4">
        <v>8.5000000000000006E-2</v>
      </c>
      <c r="F120" s="4">
        <v>0.22</v>
      </c>
      <c r="V120" s="3">
        <v>1.0175208333333332</v>
      </c>
      <c r="W120" s="2">
        <v>1</v>
      </c>
      <c r="X120" s="2">
        <v>0.62</v>
      </c>
      <c r="Y120" s="2">
        <v>0.47499999999999998</v>
      </c>
      <c r="Z120" s="2">
        <v>0.185</v>
      </c>
      <c r="AA120" s="2">
        <v>1.325</v>
      </c>
    </row>
    <row r="121" spans="1:27" x14ac:dyDescent="0.2">
      <c r="A121" s="9">
        <v>0.72432266666666667</v>
      </c>
      <c r="B121" s="4">
        <v>1</v>
      </c>
      <c r="C121" s="4">
        <v>0.37</v>
      </c>
      <c r="D121" s="4">
        <v>0.28000000000000003</v>
      </c>
      <c r="E121" s="4">
        <v>0.09</v>
      </c>
      <c r="F121" s="4">
        <v>0.218</v>
      </c>
      <c r="V121" s="3">
        <v>1.0175891666666665</v>
      </c>
      <c r="W121" s="2">
        <v>1</v>
      </c>
      <c r="X121" s="2">
        <v>0.61</v>
      </c>
      <c r="Y121" s="2">
        <v>0.46</v>
      </c>
      <c r="Z121" s="2">
        <v>0.155</v>
      </c>
      <c r="AA121" s="2">
        <v>0.95699999999999996</v>
      </c>
    </row>
    <row r="122" spans="1:27" x14ac:dyDescent="0.2">
      <c r="A122" s="9">
        <v>0.72440666666666675</v>
      </c>
      <c r="B122" s="4">
        <v>1</v>
      </c>
      <c r="C122" s="4">
        <v>0.375</v>
      </c>
      <c r="D122" s="4">
        <v>0.28000000000000003</v>
      </c>
      <c r="E122" s="4">
        <v>0.1</v>
      </c>
      <c r="F122" s="4">
        <v>0.25650000000000001</v>
      </c>
      <c r="V122" s="3">
        <v>1.0178395833333334</v>
      </c>
      <c r="W122" s="2">
        <v>1</v>
      </c>
      <c r="X122" s="2">
        <v>0.61</v>
      </c>
      <c r="Y122" s="2">
        <v>0.47</v>
      </c>
      <c r="Z122" s="2">
        <v>0.155</v>
      </c>
      <c r="AA122" s="2">
        <v>1.0325</v>
      </c>
    </row>
    <row r="123" spans="1:27" x14ac:dyDescent="0.2">
      <c r="A123" s="9">
        <v>0.72442733333333331</v>
      </c>
      <c r="B123" s="4">
        <v>1</v>
      </c>
      <c r="C123" s="4">
        <v>0.38</v>
      </c>
      <c r="D123" s="4">
        <v>0.27</v>
      </c>
      <c r="E123" s="4">
        <v>9.5000000000000001E-2</v>
      </c>
      <c r="F123" s="4">
        <v>0.219</v>
      </c>
      <c r="V123" s="3">
        <v>1.0178566666666669</v>
      </c>
      <c r="W123" s="2">
        <v>1</v>
      </c>
      <c r="X123" s="2">
        <v>0.62</v>
      </c>
      <c r="Y123" s="2">
        <v>0.46500000000000002</v>
      </c>
      <c r="Z123" s="2">
        <v>0.14000000000000001</v>
      </c>
      <c r="AA123" s="2">
        <v>1.0109999999999999</v>
      </c>
    </row>
    <row r="124" spans="1:27" x14ac:dyDescent="0.2">
      <c r="A124" s="9">
        <v>0.72447966666666674</v>
      </c>
      <c r="B124" s="4">
        <v>1</v>
      </c>
      <c r="C124" s="4">
        <v>0.38</v>
      </c>
      <c r="D124" s="4">
        <v>0.27500000000000002</v>
      </c>
      <c r="E124" s="4">
        <v>9.5000000000000001E-2</v>
      </c>
      <c r="F124" s="4">
        <v>0.2505</v>
      </c>
      <c r="V124" s="3">
        <v>1.018</v>
      </c>
      <c r="W124" s="2">
        <v>1</v>
      </c>
      <c r="X124" s="2">
        <v>0.6</v>
      </c>
      <c r="Y124" s="2">
        <v>0.47</v>
      </c>
      <c r="Z124" s="2">
        <v>0.15</v>
      </c>
      <c r="AA124" s="2">
        <v>0.92800000000000005</v>
      </c>
    </row>
    <row r="125" spans="1:27" x14ac:dyDescent="0.2">
      <c r="A125" s="9">
        <v>0.72466000000000008</v>
      </c>
      <c r="B125" s="4">
        <v>1</v>
      </c>
      <c r="C125" s="4">
        <v>0.36</v>
      </c>
      <c r="D125" s="4">
        <v>0.3</v>
      </c>
      <c r="E125" s="4">
        <v>8.5000000000000006E-2</v>
      </c>
      <c r="F125" s="4">
        <v>0.27</v>
      </c>
      <c r="V125" s="3">
        <v>1.0180041666666666</v>
      </c>
      <c r="W125" s="2">
        <v>1</v>
      </c>
      <c r="X125" s="2">
        <v>0.61499999999999999</v>
      </c>
      <c r="Y125" s="2">
        <v>0.47499999999999998</v>
      </c>
      <c r="Z125" s="2">
        <v>0.17</v>
      </c>
      <c r="AA125" s="2">
        <v>1.1825000000000001</v>
      </c>
    </row>
    <row r="126" spans="1:27" x14ac:dyDescent="0.2">
      <c r="A126" s="9">
        <v>0.72548066666666677</v>
      </c>
      <c r="B126" s="4">
        <v>1</v>
      </c>
      <c r="C126" s="4">
        <v>0.375</v>
      </c>
      <c r="D126" s="4">
        <v>0.28499999999999998</v>
      </c>
      <c r="E126" s="4">
        <v>0.09</v>
      </c>
      <c r="F126" s="4">
        <v>0.2545</v>
      </c>
      <c r="V126" s="3">
        <v>1.0183312499999999</v>
      </c>
      <c r="W126" s="2">
        <v>1</v>
      </c>
      <c r="X126" s="2">
        <v>0.61</v>
      </c>
      <c r="Y126" s="2">
        <v>0.48499999999999999</v>
      </c>
      <c r="Z126" s="2">
        <v>0.17499999999999999</v>
      </c>
      <c r="AA126" s="2">
        <v>1.2444999999999999</v>
      </c>
    </row>
    <row r="127" spans="1:27" x14ac:dyDescent="0.2">
      <c r="A127" s="9">
        <v>0.72583333333333333</v>
      </c>
      <c r="B127" s="4">
        <v>1</v>
      </c>
      <c r="C127" s="4">
        <v>0.36499999999999999</v>
      </c>
      <c r="D127" s="4">
        <v>0.29499999999999998</v>
      </c>
      <c r="E127" s="4">
        <v>9.5000000000000001E-2</v>
      </c>
      <c r="F127" s="4">
        <v>0.25</v>
      </c>
      <c r="V127" s="3">
        <v>1.0184562500000001</v>
      </c>
      <c r="W127" s="2">
        <v>1</v>
      </c>
      <c r="X127" s="2">
        <v>0.625</v>
      </c>
      <c r="Y127" s="2">
        <v>0.48499999999999999</v>
      </c>
      <c r="Z127" s="2">
        <v>0.17499999999999999</v>
      </c>
      <c r="AA127" s="2">
        <v>1.3745000000000001</v>
      </c>
    </row>
    <row r="128" spans="1:27" x14ac:dyDescent="0.2">
      <c r="A128" s="9">
        <v>0.72587400000000002</v>
      </c>
      <c r="B128" s="4">
        <v>1</v>
      </c>
      <c r="C128" s="4">
        <v>0.37</v>
      </c>
      <c r="D128" s="4">
        <v>0.28999999999999998</v>
      </c>
      <c r="E128" s="4">
        <v>9.5000000000000001E-2</v>
      </c>
      <c r="F128" s="4">
        <v>0.249</v>
      </c>
      <c r="V128" s="3">
        <v>1.0186733333333333</v>
      </c>
      <c r="W128" s="2">
        <v>1</v>
      </c>
      <c r="X128" s="2">
        <v>0.625</v>
      </c>
      <c r="Y128" s="2">
        <v>0.48</v>
      </c>
      <c r="Z128" s="2">
        <v>0.16</v>
      </c>
      <c r="AA128" s="2">
        <v>1.2415</v>
      </c>
    </row>
    <row r="129" spans="1:27" x14ac:dyDescent="0.2">
      <c r="A129" s="9">
        <v>0.72624666666666671</v>
      </c>
      <c r="B129" s="4">
        <v>1</v>
      </c>
      <c r="C129" s="4">
        <v>0.36</v>
      </c>
      <c r="D129" s="4">
        <v>0.29499999999999998</v>
      </c>
      <c r="E129" s="4">
        <v>0.1</v>
      </c>
      <c r="F129" s="4">
        <v>0.21049999999999999</v>
      </c>
      <c r="V129" s="3">
        <v>1.01912</v>
      </c>
      <c r="W129" s="2">
        <v>1</v>
      </c>
      <c r="X129" s="2">
        <v>0.61</v>
      </c>
      <c r="Y129" s="2">
        <v>0.47</v>
      </c>
      <c r="Z129" s="2">
        <v>0.16</v>
      </c>
      <c r="AA129" s="2">
        <v>1.022</v>
      </c>
    </row>
    <row r="130" spans="1:27" x14ac:dyDescent="0.2">
      <c r="A130" s="9">
        <v>0.72629333333333335</v>
      </c>
      <c r="B130" s="4">
        <v>1</v>
      </c>
      <c r="C130" s="4">
        <v>0.375</v>
      </c>
      <c r="D130" s="4">
        <v>0.28999999999999998</v>
      </c>
      <c r="E130" s="4">
        <v>0.1</v>
      </c>
      <c r="F130" s="4">
        <v>0.27600000000000002</v>
      </c>
      <c r="V130" s="3">
        <v>1.01932</v>
      </c>
      <c r="W130" s="2">
        <v>1</v>
      </c>
      <c r="X130" s="2">
        <v>0.61</v>
      </c>
      <c r="Y130" s="2">
        <v>0.47</v>
      </c>
      <c r="Z130" s="2">
        <v>0.16</v>
      </c>
      <c r="AA130" s="2">
        <v>1.0169999999999999</v>
      </c>
    </row>
    <row r="131" spans="1:27" x14ac:dyDescent="0.2">
      <c r="A131" s="9">
        <v>0.72644000000000009</v>
      </c>
      <c r="B131" s="4">
        <v>1</v>
      </c>
      <c r="C131" s="4">
        <v>0.375</v>
      </c>
      <c r="D131" s="4">
        <v>0.28499999999999998</v>
      </c>
      <c r="E131" s="4">
        <v>0.1</v>
      </c>
      <c r="F131" s="4">
        <v>0.23899999999999999</v>
      </c>
      <c r="V131" s="3">
        <v>1.0195079166666665</v>
      </c>
      <c r="W131" s="2">
        <v>1</v>
      </c>
      <c r="X131" s="2">
        <v>0.61499999999999999</v>
      </c>
      <c r="Y131" s="2">
        <v>0.48</v>
      </c>
      <c r="Z131" s="2">
        <v>0.16500000000000001</v>
      </c>
      <c r="AA131" s="2">
        <v>1.1615</v>
      </c>
    </row>
    <row r="132" spans="1:27" x14ac:dyDescent="0.2">
      <c r="A132" s="9">
        <v>0.72650000000000003</v>
      </c>
      <c r="B132" s="4">
        <v>1</v>
      </c>
      <c r="C132" s="4">
        <v>0.37</v>
      </c>
      <c r="D132" s="4">
        <v>0.28999999999999998</v>
      </c>
      <c r="E132" s="4">
        <v>0.115</v>
      </c>
      <c r="F132" s="4">
        <v>0.25</v>
      </c>
      <c r="V132" s="3">
        <v>1.0195199999999998</v>
      </c>
      <c r="W132" s="2">
        <v>1</v>
      </c>
      <c r="X132" s="2">
        <v>0.6</v>
      </c>
      <c r="Y132" s="2">
        <v>0.48</v>
      </c>
      <c r="Z132" s="2">
        <v>0.17</v>
      </c>
      <c r="AA132" s="2">
        <v>1.056</v>
      </c>
    </row>
    <row r="133" spans="1:27" x14ac:dyDescent="0.2">
      <c r="A133" s="9">
        <v>0.72693333333333332</v>
      </c>
      <c r="B133" s="4">
        <v>1</v>
      </c>
      <c r="C133" s="4">
        <v>0.375</v>
      </c>
      <c r="D133" s="4">
        <v>0.28999999999999998</v>
      </c>
      <c r="E133" s="4">
        <v>0.14000000000000001</v>
      </c>
      <c r="F133" s="4">
        <v>0.3</v>
      </c>
      <c r="V133" s="3">
        <v>1.0198954166666669</v>
      </c>
      <c r="W133" s="2">
        <v>1</v>
      </c>
      <c r="X133" s="2">
        <v>0.63</v>
      </c>
      <c r="Y133" s="2">
        <v>0.47</v>
      </c>
      <c r="Z133" s="2">
        <v>0.14499999999999999</v>
      </c>
      <c r="AA133" s="2">
        <v>1.1005</v>
      </c>
    </row>
    <row r="134" spans="1:27" x14ac:dyDescent="0.2">
      <c r="A134" s="9">
        <v>0.72731633333333334</v>
      </c>
      <c r="B134" s="4">
        <v>1</v>
      </c>
      <c r="C134" s="4">
        <v>0.375</v>
      </c>
      <c r="D134" s="4">
        <v>0.28999999999999998</v>
      </c>
      <c r="E134" s="4">
        <v>8.5000000000000006E-2</v>
      </c>
      <c r="F134" s="4">
        <v>0.23849999999999999</v>
      </c>
      <c r="V134" s="3">
        <v>1.0200291666666668</v>
      </c>
      <c r="W134" s="2">
        <v>1</v>
      </c>
      <c r="X134" s="2">
        <v>0.61499999999999999</v>
      </c>
      <c r="Y134" s="2">
        <v>0.5</v>
      </c>
      <c r="Z134" s="2">
        <v>0.17499999999999999</v>
      </c>
      <c r="AA134" s="2">
        <v>1.377</v>
      </c>
    </row>
    <row r="135" spans="1:27" x14ac:dyDescent="0.2">
      <c r="A135" s="9">
        <v>0.72737933333333338</v>
      </c>
      <c r="B135" s="4">
        <v>1</v>
      </c>
      <c r="C135" s="4">
        <v>0.38</v>
      </c>
      <c r="D135" s="4">
        <v>0.28499999999999998</v>
      </c>
      <c r="E135" s="4">
        <v>8.5000000000000006E-2</v>
      </c>
      <c r="F135" s="4">
        <v>0.23699999999999999</v>
      </c>
      <c r="V135" s="3">
        <v>1.0200549999999999</v>
      </c>
      <c r="W135" s="2">
        <v>1</v>
      </c>
      <c r="X135" s="2">
        <v>0.61499999999999999</v>
      </c>
      <c r="Y135" s="2">
        <v>0.47499999999999998</v>
      </c>
      <c r="Z135" s="2">
        <v>0.17</v>
      </c>
      <c r="AA135" s="2">
        <v>1.129</v>
      </c>
    </row>
    <row r="136" spans="1:27" x14ac:dyDescent="0.2">
      <c r="A136" s="9">
        <v>0.72841866666666677</v>
      </c>
      <c r="B136" s="4">
        <v>1</v>
      </c>
      <c r="C136" s="4">
        <v>0.38500000000000001</v>
      </c>
      <c r="D136" s="4">
        <v>0.28499999999999998</v>
      </c>
      <c r="E136" s="4">
        <v>8.5000000000000006E-2</v>
      </c>
      <c r="F136" s="4">
        <v>0.24399999999999999</v>
      </c>
      <c r="V136" s="3">
        <v>1.0201041666666666</v>
      </c>
      <c r="W136" s="2">
        <v>1</v>
      </c>
      <c r="X136" s="2">
        <v>0.61499999999999999</v>
      </c>
      <c r="Y136" s="2">
        <v>0.47499999999999998</v>
      </c>
      <c r="Z136" s="2">
        <v>0.15</v>
      </c>
      <c r="AA136" s="2">
        <v>1.0375000000000001</v>
      </c>
    </row>
    <row r="137" spans="1:27" x14ac:dyDescent="0.2">
      <c r="A137" s="9">
        <v>0.72906966666666673</v>
      </c>
      <c r="B137" s="4">
        <v>1</v>
      </c>
      <c r="C137" s="4">
        <v>0.38</v>
      </c>
      <c r="D137" s="4">
        <v>0.28999999999999998</v>
      </c>
      <c r="E137" s="4">
        <v>8.5000000000000006E-2</v>
      </c>
      <c r="F137" s="4">
        <v>0.22850000000000001</v>
      </c>
      <c r="V137" s="3">
        <v>1.0201995833333333</v>
      </c>
      <c r="W137" s="2">
        <v>1</v>
      </c>
      <c r="X137" s="2">
        <v>0.61</v>
      </c>
      <c r="Y137" s="2">
        <v>0.5</v>
      </c>
      <c r="Z137" s="2">
        <v>0.16500000000000001</v>
      </c>
      <c r="AA137" s="2">
        <v>1.2715000000000001</v>
      </c>
    </row>
    <row r="138" spans="1:27" x14ac:dyDescent="0.2">
      <c r="A138" s="9">
        <v>0.72969399999999995</v>
      </c>
      <c r="B138" s="4">
        <v>1</v>
      </c>
      <c r="C138" s="4">
        <v>0.39500000000000002</v>
      </c>
      <c r="D138" s="4">
        <v>0.28999999999999998</v>
      </c>
      <c r="E138" s="4">
        <v>9.5000000000000001E-2</v>
      </c>
      <c r="F138" s="4">
        <v>0.31900000000000001</v>
      </c>
      <c r="V138" s="3">
        <v>1.0206458333333333</v>
      </c>
      <c r="W138" s="2">
        <v>1</v>
      </c>
      <c r="X138" s="2">
        <v>0.63500000000000001</v>
      </c>
      <c r="Y138" s="2">
        <v>0.47499999999999998</v>
      </c>
      <c r="Z138" s="2">
        <v>0.15</v>
      </c>
      <c r="AA138" s="2">
        <v>1.1845000000000001</v>
      </c>
    </row>
    <row r="139" spans="1:27" x14ac:dyDescent="0.2">
      <c r="A139" s="9">
        <v>0.72995333333333345</v>
      </c>
      <c r="B139" s="4">
        <v>1</v>
      </c>
      <c r="C139" s="4">
        <v>0.39</v>
      </c>
      <c r="D139" s="4">
        <v>0.28999999999999998</v>
      </c>
      <c r="E139" s="4">
        <v>0.1</v>
      </c>
      <c r="F139" s="4">
        <v>0.28449999999999998</v>
      </c>
      <c r="V139" s="3">
        <v>1.02065625</v>
      </c>
      <c r="W139" s="2">
        <v>1</v>
      </c>
      <c r="X139" s="2">
        <v>0.65</v>
      </c>
      <c r="Y139" s="2">
        <v>0.47499999999999998</v>
      </c>
      <c r="Z139" s="2">
        <v>0.16500000000000001</v>
      </c>
      <c r="AA139" s="2">
        <v>1.3875</v>
      </c>
    </row>
    <row r="140" spans="1:27" x14ac:dyDescent="0.2">
      <c r="A140" s="9">
        <v>0.73013166666666685</v>
      </c>
      <c r="B140" s="4">
        <v>1</v>
      </c>
      <c r="C140" s="4">
        <v>0.39</v>
      </c>
      <c r="D140" s="4">
        <v>0.28999999999999998</v>
      </c>
      <c r="E140" s="4">
        <v>0.125</v>
      </c>
      <c r="F140" s="4">
        <v>0.30549999999999999</v>
      </c>
      <c r="V140" s="3">
        <v>1.0208266666666665</v>
      </c>
      <c r="W140" s="2">
        <v>1</v>
      </c>
      <c r="X140" s="2">
        <v>0.61</v>
      </c>
      <c r="Y140" s="2">
        <v>0.49</v>
      </c>
      <c r="Z140" s="2">
        <v>0.16</v>
      </c>
      <c r="AA140" s="2">
        <v>1.1459999999999999</v>
      </c>
    </row>
    <row r="141" spans="1:27" x14ac:dyDescent="0.2">
      <c r="A141" s="9">
        <v>0.73030399999999995</v>
      </c>
      <c r="B141" s="4">
        <v>1</v>
      </c>
      <c r="C141" s="4">
        <v>0.39500000000000002</v>
      </c>
      <c r="D141" s="4">
        <v>0.28999999999999998</v>
      </c>
      <c r="E141" s="4">
        <v>9.5000000000000001E-2</v>
      </c>
      <c r="F141" s="4">
        <v>0.30399999999999999</v>
      </c>
      <c r="V141" s="3">
        <v>1.0208499999999998</v>
      </c>
      <c r="W141" s="2">
        <v>1</v>
      </c>
      <c r="X141" s="2">
        <v>0.61499999999999999</v>
      </c>
      <c r="Y141" s="2">
        <v>0.505</v>
      </c>
      <c r="Z141" s="2">
        <v>0.16500000000000001</v>
      </c>
      <c r="AA141" s="2">
        <v>1.34</v>
      </c>
    </row>
    <row r="142" spans="1:27" x14ac:dyDescent="0.2">
      <c r="A142" s="9">
        <v>0.73096099999999997</v>
      </c>
      <c r="B142" s="4">
        <v>1</v>
      </c>
      <c r="C142" s="4">
        <v>0.38500000000000001</v>
      </c>
      <c r="D142" s="4">
        <v>0.30499999999999999</v>
      </c>
      <c r="E142" s="4">
        <v>0.105</v>
      </c>
      <c r="F142" s="4">
        <v>0.33150000000000002</v>
      </c>
      <c r="V142" s="3">
        <v>1.0208537499999999</v>
      </c>
      <c r="W142" s="2">
        <v>1</v>
      </c>
      <c r="X142" s="2">
        <v>0.60499999999999998</v>
      </c>
      <c r="Y142" s="2">
        <v>0.48</v>
      </c>
      <c r="Z142" s="2">
        <v>0.155</v>
      </c>
      <c r="AA142" s="2">
        <v>0.99950000000000006</v>
      </c>
    </row>
    <row r="143" spans="1:27" x14ac:dyDescent="0.2">
      <c r="A143" s="9">
        <v>0.73166000000000009</v>
      </c>
      <c r="B143" s="4">
        <v>1</v>
      </c>
      <c r="C143" s="4">
        <v>0.39</v>
      </c>
      <c r="D143" s="4">
        <v>0.3</v>
      </c>
      <c r="E143" s="4">
        <v>0.1</v>
      </c>
      <c r="F143" s="4">
        <v>0.3085</v>
      </c>
      <c r="V143" s="3">
        <v>1.0209570833333332</v>
      </c>
      <c r="W143" s="2">
        <v>1</v>
      </c>
      <c r="X143" s="2">
        <v>0.60499999999999998</v>
      </c>
      <c r="Y143" s="2">
        <v>0.49</v>
      </c>
      <c r="Z143" s="2">
        <v>0.16500000000000001</v>
      </c>
      <c r="AA143" s="2">
        <v>1.1245000000000001</v>
      </c>
    </row>
    <row r="144" spans="1:27" x14ac:dyDescent="0.2">
      <c r="A144" s="9">
        <v>0.73227999999999993</v>
      </c>
      <c r="B144" s="4">
        <v>1</v>
      </c>
      <c r="C144" s="4">
        <v>0.39500000000000002</v>
      </c>
      <c r="D144" s="4">
        <v>0.29499999999999998</v>
      </c>
      <c r="E144" s="4">
        <v>0.1</v>
      </c>
      <c r="F144" s="4">
        <v>0.29299999999999998</v>
      </c>
      <c r="V144" s="3">
        <v>1.0209683333333333</v>
      </c>
      <c r="W144" s="2">
        <v>1</v>
      </c>
      <c r="X144" s="2">
        <v>0.6</v>
      </c>
      <c r="Y144" s="2">
        <v>0.48</v>
      </c>
      <c r="Z144" s="2">
        <v>0.18</v>
      </c>
      <c r="AA144" s="2">
        <v>1.0645</v>
      </c>
    </row>
    <row r="145" spans="1:27" x14ac:dyDescent="0.2">
      <c r="A145" s="9">
        <v>0.73243333333333338</v>
      </c>
      <c r="B145" s="4">
        <v>1</v>
      </c>
      <c r="C145" s="4">
        <v>0.39</v>
      </c>
      <c r="D145" s="4">
        <v>0.28999999999999998</v>
      </c>
      <c r="E145" s="4">
        <v>0.1</v>
      </c>
      <c r="F145" s="4">
        <v>0.2225</v>
      </c>
      <c r="V145" s="3">
        <v>1.0209999999999999</v>
      </c>
      <c r="W145" s="2">
        <v>1</v>
      </c>
      <c r="X145" s="2">
        <v>0.63500000000000001</v>
      </c>
      <c r="Y145" s="2">
        <v>0.5</v>
      </c>
      <c r="Z145" s="2">
        <v>0.15</v>
      </c>
      <c r="AA145" s="2">
        <v>1.3759999999999999</v>
      </c>
    </row>
    <row r="146" spans="1:27" x14ac:dyDescent="0.2">
      <c r="A146" s="9">
        <v>0.73253000000000001</v>
      </c>
      <c r="B146" s="4">
        <v>1</v>
      </c>
      <c r="C146" s="4">
        <v>0.38500000000000001</v>
      </c>
      <c r="D146" s="4">
        <v>0.30499999999999999</v>
      </c>
      <c r="E146" s="4">
        <v>0.09</v>
      </c>
      <c r="F146" s="4">
        <v>0.27750000000000002</v>
      </c>
      <c r="V146" s="3">
        <v>1.0210475000000001</v>
      </c>
      <c r="W146" s="2">
        <v>1</v>
      </c>
      <c r="X146" s="2">
        <v>0.63</v>
      </c>
      <c r="Y146" s="2">
        <v>0.48499999999999999</v>
      </c>
      <c r="Z146" s="2">
        <v>0.17</v>
      </c>
      <c r="AA146" s="2">
        <v>1.3205</v>
      </c>
    </row>
    <row r="147" spans="1:27" x14ac:dyDescent="0.2">
      <c r="A147" s="9">
        <v>0.7330673333333334</v>
      </c>
      <c r="B147" s="4">
        <v>1</v>
      </c>
      <c r="C147" s="4">
        <v>0.40500000000000003</v>
      </c>
      <c r="D147" s="4">
        <v>0.28499999999999998</v>
      </c>
      <c r="E147" s="4">
        <v>0.09</v>
      </c>
      <c r="F147" s="4">
        <v>0.26450000000000001</v>
      </c>
      <c r="V147" s="3">
        <v>1.0215274999999999</v>
      </c>
      <c r="W147" s="2">
        <v>1</v>
      </c>
      <c r="X147" s="2">
        <v>0.61</v>
      </c>
      <c r="Y147" s="2">
        <v>0.47499999999999998</v>
      </c>
      <c r="Z147" s="2">
        <v>0.155</v>
      </c>
      <c r="AA147" s="2">
        <v>0.98299999999999998</v>
      </c>
    </row>
    <row r="148" spans="1:27" x14ac:dyDescent="0.2">
      <c r="A148" s="9">
        <v>0.7333400000000001</v>
      </c>
      <c r="B148" s="4">
        <v>1</v>
      </c>
      <c r="C148" s="4">
        <v>0.39</v>
      </c>
      <c r="D148" s="4">
        <v>0.3</v>
      </c>
      <c r="E148" s="4">
        <v>0.1</v>
      </c>
      <c r="F148" s="4">
        <v>0.26650000000000001</v>
      </c>
      <c r="V148" s="3">
        <v>1.0218291666666668</v>
      </c>
      <c r="W148" s="2">
        <v>1</v>
      </c>
      <c r="X148" s="2">
        <v>0.64</v>
      </c>
      <c r="Y148" s="2">
        <v>0.5</v>
      </c>
      <c r="Z148" s="2">
        <v>0.17</v>
      </c>
      <c r="AA148" s="2">
        <v>1.5175000000000001</v>
      </c>
    </row>
    <row r="149" spans="1:27" x14ac:dyDescent="0.2">
      <c r="A149" s="9">
        <v>0.73368</v>
      </c>
      <c r="B149" s="4">
        <v>1</v>
      </c>
      <c r="C149" s="4">
        <v>0.4</v>
      </c>
      <c r="D149" s="4">
        <v>0.28999999999999998</v>
      </c>
      <c r="E149" s="4">
        <v>0.1</v>
      </c>
      <c r="F149" s="4">
        <v>0.25800000000000001</v>
      </c>
      <c r="V149" s="3">
        <v>1.0221666666666667</v>
      </c>
      <c r="W149" s="2">
        <v>1</v>
      </c>
      <c r="X149" s="2">
        <v>0.62</v>
      </c>
      <c r="Y149" s="2">
        <v>0.48</v>
      </c>
      <c r="Z149" s="2">
        <v>0.16</v>
      </c>
      <c r="AA149" s="2">
        <v>1.1125</v>
      </c>
    </row>
    <row r="150" spans="1:27" x14ac:dyDescent="0.2">
      <c r="A150" s="9">
        <v>0.73376000000000008</v>
      </c>
      <c r="B150" s="4">
        <v>1</v>
      </c>
      <c r="C150" s="4">
        <v>0.375</v>
      </c>
      <c r="D150" s="4">
        <v>0.3</v>
      </c>
      <c r="E150" s="4">
        <v>7.4999999999999997E-2</v>
      </c>
      <c r="F150" s="4">
        <v>0.14399999999999999</v>
      </c>
      <c r="V150" s="3">
        <v>1.0221895833333334</v>
      </c>
      <c r="W150" s="2">
        <v>1</v>
      </c>
      <c r="X150" s="2">
        <v>0.63</v>
      </c>
      <c r="Y150" s="2">
        <v>0.49</v>
      </c>
      <c r="Z150" s="2">
        <v>0.155</v>
      </c>
      <c r="AA150" s="2">
        <v>1.2524999999999999</v>
      </c>
    </row>
    <row r="151" spans="1:27" x14ac:dyDescent="0.2">
      <c r="A151" s="9">
        <v>0.73398733333333332</v>
      </c>
      <c r="B151" s="4">
        <v>1</v>
      </c>
      <c r="C151" s="4">
        <v>0.43</v>
      </c>
      <c r="D151" s="4">
        <v>0.31</v>
      </c>
      <c r="E151" s="4">
        <v>0.13</v>
      </c>
      <c r="F151" s="4">
        <v>0.64849999999999997</v>
      </c>
      <c r="V151" s="3">
        <v>1.0223116666666665</v>
      </c>
      <c r="W151" s="2">
        <v>1</v>
      </c>
      <c r="X151" s="2">
        <v>0.62</v>
      </c>
      <c r="Y151" s="2">
        <v>0.5</v>
      </c>
      <c r="Z151" s="2">
        <v>0.18</v>
      </c>
      <c r="AA151" s="2">
        <v>1.3915</v>
      </c>
    </row>
    <row r="152" spans="1:27" x14ac:dyDescent="0.2">
      <c r="A152" s="9">
        <v>0.73415200000000003</v>
      </c>
      <c r="B152" s="4">
        <v>1</v>
      </c>
      <c r="C152" s="4">
        <v>0.39500000000000002</v>
      </c>
      <c r="D152" s="4">
        <v>0.3</v>
      </c>
      <c r="E152" s="4">
        <v>0.12</v>
      </c>
      <c r="F152" s="4">
        <v>0.29949999999999999</v>
      </c>
      <c r="V152" s="3">
        <v>1.0223174999999998</v>
      </c>
      <c r="W152" s="2">
        <v>1</v>
      </c>
      <c r="X152" s="2">
        <v>0.61</v>
      </c>
      <c r="Y152" s="2">
        <v>0.47499999999999998</v>
      </c>
      <c r="Z152" s="2">
        <v>0.17</v>
      </c>
      <c r="AA152" s="2">
        <v>1.0265</v>
      </c>
    </row>
    <row r="153" spans="1:27" x14ac:dyDescent="0.2">
      <c r="A153" s="9">
        <v>0.7343400000000001</v>
      </c>
      <c r="B153" s="4">
        <v>1</v>
      </c>
      <c r="C153" s="4">
        <v>0.4</v>
      </c>
      <c r="D153" s="4">
        <v>0.30499999999999999</v>
      </c>
      <c r="E153" s="4">
        <v>0.1</v>
      </c>
      <c r="F153" s="4">
        <v>0.34150000000000003</v>
      </c>
      <c r="V153" s="3">
        <v>1.0223541666666667</v>
      </c>
      <c r="W153" s="2">
        <v>1</v>
      </c>
      <c r="X153" s="2">
        <v>0.61499999999999999</v>
      </c>
      <c r="Y153" s="2">
        <v>0.52</v>
      </c>
      <c r="Z153" s="2">
        <v>0.15</v>
      </c>
      <c r="AA153" s="2">
        <v>1.3434999999999999</v>
      </c>
    </row>
    <row r="154" spans="1:27" x14ac:dyDescent="0.2">
      <c r="A154" s="9">
        <v>0.73458266666666672</v>
      </c>
      <c r="B154" s="4">
        <v>1</v>
      </c>
      <c r="C154" s="4">
        <v>0.4</v>
      </c>
      <c r="D154" s="4">
        <v>0.3</v>
      </c>
      <c r="E154" s="4">
        <v>0.115</v>
      </c>
      <c r="F154" s="4">
        <v>0.318</v>
      </c>
      <c r="V154" s="3">
        <v>1.0224849999999999</v>
      </c>
      <c r="W154" s="2">
        <v>1</v>
      </c>
      <c r="X154" s="2">
        <v>0.61499999999999999</v>
      </c>
      <c r="Y154" s="2">
        <v>0.48</v>
      </c>
      <c r="Z154" s="2">
        <v>0.18</v>
      </c>
      <c r="AA154" s="2">
        <v>1.1595</v>
      </c>
    </row>
    <row r="155" spans="1:27" x14ac:dyDescent="0.2">
      <c r="A155" s="9">
        <v>0.73487599999999997</v>
      </c>
      <c r="B155" s="4">
        <v>1</v>
      </c>
      <c r="C155" s="4">
        <v>0.39500000000000002</v>
      </c>
      <c r="D155" s="4">
        <v>0.3</v>
      </c>
      <c r="E155" s="4">
        <v>0.09</v>
      </c>
      <c r="F155" s="4">
        <v>0.253</v>
      </c>
      <c r="V155" s="3">
        <v>1.0226320833333333</v>
      </c>
      <c r="W155" s="2">
        <v>1</v>
      </c>
      <c r="X155" s="2">
        <v>0.63500000000000001</v>
      </c>
      <c r="Y155" s="2">
        <v>0.48499999999999999</v>
      </c>
      <c r="Z155" s="2">
        <v>0.16500000000000001</v>
      </c>
      <c r="AA155" s="2">
        <v>1.2945</v>
      </c>
    </row>
    <row r="156" spans="1:27" x14ac:dyDescent="0.2">
      <c r="A156" s="9">
        <v>0.73525300000000016</v>
      </c>
      <c r="B156" s="4">
        <v>1</v>
      </c>
      <c r="C156" s="4">
        <v>0.40500000000000003</v>
      </c>
      <c r="D156" s="4">
        <v>0.3</v>
      </c>
      <c r="E156" s="4">
        <v>8.5000000000000006E-2</v>
      </c>
      <c r="F156" s="4">
        <v>0.30349999999999999</v>
      </c>
      <c r="V156" s="3">
        <v>1.0230524999999999</v>
      </c>
      <c r="W156" s="2">
        <v>1</v>
      </c>
      <c r="X156" s="2">
        <v>0.60499999999999998</v>
      </c>
      <c r="Y156" s="2">
        <v>0.49</v>
      </c>
      <c r="Z156" s="2">
        <v>0.16500000000000001</v>
      </c>
      <c r="AA156" s="2">
        <v>1.071</v>
      </c>
    </row>
    <row r="157" spans="1:27" x14ac:dyDescent="0.2">
      <c r="A157" s="9">
        <v>0.73552600000000012</v>
      </c>
      <c r="B157" s="4">
        <v>1</v>
      </c>
      <c r="C157" s="4">
        <v>0.4</v>
      </c>
      <c r="D157" s="4">
        <v>0.30499999999999999</v>
      </c>
      <c r="E157" s="4">
        <v>8.5000000000000006E-2</v>
      </c>
      <c r="F157" s="4">
        <v>0.29699999999999999</v>
      </c>
      <c r="V157" s="3">
        <v>1.0230783333333333</v>
      </c>
      <c r="W157" s="2">
        <v>1</v>
      </c>
      <c r="X157" s="2">
        <v>0.61499999999999999</v>
      </c>
      <c r="Y157" s="2">
        <v>0.495</v>
      </c>
      <c r="Z157" s="2">
        <v>0.16500000000000001</v>
      </c>
      <c r="AA157" s="2">
        <v>1.198</v>
      </c>
    </row>
    <row r="158" spans="1:27" x14ac:dyDescent="0.2">
      <c r="A158" s="9">
        <v>0.73557466666666671</v>
      </c>
      <c r="B158" s="4">
        <v>1</v>
      </c>
      <c r="C158" s="4">
        <v>0.39500000000000002</v>
      </c>
      <c r="D158" s="4">
        <v>0.30499999999999999</v>
      </c>
      <c r="E158" s="4">
        <v>0.105</v>
      </c>
      <c r="F158" s="4">
        <v>0.28199999999999997</v>
      </c>
      <c r="V158" s="3">
        <v>1.0230816666666667</v>
      </c>
      <c r="W158" s="2">
        <v>1</v>
      </c>
      <c r="X158" s="2">
        <v>0.61</v>
      </c>
      <c r="Y158" s="2">
        <v>0.49</v>
      </c>
      <c r="Z158" s="2">
        <v>0.17</v>
      </c>
      <c r="AA158" s="2">
        <v>1.137</v>
      </c>
    </row>
    <row r="159" spans="1:27" x14ac:dyDescent="0.2">
      <c r="A159" s="9">
        <v>0.73614666666666662</v>
      </c>
      <c r="B159" s="4">
        <v>1</v>
      </c>
      <c r="C159" s="4">
        <v>0.41</v>
      </c>
      <c r="D159" s="4">
        <v>0.30499999999999999</v>
      </c>
      <c r="E159" s="4">
        <v>0.1</v>
      </c>
      <c r="F159" s="4">
        <v>0.36299999999999999</v>
      </c>
      <c r="V159" s="3">
        <v>1.0232658333333333</v>
      </c>
      <c r="W159" s="2">
        <v>1</v>
      </c>
      <c r="X159" s="2">
        <v>0.61499999999999999</v>
      </c>
      <c r="Y159" s="2">
        <v>0.47499999999999998</v>
      </c>
      <c r="Z159" s="2">
        <v>0.16500000000000001</v>
      </c>
      <c r="AA159" s="2">
        <v>1.0229999999999999</v>
      </c>
    </row>
    <row r="160" spans="1:27" x14ac:dyDescent="0.2">
      <c r="A160" s="9">
        <v>0.73673833333333338</v>
      </c>
      <c r="B160" s="4">
        <v>1</v>
      </c>
      <c r="C160" s="4">
        <v>0.40500000000000003</v>
      </c>
      <c r="D160" s="4">
        <v>0.31</v>
      </c>
      <c r="E160" s="4">
        <v>9.5000000000000001E-2</v>
      </c>
      <c r="F160" s="4">
        <v>0.34250000000000003</v>
      </c>
      <c r="V160" s="3">
        <v>1.0235208333333334</v>
      </c>
      <c r="W160" s="2">
        <v>1</v>
      </c>
      <c r="X160" s="2">
        <v>0.63</v>
      </c>
      <c r="Y160" s="2">
        <v>0.49</v>
      </c>
      <c r="Z160" s="2">
        <v>0.15</v>
      </c>
      <c r="AA160" s="2">
        <v>1.1955</v>
      </c>
    </row>
    <row r="161" spans="1:27" x14ac:dyDescent="0.2">
      <c r="A161" s="9">
        <v>0.73702666666666672</v>
      </c>
      <c r="B161" s="4">
        <v>1</v>
      </c>
      <c r="C161" s="4">
        <v>0.4</v>
      </c>
      <c r="D161" s="4">
        <v>0.315</v>
      </c>
      <c r="E161" s="4">
        <v>0.09</v>
      </c>
      <c r="F161" s="4">
        <v>0.33</v>
      </c>
      <c r="V161" s="3">
        <v>1.0235975000000002</v>
      </c>
      <c r="W161" s="2">
        <v>1</v>
      </c>
      <c r="X161" s="2">
        <v>0.62</v>
      </c>
      <c r="Y161" s="2">
        <v>0.49</v>
      </c>
      <c r="Z161" s="2">
        <v>0.17</v>
      </c>
      <c r="AA161" s="2">
        <v>1.2104999999999999</v>
      </c>
    </row>
    <row r="162" spans="1:27" x14ac:dyDescent="0.2">
      <c r="A162" s="9">
        <v>0.73776666666666668</v>
      </c>
      <c r="B162" s="4">
        <v>1</v>
      </c>
      <c r="C162" s="4">
        <v>0.4</v>
      </c>
      <c r="D162" s="4">
        <v>0.315</v>
      </c>
      <c r="E162" s="4">
        <v>0.1</v>
      </c>
      <c r="F162" s="4">
        <v>0.32250000000000001</v>
      </c>
      <c r="V162" s="3">
        <v>1.0236112499999999</v>
      </c>
      <c r="W162" s="2">
        <v>1</v>
      </c>
      <c r="X162" s="2">
        <v>0.63500000000000001</v>
      </c>
      <c r="Y162" s="2">
        <v>0.48499999999999999</v>
      </c>
      <c r="Z162" s="2">
        <v>0.16500000000000001</v>
      </c>
      <c r="AA162" s="2">
        <v>1.2695000000000001</v>
      </c>
    </row>
    <row r="163" spans="1:27" x14ac:dyDescent="0.2">
      <c r="A163" s="9">
        <v>0.7378203333333333</v>
      </c>
      <c r="B163" s="4">
        <v>1</v>
      </c>
      <c r="C163" s="4">
        <v>0.41499999999999998</v>
      </c>
      <c r="D163" s="4">
        <v>0.30499999999999999</v>
      </c>
      <c r="E163" s="4">
        <v>0.105</v>
      </c>
      <c r="F163" s="4">
        <v>0.36049999999999999</v>
      </c>
      <c r="V163" s="3">
        <v>1.0237579166666668</v>
      </c>
      <c r="W163" s="2">
        <v>1</v>
      </c>
      <c r="X163" s="2">
        <v>0.625</v>
      </c>
      <c r="Y163" s="2">
        <v>0.495</v>
      </c>
      <c r="Z163" s="2">
        <v>0.185</v>
      </c>
      <c r="AA163" s="2">
        <v>1.3835</v>
      </c>
    </row>
    <row r="164" spans="1:27" x14ac:dyDescent="0.2">
      <c r="A164" s="9">
        <v>0.73805333333333334</v>
      </c>
      <c r="B164" s="4">
        <v>1</v>
      </c>
      <c r="C164" s="4">
        <v>0.41</v>
      </c>
      <c r="D164" s="4">
        <v>0.3</v>
      </c>
      <c r="E164" s="4">
        <v>0.1</v>
      </c>
      <c r="F164" s="4">
        <v>0.28199999999999997</v>
      </c>
      <c r="V164" s="3">
        <v>1.0239770833333333</v>
      </c>
      <c r="W164" s="2">
        <v>1</v>
      </c>
      <c r="X164" s="2">
        <v>0.62</v>
      </c>
      <c r="Y164" s="2">
        <v>0.48499999999999999</v>
      </c>
      <c r="Z164" s="2">
        <v>0.16500000000000001</v>
      </c>
      <c r="AA164" s="2">
        <v>1.1325000000000001</v>
      </c>
    </row>
    <row r="165" spans="1:27" x14ac:dyDescent="0.2">
      <c r="A165" s="9">
        <v>0.73835066666666671</v>
      </c>
      <c r="B165" s="4">
        <v>1</v>
      </c>
      <c r="C165" s="4">
        <v>0.4</v>
      </c>
      <c r="D165" s="4">
        <v>0.32</v>
      </c>
      <c r="E165" s="4">
        <v>0.11</v>
      </c>
      <c r="F165" s="4">
        <v>0.35299999999999998</v>
      </c>
      <c r="V165" s="3">
        <v>1.024</v>
      </c>
      <c r="W165" s="2">
        <v>1</v>
      </c>
      <c r="X165" s="2">
        <v>0.625</v>
      </c>
      <c r="Y165" s="2">
        <v>0.48499999999999999</v>
      </c>
      <c r="Z165" s="2">
        <v>0.16</v>
      </c>
      <c r="AA165" s="2">
        <v>1.1499999999999999</v>
      </c>
    </row>
    <row r="166" spans="1:27" x14ac:dyDescent="0.2">
      <c r="A166" s="9">
        <v>0.73835133333333347</v>
      </c>
      <c r="B166" s="4">
        <v>1</v>
      </c>
      <c r="C166" s="4">
        <v>0.40500000000000003</v>
      </c>
      <c r="D166" s="4">
        <v>0.315</v>
      </c>
      <c r="E166" s="4">
        <v>0.105</v>
      </c>
      <c r="F166" s="4">
        <v>0.34699999999999998</v>
      </c>
      <c r="V166" s="3">
        <v>1.0241037499999999</v>
      </c>
      <c r="W166" s="2">
        <v>1</v>
      </c>
      <c r="X166" s="2">
        <v>0.6</v>
      </c>
      <c r="Y166" s="2">
        <v>0.48</v>
      </c>
      <c r="Z166" s="2">
        <v>0.16500000000000001</v>
      </c>
      <c r="AA166" s="2">
        <v>0.91649999999999998</v>
      </c>
    </row>
    <row r="167" spans="1:27" x14ac:dyDescent="0.2">
      <c r="A167" s="9">
        <v>0.73836666666666662</v>
      </c>
      <c r="B167" s="4">
        <v>1</v>
      </c>
      <c r="C167" s="4">
        <v>0.39500000000000002</v>
      </c>
      <c r="D167" s="4">
        <v>0.32</v>
      </c>
      <c r="E167" s="4">
        <v>0.1</v>
      </c>
      <c r="F167" s="4">
        <v>0.3075</v>
      </c>
      <c r="V167" s="3">
        <v>1.0241512500000001</v>
      </c>
      <c r="W167" s="2">
        <v>1</v>
      </c>
      <c r="X167" s="2">
        <v>0.62</v>
      </c>
      <c r="Y167" s="2">
        <v>0.48</v>
      </c>
      <c r="Z167" s="2">
        <v>0.16500000000000001</v>
      </c>
      <c r="AA167" s="2">
        <v>1.0854999999999999</v>
      </c>
    </row>
    <row r="168" spans="1:27" x14ac:dyDescent="0.2">
      <c r="A168" s="9">
        <v>0.73861333333333345</v>
      </c>
      <c r="B168" s="4">
        <v>1</v>
      </c>
      <c r="C168" s="4">
        <v>0.40500000000000003</v>
      </c>
      <c r="D168" s="4">
        <v>0.30499999999999999</v>
      </c>
      <c r="E168" s="4">
        <v>0.1</v>
      </c>
      <c r="F168" s="4">
        <v>0.26800000000000002</v>
      </c>
      <c r="V168" s="3">
        <v>1.0242441666666668</v>
      </c>
      <c r="W168" s="2">
        <v>1</v>
      </c>
      <c r="X168" s="2">
        <v>0.64</v>
      </c>
      <c r="Y168" s="2">
        <v>0.5</v>
      </c>
      <c r="Z168" s="2">
        <v>0.17</v>
      </c>
      <c r="AA168" s="2">
        <v>1.4544999999999999</v>
      </c>
    </row>
    <row r="169" spans="1:27" x14ac:dyDescent="0.2">
      <c r="A169" s="9">
        <v>0.7394723333333334</v>
      </c>
      <c r="B169" s="4">
        <v>1</v>
      </c>
      <c r="C169" s="4">
        <v>0.41</v>
      </c>
      <c r="D169" s="4">
        <v>0.3</v>
      </c>
      <c r="E169" s="4">
        <v>0.115</v>
      </c>
      <c r="F169" s="4">
        <v>0.25950000000000001</v>
      </c>
      <c r="V169" s="3">
        <v>1.0243958333333334</v>
      </c>
      <c r="W169" s="2">
        <v>1</v>
      </c>
      <c r="X169" s="2">
        <v>0.625</v>
      </c>
      <c r="Y169" s="2">
        <v>0.48499999999999999</v>
      </c>
      <c r="Z169" s="2">
        <v>0.15</v>
      </c>
      <c r="AA169" s="2">
        <v>1.0945</v>
      </c>
    </row>
    <row r="170" spans="1:27" x14ac:dyDescent="0.2">
      <c r="A170" s="9">
        <v>0.73957066666666682</v>
      </c>
      <c r="B170" s="4">
        <v>1</v>
      </c>
      <c r="C170" s="4">
        <v>0.42</v>
      </c>
      <c r="D170" s="4">
        <v>0.3</v>
      </c>
      <c r="E170" s="4">
        <v>0.105</v>
      </c>
      <c r="F170" s="4">
        <v>0.316</v>
      </c>
      <c r="V170" s="3">
        <v>1.0244199999999999</v>
      </c>
      <c r="W170" s="2">
        <v>1</v>
      </c>
      <c r="X170" s="2">
        <v>0.61</v>
      </c>
      <c r="Y170" s="2">
        <v>0.48499999999999999</v>
      </c>
      <c r="Z170" s="2">
        <v>0.16</v>
      </c>
      <c r="AA170" s="2">
        <v>1.0145</v>
      </c>
    </row>
    <row r="171" spans="1:27" x14ac:dyDescent="0.2">
      <c r="A171" s="9">
        <v>0.7396733333333334</v>
      </c>
      <c r="B171" s="4">
        <v>1</v>
      </c>
      <c r="C171" s="4">
        <v>0.42</v>
      </c>
      <c r="D171" s="4">
        <v>0.30499999999999999</v>
      </c>
      <c r="E171" s="4">
        <v>0.1</v>
      </c>
      <c r="F171" s="4">
        <v>0.34150000000000003</v>
      </c>
      <c r="V171" s="3">
        <v>1.0247483333333336</v>
      </c>
      <c r="W171" s="2">
        <v>1</v>
      </c>
      <c r="X171" s="2">
        <v>0.625</v>
      </c>
      <c r="Y171" s="2">
        <v>0.5</v>
      </c>
      <c r="Z171" s="2">
        <v>0.18</v>
      </c>
      <c r="AA171" s="2">
        <v>1.3705000000000001</v>
      </c>
    </row>
    <row r="172" spans="1:27" x14ac:dyDescent="0.2">
      <c r="A172" s="9">
        <v>0.73996400000000007</v>
      </c>
      <c r="B172" s="4">
        <v>1</v>
      </c>
      <c r="C172" s="4">
        <v>0.39500000000000002</v>
      </c>
      <c r="D172" s="4">
        <v>0.32500000000000001</v>
      </c>
      <c r="E172" s="4">
        <v>0.105</v>
      </c>
      <c r="F172" s="4">
        <v>0.30599999999999999</v>
      </c>
      <c r="V172" s="3">
        <v>1.0249266666666668</v>
      </c>
      <c r="W172" s="2">
        <v>1</v>
      </c>
      <c r="X172" s="2">
        <v>0.64</v>
      </c>
      <c r="Y172" s="2">
        <v>0.49</v>
      </c>
      <c r="Z172" s="2">
        <v>0.14000000000000001</v>
      </c>
      <c r="AA172" s="2">
        <v>1.194</v>
      </c>
    </row>
    <row r="173" spans="1:27" x14ac:dyDescent="0.2">
      <c r="A173" s="9">
        <v>0.74092066666666678</v>
      </c>
      <c r="B173" s="4">
        <v>1</v>
      </c>
      <c r="C173" s="4">
        <v>0.40500000000000003</v>
      </c>
      <c r="D173" s="4">
        <v>0.32500000000000001</v>
      </c>
      <c r="E173" s="4">
        <v>0.11</v>
      </c>
      <c r="F173" s="4">
        <v>0.35549999999999998</v>
      </c>
      <c r="V173" s="3">
        <v>1.0251004166666666</v>
      </c>
      <c r="W173" s="2">
        <v>1</v>
      </c>
      <c r="X173" s="2">
        <v>0.625</v>
      </c>
      <c r="Y173" s="2">
        <v>0.48</v>
      </c>
      <c r="Z173" s="2">
        <v>0.185</v>
      </c>
      <c r="AA173" s="2">
        <v>1.2064999999999999</v>
      </c>
    </row>
    <row r="174" spans="1:27" x14ac:dyDescent="0.2">
      <c r="A174" s="9">
        <v>0.7413333333333334</v>
      </c>
      <c r="B174" s="4">
        <v>1</v>
      </c>
      <c r="C174" s="4">
        <v>0.41</v>
      </c>
      <c r="D174" s="4">
        <v>0.315</v>
      </c>
      <c r="E174" s="4">
        <v>0.1</v>
      </c>
      <c r="F174" s="4">
        <v>0.3</v>
      </c>
      <c r="V174" s="3">
        <v>1.0252191666666666</v>
      </c>
      <c r="W174" s="2">
        <v>1</v>
      </c>
      <c r="X174" s="2">
        <v>0.65</v>
      </c>
      <c r="Y174" s="2">
        <v>0.505</v>
      </c>
      <c r="Z174" s="2">
        <v>0.17</v>
      </c>
      <c r="AA174" s="2">
        <v>1.5595000000000001</v>
      </c>
    </row>
    <row r="175" spans="1:27" x14ac:dyDescent="0.2">
      <c r="A175" s="9">
        <v>0.74144266666666669</v>
      </c>
      <c r="B175" s="4">
        <v>1</v>
      </c>
      <c r="C175" s="4">
        <v>0.4</v>
      </c>
      <c r="D175" s="4">
        <v>0.32500000000000001</v>
      </c>
      <c r="E175" s="4">
        <v>0.12</v>
      </c>
      <c r="F175" s="4">
        <v>0.31850000000000001</v>
      </c>
      <c r="V175" s="3">
        <v>1.0252725</v>
      </c>
      <c r="W175" s="2">
        <v>1</v>
      </c>
      <c r="X175" s="2">
        <v>0.625</v>
      </c>
      <c r="Y175" s="2">
        <v>0.495</v>
      </c>
      <c r="Z175" s="2">
        <v>0.155</v>
      </c>
      <c r="AA175" s="2">
        <v>1.177</v>
      </c>
    </row>
    <row r="176" spans="1:27" x14ac:dyDescent="0.2">
      <c r="A176" s="9">
        <v>0.74155800000000005</v>
      </c>
      <c r="B176" s="4">
        <v>1</v>
      </c>
      <c r="C176" s="4">
        <v>0.41499999999999998</v>
      </c>
      <c r="D176" s="4">
        <v>0.32</v>
      </c>
      <c r="E176" s="4">
        <v>0.11</v>
      </c>
      <c r="F176" s="4">
        <v>0.3735</v>
      </c>
      <c r="V176" s="3">
        <v>1.0255516666666664</v>
      </c>
      <c r="W176" s="2">
        <v>1</v>
      </c>
      <c r="X176" s="2">
        <v>0.6</v>
      </c>
      <c r="Y176" s="2">
        <v>0.47499999999999998</v>
      </c>
      <c r="Z176" s="2">
        <v>0.23</v>
      </c>
      <c r="AA176" s="2">
        <v>1.157</v>
      </c>
    </row>
    <row r="177" spans="1:27" x14ac:dyDescent="0.2">
      <c r="A177" s="9">
        <v>0.7420186666666666</v>
      </c>
      <c r="B177" s="4">
        <v>1</v>
      </c>
      <c r="C177" s="4">
        <v>0.41</v>
      </c>
      <c r="D177" s="4">
        <v>0.32500000000000001</v>
      </c>
      <c r="E177" s="4">
        <v>0.12</v>
      </c>
      <c r="F177" s="4">
        <v>0.3745</v>
      </c>
      <c r="V177" s="3">
        <v>1.0258783333333334</v>
      </c>
      <c r="W177" s="2">
        <v>1</v>
      </c>
      <c r="X177" s="2">
        <v>0.61</v>
      </c>
      <c r="Y177" s="2">
        <v>0.495</v>
      </c>
      <c r="Z177" s="2">
        <v>0.19</v>
      </c>
      <c r="AA177" s="2">
        <v>1.2130000000000001</v>
      </c>
    </row>
    <row r="178" spans="1:27" x14ac:dyDescent="0.2">
      <c r="A178" s="9">
        <v>0.74225333333333332</v>
      </c>
      <c r="B178" s="4">
        <v>1</v>
      </c>
      <c r="C178" s="4">
        <v>0.42499999999999999</v>
      </c>
      <c r="D178" s="4">
        <v>0.315</v>
      </c>
      <c r="E178" s="4">
        <v>0.1</v>
      </c>
      <c r="F178" s="4">
        <v>0.377</v>
      </c>
      <c r="V178" s="3">
        <v>1.0260716666666667</v>
      </c>
      <c r="W178" s="2">
        <v>1</v>
      </c>
      <c r="X178" s="2">
        <v>0.63</v>
      </c>
      <c r="Y178" s="2">
        <v>0.48499999999999999</v>
      </c>
      <c r="Z178" s="2">
        <v>0.18</v>
      </c>
      <c r="AA178" s="2">
        <v>1.2435</v>
      </c>
    </row>
    <row r="179" spans="1:27" x14ac:dyDescent="0.2">
      <c r="A179" s="9">
        <v>0.7428530000000001</v>
      </c>
      <c r="B179" s="4">
        <v>1</v>
      </c>
      <c r="C179" s="4">
        <v>0.41</v>
      </c>
      <c r="D179" s="4">
        <v>0.32</v>
      </c>
      <c r="E179" s="4">
        <v>9.5000000000000001E-2</v>
      </c>
      <c r="F179" s="4">
        <v>0.29049999999999998</v>
      </c>
      <c r="V179" s="3">
        <v>1.0266416666666667</v>
      </c>
      <c r="W179" s="2">
        <v>1</v>
      </c>
      <c r="X179" s="2">
        <v>0.63</v>
      </c>
      <c r="Y179" s="2">
        <v>0.48</v>
      </c>
      <c r="Z179" s="2">
        <v>0.185</v>
      </c>
      <c r="AA179" s="2">
        <v>1.21</v>
      </c>
    </row>
    <row r="180" spans="1:27" x14ac:dyDescent="0.2">
      <c r="A180" s="9">
        <v>0.74302000000000001</v>
      </c>
      <c r="B180" s="4">
        <v>1</v>
      </c>
      <c r="C180" s="4">
        <v>0.41</v>
      </c>
      <c r="D180" s="4">
        <v>0.32500000000000001</v>
      </c>
      <c r="E180" s="4">
        <v>0.1</v>
      </c>
      <c r="F180" s="4">
        <v>0.32450000000000001</v>
      </c>
      <c r="V180" s="3">
        <v>1.0267025000000001</v>
      </c>
      <c r="W180" s="2">
        <v>1</v>
      </c>
      <c r="X180" s="2">
        <v>0.64500000000000002</v>
      </c>
      <c r="Y180" s="2">
        <v>0.52500000000000002</v>
      </c>
      <c r="Z180" s="2">
        <v>0.19</v>
      </c>
      <c r="AA180" s="2">
        <v>1.8085</v>
      </c>
    </row>
    <row r="181" spans="1:27" x14ac:dyDescent="0.2">
      <c r="A181" s="9">
        <v>0.74331666666666685</v>
      </c>
      <c r="B181" s="4">
        <v>1</v>
      </c>
      <c r="C181" s="4">
        <v>0.42</v>
      </c>
      <c r="D181" s="4">
        <v>0.32</v>
      </c>
      <c r="E181" s="4">
        <v>0.11</v>
      </c>
      <c r="F181" s="4">
        <v>0.36249999999999999</v>
      </c>
      <c r="V181" s="3">
        <v>1.0268262500000001</v>
      </c>
      <c r="W181" s="2">
        <v>1</v>
      </c>
      <c r="X181" s="2">
        <v>0.64</v>
      </c>
      <c r="Y181" s="2">
        <v>0.48499999999999999</v>
      </c>
      <c r="Z181" s="2">
        <v>0.14499999999999999</v>
      </c>
      <c r="AA181" s="2">
        <v>1.1335</v>
      </c>
    </row>
    <row r="182" spans="1:27" x14ac:dyDescent="0.2">
      <c r="A182" s="9">
        <v>0.7435586666666667</v>
      </c>
      <c r="B182" s="4">
        <v>1</v>
      </c>
      <c r="C182" s="4">
        <v>0.42499999999999999</v>
      </c>
      <c r="D182" s="4">
        <v>0.31</v>
      </c>
      <c r="E182" s="4">
        <v>0.09</v>
      </c>
      <c r="F182" s="4">
        <v>0.30099999999999999</v>
      </c>
      <c r="V182" s="3">
        <v>1.02688125</v>
      </c>
      <c r="W182" s="2">
        <v>1</v>
      </c>
      <c r="X182" s="2">
        <v>0.62</v>
      </c>
      <c r="Y182" s="2">
        <v>0.47499999999999998</v>
      </c>
      <c r="Z182" s="2">
        <v>0.17499999999999999</v>
      </c>
      <c r="AA182" s="2">
        <v>1.0165</v>
      </c>
    </row>
    <row r="183" spans="1:27" x14ac:dyDescent="0.2">
      <c r="A183" s="9">
        <v>0.74376666666666669</v>
      </c>
      <c r="B183" s="4">
        <v>1</v>
      </c>
      <c r="C183" s="4">
        <v>0.43</v>
      </c>
      <c r="D183" s="4">
        <v>0.32500000000000001</v>
      </c>
      <c r="E183" s="4">
        <v>0.09</v>
      </c>
      <c r="F183" s="4">
        <v>0.42499999999999999</v>
      </c>
      <c r="V183" s="3">
        <v>1.0271091666666667</v>
      </c>
      <c r="W183" s="2">
        <v>1</v>
      </c>
      <c r="X183" s="2">
        <v>0.63</v>
      </c>
      <c r="Y183" s="2">
        <v>0.5</v>
      </c>
      <c r="Z183" s="2">
        <v>0.185</v>
      </c>
      <c r="AA183" s="2">
        <v>1.383</v>
      </c>
    </row>
    <row r="184" spans="1:27" x14ac:dyDescent="0.2">
      <c r="A184" s="9">
        <v>0.74380733333333338</v>
      </c>
      <c r="B184" s="4">
        <v>1</v>
      </c>
      <c r="C184" s="4">
        <v>0.41499999999999998</v>
      </c>
      <c r="D184" s="4">
        <v>0.33</v>
      </c>
      <c r="E184" s="4">
        <v>0.09</v>
      </c>
      <c r="F184" s="4">
        <v>0.35949999999999999</v>
      </c>
      <c r="V184" s="3">
        <v>1.0272625000000002</v>
      </c>
      <c r="W184" s="2">
        <v>1</v>
      </c>
      <c r="X184" s="2">
        <v>0.625</v>
      </c>
      <c r="Y184" s="2">
        <v>0.5</v>
      </c>
      <c r="Z184" s="2">
        <v>0.17499999999999999</v>
      </c>
      <c r="AA184" s="2">
        <v>1.2729999999999999</v>
      </c>
    </row>
    <row r="185" spans="1:27" x14ac:dyDescent="0.2">
      <c r="A185" s="9">
        <v>0.74447333333333343</v>
      </c>
      <c r="B185" s="4">
        <v>1</v>
      </c>
      <c r="C185" s="4">
        <v>0.41499999999999998</v>
      </c>
      <c r="D185" s="4">
        <v>0.32500000000000001</v>
      </c>
      <c r="E185" s="4">
        <v>0.1</v>
      </c>
      <c r="F185" s="4">
        <v>0.32150000000000001</v>
      </c>
      <c r="V185" s="3">
        <v>1.0273454166666665</v>
      </c>
      <c r="W185" s="2">
        <v>1</v>
      </c>
      <c r="X185" s="2">
        <v>0.63500000000000001</v>
      </c>
      <c r="Y185" s="2">
        <v>0.505</v>
      </c>
      <c r="Z185" s="2">
        <v>0.155</v>
      </c>
      <c r="AA185" s="2">
        <v>1.2895000000000001</v>
      </c>
    </row>
    <row r="186" spans="1:27" x14ac:dyDescent="0.2">
      <c r="A186" s="9">
        <v>0.74458000000000002</v>
      </c>
      <c r="B186" s="4">
        <v>1</v>
      </c>
      <c r="C186" s="4">
        <v>0.43</v>
      </c>
      <c r="D186" s="4">
        <v>0.32</v>
      </c>
      <c r="E186" s="4">
        <v>0.1</v>
      </c>
      <c r="F186" s="4">
        <v>0.38550000000000001</v>
      </c>
      <c r="V186" s="3">
        <v>1.0273700000000001</v>
      </c>
      <c r="W186" s="2">
        <v>1</v>
      </c>
      <c r="X186" s="2">
        <v>0.62</v>
      </c>
      <c r="Y186" s="2">
        <v>0.49</v>
      </c>
      <c r="Z186" s="2">
        <v>0.19</v>
      </c>
      <c r="AA186" s="2">
        <v>1.218</v>
      </c>
    </row>
    <row r="187" spans="1:27" x14ac:dyDescent="0.2">
      <c r="A187" s="9">
        <v>0.74460766666666667</v>
      </c>
      <c r="B187" s="4">
        <v>1</v>
      </c>
      <c r="C187" s="4">
        <v>0.42499999999999999</v>
      </c>
      <c r="D187" s="4">
        <v>0.32500000000000001</v>
      </c>
      <c r="E187" s="4">
        <v>9.5000000000000001E-2</v>
      </c>
      <c r="F187" s="4">
        <v>0.3785</v>
      </c>
      <c r="V187" s="3">
        <v>1.0273937500000001</v>
      </c>
      <c r="W187" s="2">
        <v>1</v>
      </c>
      <c r="X187" s="2">
        <v>0.63</v>
      </c>
      <c r="Y187" s="2">
        <v>0.495</v>
      </c>
      <c r="Z187" s="2">
        <v>0.17499999999999999</v>
      </c>
      <c r="AA187" s="2">
        <v>1.2695000000000001</v>
      </c>
    </row>
    <row r="188" spans="1:27" x14ac:dyDescent="0.2">
      <c r="A188" s="9">
        <v>0.74481333333333333</v>
      </c>
      <c r="B188" s="4">
        <v>1</v>
      </c>
      <c r="C188" s="4">
        <v>0.41499999999999998</v>
      </c>
      <c r="D188" s="4">
        <v>0.32500000000000001</v>
      </c>
      <c r="E188" s="4">
        <v>0.1</v>
      </c>
      <c r="F188" s="4">
        <v>0.313</v>
      </c>
      <c r="V188" s="3">
        <v>1.0274166666666666</v>
      </c>
      <c r="W188" s="2">
        <v>1</v>
      </c>
      <c r="X188" s="2">
        <v>0.65</v>
      </c>
      <c r="Y188" s="2">
        <v>0.48499999999999999</v>
      </c>
      <c r="Z188" s="2">
        <v>0.14000000000000001</v>
      </c>
      <c r="AA188" s="2">
        <v>1.175</v>
      </c>
    </row>
    <row r="189" spans="1:27" x14ac:dyDescent="0.2">
      <c r="A189" s="9">
        <v>0.7451146666666667</v>
      </c>
      <c r="B189" s="4">
        <v>1</v>
      </c>
      <c r="C189" s="4">
        <v>0.41499999999999998</v>
      </c>
      <c r="D189" s="4">
        <v>0.32500000000000001</v>
      </c>
      <c r="E189" s="4">
        <v>0.11</v>
      </c>
      <c r="F189" s="4">
        <v>0.316</v>
      </c>
      <c r="V189" s="3">
        <v>1.0281183333333332</v>
      </c>
      <c r="W189" s="2">
        <v>1</v>
      </c>
      <c r="X189" s="2">
        <v>0.66</v>
      </c>
      <c r="Y189" s="2">
        <v>0.47499999999999998</v>
      </c>
      <c r="Z189" s="2">
        <v>0.18</v>
      </c>
      <c r="AA189" s="2">
        <v>1.3694999999999999</v>
      </c>
    </row>
    <row r="190" spans="1:27" x14ac:dyDescent="0.2">
      <c r="A190" s="9">
        <v>0.74521466666666669</v>
      </c>
      <c r="B190" s="4">
        <v>1</v>
      </c>
      <c r="C190" s="4">
        <v>0.42</v>
      </c>
      <c r="D190" s="4">
        <v>0.32500000000000001</v>
      </c>
      <c r="E190" s="4">
        <v>0.115</v>
      </c>
      <c r="F190" s="4">
        <v>0.35399999999999998</v>
      </c>
      <c r="V190" s="3">
        <v>1.0282266666666668</v>
      </c>
      <c r="W190" s="2">
        <v>1</v>
      </c>
      <c r="X190" s="2">
        <v>0.63</v>
      </c>
      <c r="Y190" s="2">
        <v>0.51500000000000001</v>
      </c>
      <c r="Z190" s="2">
        <v>0.16</v>
      </c>
      <c r="AA190" s="2">
        <v>1.3360000000000001</v>
      </c>
    </row>
    <row r="191" spans="1:27" x14ac:dyDescent="0.2">
      <c r="A191" s="9">
        <v>0.74562400000000006</v>
      </c>
      <c r="B191" s="4">
        <v>1</v>
      </c>
      <c r="C191" s="4">
        <v>0.44</v>
      </c>
      <c r="D191" s="4">
        <v>0.32</v>
      </c>
      <c r="E191" s="4">
        <v>0.12</v>
      </c>
      <c r="F191" s="4">
        <v>0.45650000000000002</v>
      </c>
      <c r="V191" s="3">
        <v>1.02825375</v>
      </c>
      <c r="W191" s="2">
        <v>1</v>
      </c>
      <c r="X191" s="2">
        <v>0.60499999999999998</v>
      </c>
      <c r="Y191" s="2">
        <v>0.5</v>
      </c>
      <c r="Z191" s="2">
        <v>0.185</v>
      </c>
      <c r="AA191" s="2">
        <v>1.1185</v>
      </c>
    </row>
    <row r="192" spans="1:27" x14ac:dyDescent="0.2">
      <c r="A192" s="9">
        <v>0.74590533333333342</v>
      </c>
      <c r="B192" s="4">
        <v>1</v>
      </c>
      <c r="C192" s="4">
        <v>0.42499999999999999</v>
      </c>
      <c r="D192" s="4">
        <v>0.33</v>
      </c>
      <c r="E192" s="4">
        <v>0.115</v>
      </c>
      <c r="F192" s="4">
        <v>0.40600000000000003</v>
      </c>
      <c r="V192" s="3">
        <v>1.0283108333333335</v>
      </c>
      <c r="W192" s="2">
        <v>1</v>
      </c>
      <c r="X192" s="2">
        <v>0.63</v>
      </c>
      <c r="Y192" s="2">
        <v>0.49</v>
      </c>
      <c r="Z192" s="2">
        <v>0.17</v>
      </c>
      <c r="AA192" s="2">
        <v>1.1745000000000001</v>
      </c>
    </row>
    <row r="193" spans="1:27" x14ac:dyDescent="0.2">
      <c r="A193" s="9">
        <v>0.74598133333333339</v>
      </c>
      <c r="B193" s="4">
        <v>1</v>
      </c>
      <c r="C193" s="4">
        <v>0.42499999999999999</v>
      </c>
      <c r="D193" s="4">
        <v>0.32500000000000001</v>
      </c>
      <c r="E193" s="4">
        <v>0.12</v>
      </c>
      <c r="F193" s="4">
        <v>0.3755</v>
      </c>
      <c r="V193" s="3">
        <v>1.0286104166666667</v>
      </c>
      <c r="W193" s="2">
        <v>1</v>
      </c>
      <c r="X193" s="2">
        <v>0.62</v>
      </c>
      <c r="Y193" s="2">
        <v>0.51</v>
      </c>
      <c r="Z193" s="2">
        <v>0.17499999999999999</v>
      </c>
      <c r="AA193" s="2">
        <v>1.2815000000000001</v>
      </c>
    </row>
    <row r="194" spans="1:27" x14ac:dyDescent="0.2">
      <c r="A194" s="9">
        <v>0.74622500000000003</v>
      </c>
      <c r="B194" s="4">
        <v>1</v>
      </c>
      <c r="C194" s="4">
        <v>0.44</v>
      </c>
      <c r="D194" s="4">
        <v>0.31</v>
      </c>
      <c r="E194" s="4">
        <v>0.115</v>
      </c>
      <c r="F194" s="4">
        <v>0.36249999999999999</v>
      </c>
      <c r="V194" s="3">
        <v>1.0288733333333335</v>
      </c>
      <c r="W194" s="2">
        <v>1</v>
      </c>
      <c r="X194" s="2">
        <v>0.625</v>
      </c>
      <c r="Y194" s="2">
        <v>0.495</v>
      </c>
      <c r="Z194" s="2">
        <v>0.16</v>
      </c>
      <c r="AA194" s="2">
        <v>1.1114999999999999</v>
      </c>
    </row>
    <row r="195" spans="1:27" x14ac:dyDescent="0.2">
      <c r="A195" s="9">
        <v>0.74637866666666675</v>
      </c>
      <c r="B195" s="4">
        <v>1</v>
      </c>
      <c r="C195" s="4">
        <v>0.44</v>
      </c>
      <c r="D195" s="4">
        <v>0.32500000000000001</v>
      </c>
      <c r="E195" s="4">
        <v>0.08</v>
      </c>
      <c r="F195" s="4">
        <v>0.41299999999999998</v>
      </c>
      <c r="V195" s="3">
        <v>1.0289783333333333</v>
      </c>
      <c r="W195" s="2">
        <v>1</v>
      </c>
      <c r="X195" s="2">
        <v>0.625</v>
      </c>
      <c r="Y195" s="2">
        <v>0.51500000000000001</v>
      </c>
      <c r="Z195" s="2">
        <v>0.17</v>
      </c>
      <c r="AA195" s="2">
        <v>1.331</v>
      </c>
    </row>
    <row r="196" spans="1:27" x14ac:dyDescent="0.2">
      <c r="A196" s="9">
        <v>0.74714666666666663</v>
      </c>
      <c r="B196" s="4">
        <v>1</v>
      </c>
      <c r="C196" s="4">
        <v>0.435</v>
      </c>
      <c r="D196" s="4">
        <v>0.32</v>
      </c>
      <c r="E196" s="4">
        <v>0.08</v>
      </c>
      <c r="F196" s="4">
        <v>0.33250000000000002</v>
      </c>
      <c r="V196" s="3">
        <v>1.0293266666666665</v>
      </c>
      <c r="W196" s="2">
        <v>1</v>
      </c>
      <c r="X196" s="2">
        <v>0.62</v>
      </c>
      <c r="Y196" s="2">
        <v>0.5</v>
      </c>
      <c r="Z196" s="2">
        <v>0.17</v>
      </c>
      <c r="AA196" s="2">
        <v>1.1479999999999999</v>
      </c>
    </row>
    <row r="197" spans="1:27" x14ac:dyDescent="0.2">
      <c r="A197" s="9">
        <v>0.74720266666666668</v>
      </c>
      <c r="B197" s="4">
        <v>1</v>
      </c>
      <c r="C197" s="4">
        <v>0.435</v>
      </c>
      <c r="D197" s="4">
        <v>0.32</v>
      </c>
      <c r="E197" s="4">
        <v>0.12</v>
      </c>
      <c r="F197" s="4">
        <v>0.3785</v>
      </c>
      <c r="V197" s="3">
        <v>1.0293666666666668</v>
      </c>
      <c r="W197" s="2">
        <v>1</v>
      </c>
      <c r="X197" s="2">
        <v>0.61499999999999999</v>
      </c>
      <c r="Y197" s="2">
        <v>0.495</v>
      </c>
      <c r="Z197" s="2">
        <v>0.2</v>
      </c>
      <c r="AA197" s="2">
        <v>1.2190000000000001</v>
      </c>
    </row>
    <row r="198" spans="1:27" x14ac:dyDescent="0.2">
      <c r="A198" s="9">
        <v>0.7476626666666667</v>
      </c>
      <c r="B198" s="4">
        <v>1</v>
      </c>
      <c r="C198" s="4">
        <v>0.42499999999999999</v>
      </c>
      <c r="D198" s="4">
        <v>0.32</v>
      </c>
      <c r="E198" s="4">
        <v>8.5000000000000006E-2</v>
      </c>
      <c r="F198" s="4">
        <v>0.26200000000000001</v>
      </c>
      <c r="V198" s="3">
        <v>1.0294266666666667</v>
      </c>
      <c r="W198" s="2">
        <v>1</v>
      </c>
      <c r="X198" s="2">
        <v>0.64</v>
      </c>
      <c r="Y198" s="2">
        <v>0.51500000000000001</v>
      </c>
      <c r="Z198" s="2">
        <v>0.08</v>
      </c>
      <c r="AA198" s="2">
        <v>1.042</v>
      </c>
    </row>
    <row r="199" spans="1:27" x14ac:dyDescent="0.2">
      <c r="A199" s="9">
        <v>0.74770366666666677</v>
      </c>
      <c r="B199" s="4">
        <v>1</v>
      </c>
      <c r="C199" s="4">
        <v>0.42</v>
      </c>
      <c r="D199" s="4">
        <v>0.32500000000000001</v>
      </c>
      <c r="E199" s="4">
        <v>0.115</v>
      </c>
      <c r="F199" s="4">
        <v>0.28849999999999998</v>
      </c>
      <c r="V199" s="3">
        <v>1.0294941666666668</v>
      </c>
      <c r="W199" s="2">
        <v>1</v>
      </c>
      <c r="X199" s="2">
        <v>0.65</v>
      </c>
      <c r="Y199" s="2">
        <v>0.5</v>
      </c>
      <c r="Z199" s="2">
        <v>0.17</v>
      </c>
      <c r="AA199" s="2">
        <v>1.4045000000000001</v>
      </c>
    </row>
    <row r="200" spans="1:27" x14ac:dyDescent="0.2">
      <c r="A200" s="9">
        <v>0.74774266666666667</v>
      </c>
      <c r="B200" s="4">
        <v>1</v>
      </c>
      <c r="C200" s="4">
        <v>0.42499999999999999</v>
      </c>
      <c r="D200" s="4">
        <v>0.32500000000000001</v>
      </c>
      <c r="E200" s="4">
        <v>0.11</v>
      </c>
      <c r="F200" s="4">
        <v>0.317</v>
      </c>
      <c r="V200" s="3">
        <v>1.0295191666666665</v>
      </c>
      <c r="W200" s="2">
        <v>1</v>
      </c>
      <c r="X200" s="2">
        <v>0.63500000000000001</v>
      </c>
      <c r="Y200" s="2">
        <v>0.48499999999999999</v>
      </c>
      <c r="Z200" s="2">
        <v>0.155</v>
      </c>
      <c r="AA200" s="2">
        <v>1.073</v>
      </c>
    </row>
    <row r="201" spans="1:27" x14ac:dyDescent="0.2">
      <c r="A201" s="9">
        <v>0.74775199999999997</v>
      </c>
      <c r="B201" s="4">
        <v>1</v>
      </c>
      <c r="C201" s="4">
        <v>0.435</v>
      </c>
      <c r="D201" s="4">
        <v>0.32500000000000001</v>
      </c>
      <c r="E201" s="4">
        <v>0.12</v>
      </c>
      <c r="F201" s="4">
        <v>0.39950000000000002</v>
      </c>
      <c r="V201" s="3">
        <v>1.0296937500000001</v>
      </c>
      <c r="W201" s="2">
        <v>1</v>
      </c>
      <c r="X201" s="2">
        <v>0.63</v>
      </c>
      <c r="Y201" s="2">
        <v>0.51</v>
      </c>
      <c r="Z201" s="2">
        <v>0.17499999999999999</v>
      </c>
      <c r="AA201" s="2">
        <v>1.3414999999999999</v>
      </c>
    </row>
    <row r="202" spans="1:27" x14ac:dyDescent="0.2">
      <c r="A202" s="9">
        <v>0.74802666666666662</v>
      </c>
      <c r="B202" s="4">
        <v>1</v>
      </c>
      <c r="C202" s="4">
        <v>0.435</v>
      </c>
      <c r="D202" s="4">
        <v>0.32500000000000001</v>
      </c>
      <c r="E202" s="4">
        <v>0.1</v>
      </c>
      <c r="F202" s="4">
        <v>0.36599999999999999</v>
      </c>
      <c r="V202" s="3">
        <v>1.0297000000000001</v>
      </c>
      <c r="W202" s="2">
        <v>1</v>
      </c>
      <c r="X202" s="2">
        <v>0.64500000000000002</v>
      </c>
      <c r="Y202" s="2">
        <v>0.52500000000000002</v>
      </c>
      <c r="Z202" s="2">
        <v>0.16</v>
      </c>
      <c r="AA202" s="2">
        <v>1.5075000000000001</v>
      </c>
    </row>
    <row r="203" spans="1:27" x14ac:dyDescent="0.2">
      <c r="A203" s="9">
        <v>0.74803066666666673</v>
      </c>
      <c r="B203" s="4">
        <v>1</v>
      </c>
      <c r="C203" s="4">
        <v>0.435</v>
      </c>
      <c r="D203" s="4">
        <v>0.33</v>
      </c>
      <c r="E203" s="4">
        <v>0.11</v>
      </c>
      <c r="F203" s="4">
        <v>0.41299999999999998</v>
      </c>
      <c r="V203" s="3">
        <v>1.0297958333333335</v>
      </c>
      <c r="W203" s="2">
        <v>1</v>
      </c>
      <c r="X203" s="2">
        <v>0.64500000000000002</v>
      </c>
      <c r="Y203" s="2">
        <v>0.52</v>
      </c>
      <c r="Z203" s="2">
        <v>0.17499999999999999</v>
      </c>
      <c r="AA203" s="2">
        <v>1.5609999999999999</v>
      </c>
    </row>
    <row r="204" spans="1:27" x14ac:dyDescent="0.2">
      <c r="A204" s="9">
        <v>0.74862333333333342</v>
      </c>
      <c r="B204" s="4">
        <v>1</v>
      </c>
      <c r="C204" s="4">
        <v>0.44</v>
      </c>
      <c r="D204" s="4">
        <v>0.34499999999999997</v>
      </c>
      <c r="E204" s="4">
        <v>0.115</v>
      </c>
      <c r="F204" s="4">
        <v>0.54500000000000004</v>
      </c>
      <c r="V204" s="3">
        <v>1.0299375000000002</v>
      </c>
      <c r="W204" s="2">
        <v>1</v>
      </c>
      <c r="X204" s="2">
        <v>0.64</v>
      </c>
      <c r="Y204" s="2">
        <v>0.5</v>
      </c>
      <c r="Z204" s="2">
        <v>0.15</v>
      </c>
      <c r="AA204" s="2">
        <v>1.2015</v>
      </c>
    </row>
    <row r="205" spans="1:27" x14ac:dyDescent="0.2">
      <c r="A205" s="9">
        <v>0.74865000000000004</v>
      </c>
      <c r="B205" s="4">
        <v>1</v>
      </c>
      <c r="C205" s="4">
        <v>0.44500000000000001</v>
      </c>
      <c r="D205" s="4">
        <v>0.32500000000000001</v>
      </c>
      <c r="E205" s="4">
        <v>0.125</v>
      </c>
      <c r="F205" s="4">
        <v>0.45500000000000002</v>
      </c>
      <c r="V205" s="3">
        <v>1.0302575</v>
      </c>
      <c r="W205" s="2">
        <v>1</v>
      </c>
      <c r="X205" s="2">
        <v>0.63</v>
      </c>
      <c r="Y205" s="2">
        <v>0.51500000000000001</v>
      </c>
      <c r="Z205" s="2">
        <v>0.155</v>
      </c>
      <c r="AA205" s="2">
        <v>1.2589999999999999</v>
      </c>
    </row>
    <row r="206" spans="1:27" x14ac:dyDescent="0.2">
      <c r="A206" s="9">
        <v>0.74892633333333336</v>
      </c>
      <c r="B206" s="4">
        <v>1</v>
      </c>
      <c r="C206" s="4">
        <v>0.42499999999999999</v>
      </c>
      <c r="D206" s="4">
        <v>0.33</v>
      </c>
      <c r="E206" s="4">
        <v>0.115</v>
      </c>
      <c r="F206" s="4">
        <v>0.32650000000000001</v>
      </c>
      <c r="V206" s="3">
        <v>1.0303354166666667</v>
      </c>
      <c r="W206" s="2">
        <v>1</v>
      </c>
      <c r="X206" s="2">
        <v>0.63500000000000001</v>
      </c>
      <c r="Y206" s="2">
        <v>0.495</v>
      </c>
      <c r="Z206" s="2">
        <v>0.17499999999999999</v>
      </c>
      <c r="AA206" s="2">
        <v>1.2355</v>
      </c>
    </row>
    <row r="207" spans="1:27" x14ac:dyDescent="0.2">
      <c r="A207" s="9">
        <v>0.74896666666666667</v>
      </c>
      <c r="B207" s="4">
        <v>1</v>
      </c>
      <c r="C207" s="4">
        <v>0.42499999999999999</v>
      </c>
      <c r="D207" s="4">
        <v>0.35</v>
      </c>
      <c r="E207" s="4">
        <v>0.1</v>
      </c>
      <c r="F207" s="4">
        <v>0.4425</v>
      </c>
      <c r="V207" s="3">
        <v>1.0306358333333334</v>
      </c>
      <c r="W207" s="2">
        <v>1</v>
      </c>
      <c r="X207" s="2">
        <v>0.67500000000000004</v>
      </c>
      <c r="Y207" s="2">
        <v>0.52500000000000002</v>
      </c>
      <c r="Z207" s="2">
        <v>0.17</v>
      </c>
      <c r="AA207" s="2">
        <v>1.8095000000000001</v>
      </c>
    </row>
    <row r="208" spans="1:27" x14ac:dyDescent="0.2">
      <c r="A208" s="9">
        <v>0.74948999999999999</v>
      </c>
      <c r="B208" s="4">
        <v>1</v>
      </c>
      <c r="C208" s="4">
        <v>0.435</v>
      </c>
      <c r="D208" s="4">
        <v>0.32500000000000001</v>
      </c>
      <c r="E208" s="4">
        <v>0.105</v>
      </c>
      <c r="F208" s="4">
        <v>0.33500000000000002</v>
      </c>
      <c r="V208" s="3">
        <v>1.0307229166666667</v>
      </c>
      <c r="W208" s="2">
        <v>1</v>
      </c>
      <c r="X208" s="2">
        <v>0.65500000000000003</v>
      </c>
      <c r="Y208" s="2">
        <v>0.49</v>
      </c>
      <c r="Z208" s="2">
        <v>0.17499999999999999</v>
      </c>
      <c r="AA208" s="2">
        <v>1.3585</v>
      </c>
    </row>
    <row r="209" spans="1:27" x14ac:dyDescent="0.2">
      <c r="A209" s="9">
        <v>0.74988800000000011</v>
      </c>
      <c r="B209" s="4">
        <v>1</v>
      </c>
      <c r="C209" s="4">
        <v>0.44500000000000001</v>
      </c>
      <c r="D209" s="4">
        <v>0.32</v>
      </c>
      <c r="E209" s="4">
        <v>0.12</v>
      </c>
      <c r="F209" s="4">
        <v>0.378</v>
      </c>
      <c r="V209" s="3">
        <v>1.0310024999999998</v>
      </c>
      <c r="W209" s="2">
        <v>1</v>
      </c>
      <c r="X209" s="2">
        <v>0.63500000000000001</v>
      </c>
      <c r="Y209" s="2">
        <v>0.505</v>
      </c>
      <c r="Z209" s="2">
        <v>0.16500000000000001</v>
      </c>
      <c r="AA209" s="2">
        <v>1.2509999999999999</v>
      </c>
    </row>
    <row r="210" spans="1:27" x14ac:dyDescent="0.2">
      <c r="A210" s="9">
        <v>0.75005166666666667</v>
      </c>
      <c r="B210" s="4">
        <v>1</v>
      </c>
      <c r="C210" s="4">
        <v>0.44</v>
      </c>
      <c r="D210" s="4">
        <v>0.34</v>
      </c>
      <c r="E210" s="4">
        <v>0.125</v>
      </c>
      <c r="F210" s="4">
        <v>0.48949999999999999</v>
      </c>
      <c r="V210" s="3">
        <v>1.0310633333333332</v>
      </c>
      <c r="W210" s="2">
        <v>1</v>
      </c>
      <c r="X210" s="2">
        <v>0.63500000000000001</v>
      </c>
      <c r="Y210" s="2">
        <v>0.51</v>
      </c>
      <c r="Z210" s="2">
        <v>0.21</v>
      </c>
      <c r="AA210" s="2">
        <v>1.5980000000000001</v>
      </c>
    </row>
    <row r="211" spans="1:27" x14ac:dyDescent="0.2">
      <c r="A211" s="9">
        <v>0.75034566666666669</v>
      </c>
      <c r="B211" s="4">
        <v>1</v>
      </c>
      <c r="C211" s="4">
        <v>0.43</v>
      </c>
      <c r="D211" s="4">
        <v>0.34499999999999997</v>
      </c>
      <c r="E211" s="4">
        <v>0.115</v>
      </c>
      <c r="F211" s="4">
        <v>0.42949999999999999</v>
      </c>
      <c r="V211" s="3">
        <v>1.0316933333333334</v>
      </c>
      <c r="W211" s="2">
        <v>1</v>
      </c>
      <c r="X211" s="2">
        <v>0.63</v>
      </c>
      <c r="Y211" s="2">
        <v>0.505</v>
      </c>
      <c r="Z211" s="2">
        <v>0.18</v>
      </c>
      <c r="AA211" s="2">
        <v>1.272</v>
      </c>
    </row>
    <row r="212" spans="1:27" x14ac:dyDescent="0.2">
      <c r="A212" s="9">
        <v>0.75056266666666671</v>
      </c>
      <c r="B212" s="4">
        <v>1</v>
      </c>
      <c r="C212" s="4">
        <v>0.43</v>
      </c>
      <c r="D212" s="4">
        <v>0.34</v>
      </c>
      <c r="E212" s="4">
        <v>0.11</v>
      </c>
      <c r="F212" s="4">
        <v>0.38200000000000001</v>
      </c>
      <c r="V212" s="3">
        <v>1.0318000000000001</v>
      </c>
      <c r="W212" s="2">
        <v>1</v>
      </c>
      <c r="X212" s="2">
        <v>0.64500000000000002</v>
      </c>
      <c r="Y212" s="2">
        <v>0.51</v>
      </c>
      <c r="Z212" s="2">
        <v>0.16</v>
      </c>
      <c r="AA212" s="2">
        <v>1.33</v>
      </c>
    </row>
    <row r="213" spans="1:27" x14ac:dyDescent="0.2">
      <c r="A213" s="9">
        <v>0.75064000000000008</v>
      </c>
      <c r="B213" s="4">
        <v>1</v>
      </c>
      <c r="C213" s="4">
        <v>0.44</v>
      </c>
      <c r="D213" s="4">
        <v>0.33</v>
      </c>
      <c r="E213" s="4">
        <v>0.11</v>
      </c>
      <c r="F213" s="4">
        <v>0.38</v>
      </c>
      <c r="V213" s="3">
        <v>1.0318066666666665</v>
      </c>
      <c r="W213" s="2">
        <v>1</v>
      </c>
      <c r="X213" s="2">
        <v>0.64500000000000002</v>
      </c>
      <c r="Y213" s="2">
        <v>0.5</v>
      </c>
      <c r="Z213" s="2">
        <v>0.16</v>
      </c>
      <c r="AA213" s="2">
        <v>1.2464999999999999</v>
      </c>
    </row>
    <row r="214" spans="1:27" x14ac:dyDescent="0.2">
      <c r="A214" s="9">
        <v>0.75115200000000004</v>
      </c>
      <c r="B214" s="4">
        <v>1</v>
      </c>
      <c r="C214" s="4">
        <v>0.44</v>
      </c>
      <c r="D214" s="4">
        <v>0.34499999999999997</v>
      </c>
      <c r="E214" s="4">
        <v>0.12</v>
      </c>
      <c r="F214" s="4">
        <v>0.48699999999999999</v>
      </c>
      <c r="V214" s="3">
        <v>1.0319</v>
      </c>
      <c r="W214" s="2">
        <v>1</v>
      </c>
      <c r="X214" s="2">
        <v>0.63</v>
      </c>
      <c r="Y214" s="2">
        <v>0.49</v>
      </c>
      <c r="Z214" s="2">
        <v>0.18</v>
      </c>
      <c r="AA214" s="2">
        <v>1.1299999999999999</v>
      </c>
    </row>
    <row r="215" spans="1:27" x14ac:dyDescent="0.2">
      <c r="A215" s="9">
        <v>0.75119066666666667</v>
      </c>
      <c r="B215" s="4">
        <v>1</v>
      </c>
      <c r="C215" s="4">
        <v>0.45</v>
      </c>
      <c r="D215" s="4">
        <v>0.32500000000000001</v>
      </c>
      <c r="E215" s="4">
        <v>0.13500000000000001</v>
      </c>
      <c r="F215" s="4">
        <v>0.438</v>
      </c>
      <c r="V215" s="3">
        <v>1.0322616666666664</v>
      </c>
      <c r="W215" s="2">
        <v>1</v>
      </c>
      <c r="X215" s="2">
        <v>0.63500000000000001</v>
      </c>
      <c r="Y215" s="2">
        <v>0.5</v>
      </c>
      <c r="Z215" s="2">
        <v>0.18</v>
      </c>
      <c r="AA215" s="2">
        <v>1.2565</v>
      </c>
    </row>
    <row r="216" spans="1:27" x14ac:dyDescent="0.2">
      <c r="A216" s="9">
        <v>0.75120866666666664</v>
      </c>
      <c r="B216" s="4">
        <v>1</v>
      </c>
      <c r="C216" s="4">
        <v>0.42499999999999999</v>
      </c>
      <c r="D216" s="4">
        <v>0.35</v>
      </c>
      <c r="E216" s="4">
        <v>0.105</v>
      </c>
      <c r="F216" s="4">
        <v>0.39300000000000002</v>
      </c>
      <c r="V216" s="3">
        <v>1.0325458333333333</v>
      </c>
      <c r="W216" s="2">
        <v>1</v>
      </c>
      <c r="X216" s="2">
        <v>0.62</v>
      </c>
      <c r="Y216" s="2">
        <v>0.51500000000000001</v>
      </c>
      <c r="Z216" s="2">
        <v>0.17499999999999999</v>
      </c>
      <c r="AA216" s="2">
        <v>1.2210000000000001</v>
      </c>
    </row>
    <row r="217" spans="1:27" x14ac:dyDescent="0.2">
      <c r="A217" s="9">
        <v>0.75164799999999998</v>
      </c>
      <c r="B217" s="4">
        <v>1</v>
      </c>
      <c r="C217" s="4">
        <v>0.44</v>
      </c>
      <c r="D217" s="4">
        <v>0.34</v>
      </c>
      <c r="E217" s="4">
        <v>0.12</v>
      </c>
      <c r="F217" s="4">
        <v>0.438</v>
      </c>
      <c r="V217" s="3">
        <v>1.0325666666666669</v>
      </c>
      <c r="W217" s="2">
        <v>1</v>
      </c>
      <c r="X217" s="2">
        <v>0.625</v>
      </c>
      <c r="Y217" s="2">
        <v>0.49</v>
      </c>
      <c r="Z217" s="2">
        <v>0.14499999999999999</v>
      </c>
      <c r="AA217" s="2">
        <v>0.92</v>
      </c>
    </row>
    <row r="218" spans="1:27" x14ac:dyDescent="0.2">
      <c r="A218" s="9">
        <v>0.75188266666666659</v>
      </c>
      <c r="B218" s="4">
        <v>1</v>
      </c>
      <c r="C218" s="4">
        <v>0.435</v>
      </c>
      <c r="D218" s="4">
        <v>0.34</v>
      </c>
      <c r="E218" s="4">
        <v>0.12</v>
      </c>
      <c r="F218" s="4">
        <v>0.39600000000000002</v>
      </c>
      <c r="V218" s="3">
        <v>1.0328504166666665</v>
      </c>
      <c r="W218" s="2">
        <v>1</v>
      </c>
      <c r="X218" s="2">
        <v>0.64</v>
      </c>
      <c r="Y218" s="2">
        <v>0.505</v>
      </c>
      <c r="Z218" s="2">
        <v>0.155</v>
      </c>
      <c r="AA218" s="2">
        <v>1.1955</v>
      </c>
    </row>
    <row r="219" spans="1:27" x14ac:dyDescent="0.2">
      <c r="A219" s="9">
        <v>0.75282400000000005</v>
      </c>
      <c r="B219" s="4">
        <v>1</v>
      </c>
      <c r="C219" s="4">
        <v>0.44500000000000001</v>
      </c>
      <c r="D219" s="4">
        <v>0.33</v>
      </c>
      <c r="E219" s="4">
        <v>0.11</v>
      </c>
      <c r="F219" s="4">
        <v>0.35799999999999998</v>
      </c>
      <c r="V219" s="3">
        <v>1.0328908333333335</v>
      </c>
      <c r="W219" s="2">
        <v>1</v>
      </c>
      <c r="X219" s="2">
        <v>0.625</v>
      </c>
      <c r="Y219" s="2">
        <v>0.5</v>
      </c>
      <c r="Z219" s="2">
        <v>0.17</v>
      </c>
      <c r="AA219" s="2">
        <v>1.0985</v>
      </c>
    </row>
    <row r="220" spans="1:27" x14ac:dyDescent="0.2">
      <c r="A220" s="9">
        <v>0.75292500000000007</v>
      </c>
      <c r="B220" s="4">
        <v>1</v>
      </c>
      <c r="C220" s="4">
        <v>0.45</v>
      </c>
      <c r="D220" s="4">
        <v>0.33500000000000002</v>
      </c>
      <c r="E220" s="4">
        <v>0.125</v>
      </c>
      <c r="F220" s="4">
        <v>0.44750000000000001</v>
      </c>
      <c r="V220" s="3">
        <v>1.0331258333333333</v>
      </c>
      <c r="W220" s="2">
        <v>1</v>
      </c>
      <c r="X220" s="2">
        <v>0.65500000000000003</v>
      </c>
      <c r="Y220" s="2">
        <v>0.505</v>
      </c>
      <c r="Z220" s="2">
        <v>0.16500000000000001</v>
      </c>
      <c r="AA220" s="2">
        <v>1.367</v>
      </c>
    </row>
    <row r="221" spans="1:27" x14ac:dyDescent="0.2">
      <c r="A221" s="9">
        <v>0.752938</v>
      </c>
      <c r="B221" s="4">
        <v>1</v>
      </c>
      <c r="C221" s="4">
        <v>0.44</v>
      </c>
      <c r="D221" s="4">
        <v>0.35</v>
      </c>
      <c r="E221" s="4">
        <v>0.11</v>
      </c>
      <c r="F221" s="4">
        <v>0.45850000000000002</v>
      </c>
      <c r="V221" s="3">
        <v>1.0332912499999998</v>
      </c>
      <c r="W221" s="2">
        <v>1</v>
      </c>
      <c r="X221" s="2">
        <v>0.63500000000000001</v>
      </c>
      <c r="Y221" s="2">
        <v>0.505</v>
      </c>
      <c r="Z221" s="2">
        <v>0.185</v>
      </c>
      <c r="AA221" s="2">
        <v>1.3035000000000001</v>
      </c>
    </row>
    <row r="222" spans="1:27" x14ac:dyDescent="0.2">
      <c r="A222" s="9">
        <v>0.75296466666666673</v>
      </c>
      <c r="B222" s="4">
        <v>1</v>
      </c>
      <c r="C222" s="4">
        <v>0.45500000000000002</v>
      </c>
      <c r="D222" s="4">
        <v>0.33500000000000002</v>
      </c>
      <c r="E222" s="4">
        <v>0.13500000000000001</v>
      </c>
      <c r="F222" s="4">
        <v>0.501</v>
      </c>
      <c r="V222" s="3">
        <v>1.0333749999999999</v>
      </c>
      <c r="W222" s="2">
        <v>1</v>
      </c>
      <c r="X222" s="2">
        <v>0.64500000000000002</v>
      </c>
      <c r="Y222" s="2">
        <v>0.5</v>
      </c>
      <c r="Z222" s="2">
        <v>0.15</v>
      </c>
      <c r="AA222" s="2">
        <v>1.159</v>
      </c>
    </row>
    <row r="223" spans="1:27" x14ac:dyDescent="0.2">
      <c r="A223" s="9">
        <v>0.75311266666666665</v>
      </c>
      <c r="B223" s="4">
        <v>1</v>
      </c>
      <c r="C223" s="4">
        <v>0.45</v>
      </c>
      <c r="D223" s="4">
        <v>0.33500000000000002</v>
      </c>
      <c r="E223" s="4">
        <v>0.11</v>
      </c>
      <c r="F223" s="4">
        <v>0.41949999999999998</v>
      </c>
      <c r="V223" s="3">
        <v>1.0333924999999999</v>
      </c>
      <c r="W223" s="2">
        <v>1</v>
      </c>
      <c r="X223" s="2">
        <v>0.64500000000000002</v>
      </c>
      <c r="Y223" s="2">
        <v>0.51</v>
      </c>
      <c r="Z223" s="2">
        <v>0.19</v>
      </c>
      <c r="AA223" s="2">
        <v>1.4744999999999999</v>
      </c>
    </row>
    <row r="224" spans="1:27" x14ac:dyDescent="0.2">
      <c r="A224" s="9">
        <v>0.75315200000000004</v>
      </c>
      <c r="B224" s="4">
        <v>1</v>
      </c>
      <c r="C224" s="4">
        <v>0.45</v>
      </c>
      <c r="D224" s="4">
        <v>0.34499999999999997</v>
      </c>
      <c r="E224" s="4">
        <v>0.115</v>
      </c>
      <c r="F224" s="4">
        <v>0.496</v>
      </c>
      <c r="V224" s="3">
        <v>1.0335066666666668</v>
      </c>
      <c r="W224" s="2">
        <v>1</v>
      </c>
      <c r="X224" s="2">
        <v>0.65500000000000003</v>
      </c>
      <c r="Y224" s="2">
        <v>0.49</v>
      </c>
      <c r="Z224" s="2">
        <v>0.16</v>
      </c>
      <c r="AA224" s="2">
        <v>1.204</v>
      </c>
    </row>
    <row r="225" spans="1:27" x14ac:dyDescent="0.2">
      <c r="A225" s="9">
        <v>0.75352533333333338</v>
      </c>
      <c r="B225" s="4">
        <v>1</v>
      </c>
      <c r="C225" s="4">
        <v>0.48499999999999999</v>
      </c>
      <c r="D225" s="4">
        <v>0.34499999999999997</v>
      </c>
      <c r="E225" s="4">
        <v>0.16</v>
      </c>
      <c r="F225" s="4">
        <v>0.86899999999999999</v>
      </c>
      <c r="V225" s="3">
        <v>1.0336329166666667</v>
      </c>
      <c r="W225" s="2">
        <v>1</v>
      </c>
      <c r="X225" s="2">
        <v>0.64</v>
      </c>
      <c r="Y225" s="2">
        <v>0.51500000000000001</v>
      </c>
      <c r="Z225" s="2">
        <v>0.16500000000000001</v>
      </c>
      <c r="AA225" s="2">
        <v>1.3115000000000001</v>
      </c>
    </row>
    <row r="226" spans="1:27" x14ac:dyDescent="0.2">
      <c r="A226" s="9">
        <v>0.75368266666666672</v>
      </c>
      <c r="B226" s="4">
        <v>1</v>
      </c>
      <c r="C226" s="4">
        <v>0.44</v>
      </c>
      <c r="D226" s="4">
        <v>0.34</v>
      </c>
      <c r="E226" s="4">
        <v>0.105</v>
      </c>
      <c r="F226" s="4">
        <v>0.36399999999999999</v>
      </c>
      <c r="V226" s="3">
        <v>1.0337991666666666</v>
      </c>
      <c r="W226" s="2">
        <v>1</v>
      </c>
      <c r="X226" s="2">
        <v>0.64500000000000002</v>
      </c>
      <c r="Y226" s="2">
        <v>0.5</v>
      </c>
      <c r="Z226" s="2">
        <v>0.19500000000000001</v>
      </c>
      <c r="AA226" s="2">
        <v>1.401</v>
      </c>
    </row>
    <row r="227" spans="1:27" x14ac:dyDescent="0.2">
      <c r="A227" s="9">
        <v>0.75382666666666676</v>
      </c>
      <c r="B227" s="4">
        <v>1</v>
      </c>
      <c r="C227" s="4">
        <v>0.45</v>
      </c>
      <c r="D227" s="4">
        <v>0.34499999999999997</v>
      </c>
      <c r="E227" s="4">
        <v>0.11</v>
      </c>
      <c r="F227" s="4">
        <v>0.47</v>
      </c>
      <c r="V227" s="3">
        <v>1.0340499999999999</v>
      </c>
      <c r="W227" s="2">
        <v>1</v>
      </c>
      <c r="X227" s="2">
        <v>0.64500000000000002</v>
      </c>
      <c r="Y227" s="2">
        <v>0.5</v>
      </c>
      <c r="Z227" s="2">
        <v>0.2</v>
      </c>
      <c r="AA227" s="2">
        <v>1.4285000000000001</v>
      </c>
    </row>
    <row r="228" spans="1:27" x14ac:dyDescent="0.2">
      <c r="A228" s="9">
        <v>0.75394666666666665</v>
      </c>
      <c r="B228" s="4">
        <v>1</v>
      </c>
      <c r="C228" s="4">
        <v>0.44</v>
      </c>
      <c r="D228" s="4">
        <v>0.35</v>
      </c>
      <c r="E228" s="4">
        <v>0.125</v>
      </c>
      <c r="F228" s="4">
        <v>0.45600000000000002</v>
      </c>
      <c r="V228" s="3">
        <v>1.0341850000000001</v>
      </c>
      <c r="W228" s="2">
        <v>1</v>
      </c>
      <c r="X228" s="2">
        <v>0.65</v>
      </c>
      <c r="Y228" s="2">
        <v>0.49</v>
      </c>
      <c r="Z228" s="2">
        <v>0.155</v>
      </c>
      <c r="AA228" s="2">
        <v>1.1220000000000001</v>
      </c>
    </row>
    <row r="229" spans="1:27" x14ac:dyDescent="0.2">
      <c r="A229" s="9">
        <v>0.75395499999999993</v>
      </c>
      <c r="B229" s="4">
        <v>1</v>
      </c>
      <c r="C229" s="4">
        <v>0.44</v>
      </c>
      <c r="D229" s="4">
        <v>0.34</v>
      </c>
      <c r="E229" s="4">
        <v>0.13500000000000001</v>
      </c>
      <c r="F229" s="4">
        <v>0.39750000000000002</v>
      </c>
      <c r="V229" s="3">
        <v>1.0342516666666668</v>
      </c>
      <c r="W229" s="2">
        <v>1</v>
      </c>
      <c r="X229" s="2">
        <v>0.65</v>
      </c>
      <c r="Y229" s="2">
        <v>0.5</v>
      </c>
      <c r="Z229" s="2">
        <v>0.155</v>
      </c>
      <c r="AA229" s="2">
        <v>1.202</v>
      </c>
    </row>
    <row r="230" spans="1:27" x14ac:dyDescent="0.2">
      <c r="A230" s="9">
        <v>0.75438033333333332</v>
      </c>
      <c r="B230" s="4">
        <v>1</v>
      </c>
      <c r="C230" s="4">
        <v>0.45</v>
      </c>
      <c r="D230" s="4">
        <v>0.33500000000000002</v>
      </c>
      <c r="E230" s="4">
        <v>0.115</v>
      </c>
      <c r="F230" s="4">
        <v>0.39350000000000002</v>
      </c>
      <c r="V230" s="3">
        <v>1.03439375</v>
      </c>
      <c r="W230" s="2">
        <v>1</v>
      </c>
      <c r="X230" s="2">
        <v>0.65</v>
      </c>
      <c r="Y230" s="2">
        <v>0.52</v>
      </c>
      <c r="Z230" s="2">
        <v>0.19500000000000001</v>
      </c>
      <c r="AA230" s="2">
        <v>1.6274999999999999</v>
      </c>
    </row>
    <row r="231" spans="1:27" x14ac:dyDescent="0.2">
      <c r="A231" s="9">
        <v>0.75445333333333342</v>
      </c>
      <c r="B231" s="4">
        <v>1</v>
      </c>
      <c r="C231" s="4">
        <v>0.45500000000000002</v>
      </c>
      <c r="D231" s="4">
        <v>0.33</v>
      </c>
      <c r="E231" s="4">
        <v>0.1</v>
      </c>
      <c r="F231" s="4">
        <v>0.372</v>
      </c>
      <c r="V231" s="3">
        <v>1.0344116666666667</v>
      </c>
      <c r="W231" s="2">
        <v>1</v>
      </c>
      <c r="X231" s="2">
        <v>0.67500000000000004</v>
      </c>
      <c r="Y231" s="2">
        <v>0.52500000000000002</v>
      </c>
      <c r="Z231" s="2">
        <v>0.17</v>
      </c>
      <c r="AA231" s="2">
        <v>1.7110000000000001</v>
      </c>
    </row>
    <row r="232" spans="1:27" x14ac:dyDescent="0.2">
      <c r="A232" s="9">
        <v>0.75503199999999993</v>
      </c>
      <c r="B232" s="4">
        <v>1</v>
      </c>
      <c r="C232" s="4">
        <v>0.44</v>
      </c>
      <c r="D232" s="4">
        <v>0.35</v>
      </c>
      <c r="E232" s="4">
        <v>0.14000000000000001</v>
      </c>
      <c r="F232" s="4">
        <v>0.45100000000000001</v>
      </c>
      <c r="V232" s="3">
        <v>1.0346716666666667</v>
      </c>
      <c r="W232" s="2">
        <v>1</v>
      </c>
      <c r="X232" s="2">
        <v>0.64</v>
      </c>
      <c r="Y232" s="2">
        <v>0.495</v>
      </c>
      <c r="Z232" s="2">
        <v>0.17</v>
      </c>
      <c r="AA232" s="2">
        <v>1.139</v>
      </c>
    </row>
    <row r="233" spans="1:27" x14ac:dyDescent="0.2">
      <c r="A233" s="9">
        <v>0.75529666666666673</v>
      </c>
      <c r="B233" s="4">
        <v>1</v>
      </c>
      <c r="C233" s="4">
        <v>0.44</v>
      </c>
      <c r="D233" s="4">
        <v>0.35</v>
      </c>
      <c r="E233" s="4">
        <v>0.13500000000000001</v>
      </c>
      <c r="F233" s="4">
        <v>0.435</v>
      </c>
      <c r="V233" s="3">
        <v>1.0346900000000001</v>
      </c>
      <c r="W233" s="2">
        <v>1</v>
      </c>
      <c r="X233" s="2">
        <v>0.65</v>
      </c>
      <c r="Y233" s="2">
        <v>0.51500000000000001</v>
      </c>
      <c r="Z233" s="2">
        <v>0.18</v>
      </c>
      <c r="AA233" s="2">
        <v>1.4630000000000001</v>
      </c>
    </row>
    <row r="234" spans="1:27" x14ac:dyDescent="0.2">
      <c r="A234" s="9">
        <v>0.75548000000000004</v>
      </c>
      <c r="B234" s="4">
        <v>1</v>
      </c>
      <c r="C234" s="4">
        <v>0.44500000000000001</v>
      </c>
      <c r="D234" s="4">
        <v>0.35</v>
      </c>
      <c r="E234" s="4">
        <v>0.12</v>
      </c>
      <c r="F234" s="4">
        <v>0.4425</v>
      </c>
      <c r="V234" s="3">
        <v>1.0347599999999999</v>
      </c>
      <c r="W234" s="2">
        <v>1</v>
      </c>
      <c r="X234" s="2">
        <v>0.64</v>
      </c>
      <c r="Y234" s="2">
        <v>0.48499999999999999</v>
      </c>
      <c r="Z234" s="2">
        <v>0.16</v>
      </c>
      <c r="AA234" s="2">
        <v>1.006</v>
      </c>
    </row>
    <row r="235" spans="1:27" x14ac:dyDescent="0.2">
      <c r="A235" s="9">
        <v>0.75574666666666668</v>
      </c>
      <c r="B235" s="4">
        <v>1</v>
      </c>
      <c r="C235" s="4">
        <v>0.44</v>
      </c>
      <c r="D235" s="4">
        <v>0.36499999999999999</v>
      </c>
      <c r="E235" s="4">
        <v>0.125</v>
      </c>
      <c r="F235" s="4">
        <v>0.51600000000000001</v>
      </c>
      <c r="V235" s="3">
        <v>1.0350120833333332</v>
      </c>
      <c r="W235" s="2">
        <v>1</v>
      </c>
      <c r="X235" s="2">
        <v>0.66</v>
      </c>
      <c r="Y235" s="2">
        <v>0.51500000000000001</v>
      </c>
      <c r="Z235" s="2">
        <v>0.16500000000000001</v>
      </c>
      <c r="AA235" s="2">
        <v>1.4464999999999999</v>
      </c>
    </row>
    <row r="236" spans="1:27" x14ac:dyDescent="0.2">
      <c r="A236" s="9">
        <v>0.75581433333333337</v>
      </c>
      <c r="B236" s="4">
        <v>1</v>
      </c>
      <c r="C236" s="4">
        <v>0.45</v>
      </c>
      <c r="D236" s="4">
        <v>0.34499999999999997</v>
      </c>
      <c r="E236" s="4">
        <v>0.105</v>
      </c>
      <c r="F236" s="4">
        <v>0.41149999999999998</v>
      </c>
      <c r="V236" s="3">
        <v>1.0350229166666667</v>
      </c>
      <c r="W236" s="2">
        <v>1</v>
      </c>
      <c r="X236" s="2">
        <v>0.63</v>
      </c>
      <c r="Y236" s="2">
        <v>0.5</v>
      </c>
      <c r="Z236" s="2">
        <v>0.17499999999999999</v>
      </c>
      <c r="AA236" s="2">
        <v>1.1105</v>
      </c>
    </row>
    <row r="237" spans="1:27" x14ac:dyDescent="0.2">
      <c r="A237" s="9">
        <v>0.75583500000000003</v>
      </c>
      <c r="B237" s="4">
        <v>1</v>
      </c>
      <c r="C237" s="4">
        <v>0.45</v>
      </c>
      <c r="D237" s="4">
        <v>0.34</v>
      </c>
      <c r="E237" s="4">
        <v>0.125</v>
      </c>
      <c r="F237" s="4">
        <v>0.40450000000000003</v>
      </c>
      <c r="V237" s="3">
        <v>1.0353308333333333</v>
      </c>
      <c r="W237" s="2">
        <v>1</v>
      </c>
      <c r="X237" s="2">
        <v>0.63500000000000001</v>
      </c>
      <c r="Y237" s="2">
        <v>0.51500000000000001</v>
      </c>
      <c r="Z237" s="2">
        <v>0.19</v>
      </c>
      <c r="AA237" s="2">
        <v>1.3714999999999999</v>
      </c>
    </row>
    <row r="238" spans="1:27" x14ac:dyDescent="0.2">
      <c r="A238" s="9">
        <v>0.75584333333333342</v>
      </c>
      <c r="B238" s="4">
        <v>1</v>
      </c>
      <c r="C238" s="4">
        <v>0.46</v>
      </c>
      <c r="D238" s="4">
        <v>0.34</v>
      </c>
      <c r="E238" s="4">
        <v>0.13500000000000001</v>
      </c>
      <c r="F238" s="4">
        <v>0.495</v>
      </c>
      <c r="V238" s="3">
        <v>1.0356541666666668</v>
      </c>
      <c r="W238" s="2">
        <v>1</v>
      </c>
      <c r="X238" s="2">
        <v>0.65</v>
      </c>
      <c r="Y238" s="2">
        <v>0.495</v>
      </c>
      <c r="Z238" s="2">
        <v>0.17499999999999999</v>
      </c>
      <c r="AA238" s="2">
        <v>1.2270000000000001</v>
      </c>
    </row>
    <row r="239" spans="1:27" x14ac:dyDescent="0.2">
      <c r="A239" s="9">
        <v>0.75586133333333339</v>
      </c>
      <c r="B239" s="4">
        <v>1</v>
      </c>
      <c r="C239" s="4">
        <v>0.45</v>
      </c>
      <c r="D239" s="4">
        <v>0.35</v>
      </c>
      <c r="E239" s="4">
        <v>0.12</v>
      </c>
      <c r="F239" s="4">
        <v>0.46800000000000003</v>
      </c>
      <c r="V239" s="3">
        <v>1.0358233333333333</v>
      </c>
      <c r="W239" s="2">
        <v>1</v>
      </c>
      <c r="X239" s="2">
        <v>0.66</v>
      </c>
      <c r="Y239" s="2">
        <v>0.51500000000000001</v>
      </c>
      <c r="Z239" s="2">
        <v>0.18</v>
      </c>
      <c r="AA239" s="2">
        <v>1.5229999999999999</v>
      </c>
    </row>
    <row r="240" spans="1:27" x14ac:dyDescent="0.2">
      <c r="A240" s="9">
        <v>0.75626199999999999</v>
      </c>
      <c r="B240" s="4">
        <v>1</v>
      </c>
      <c r="C240" s="4">
        <v>0.44500000000000001</v>
      </c>
      <c r="D240" s="4">
        <v>0.35499999999999998</v>
      </c>
      <c r="E240" s="4">
        <v>0.11</v>
      </c>
      <c r="F240" s="4">
        <v>0.4415</v>
      </c>
      <c r="V240" s="3">
        <v>1.0361979166666666</v>
      </c>
      <c r="W240" s="2">
        <v>1</v>
      </c>
      <c r="X240" s="2">
        <v>0.63500000000000001</v>
      </c>
      <c r="Y240" s="2">
        <v>0.51</v>
      </c>
      <c r="Z240" s="2">
        <v>0.17499999999999999</v>
      </c>
      <c r="AA240" s="2">
        <v>1.2124999999999999</v>
      </c>
    </row>
    <row r="241" spans="1:27" x14ac:dyDescent="0.2">
      <c r="A241" s="9">
        <v>0.75635666666666657</v>
      </c>
      <c r="B241" s="4">
        <v>1</v>
      </c>
      <c r="C241" s="4">
        <v>0.48</v>
      </c>
      <c r="D241" s="4">
        <v>0.35</v>
      </c>
      <c r="E241" s="4">
        <v>0.105</v>
      </c>
      <c r="F241" s="4">
        <v>0.63500000000000001</v>
      </c>
      <c r="V241" s="3">
        <v>1.0362608333333332</v>
      </c>
      <c r="W241" s="2">
        <v>1</v>
      </c>
      <c r="X241" s="2">
        <v>0.64500000000000002</v>
      </c>
      <c r="Y241" s="2">
        <v>0.5</v>
      </c>
      <c r="Z241" s="2">
        <v>0.17</v>
      </c>
      <c r="AA241" s="2">
        <v>1.1845000000000001</v>
      </c>
    </row>
    <row r="242" spans="1:27" x14ac:dyDescent="0.2">
      <c r="A242" s="9">
        <v>0.75645066666666683</v>
      </c>
      <c r="B242" s="4">
        <v>1</v>
      </c>
      <c r="C242" s="4">
        <v>0.45</v>
      </c>
      <c r="D242" s="4">
        <v>0.34499999999999997</v>
      </c>
      <c r="E242" s="4">
        <v>0.12</v>
      </c>
      <c r="F242" s="4">
        <v>0.41649999999999998</v>
      </c>
      <c r="V242" s="3">
        <v>1.0364612500000001</v>
      </c>
      <c r="W242" s="2">
        <v>1</v>
      </c>
      <c r="X242" s="2">
        <v>0.65500000000000003</v>
      </c>
      <c r="Y242" s="2">
        <v>0.52</v>
      </c>
      <c r="Z242" s="2">
        <v>0.16500000000000001</v>
      </c>
      <c r="AA242" s="2">
        <v>1.4095</v>
      </c>
    </row>
    <row r="243" spans="1:27" x14ac:dyDescent="0.2">
      <c r="A243" s="9">
        <v>0.75647500000000001</v>
      </c>
      <c r="B243" s="4">
        <v>1</v>
      </c>
      <c r="C243" s="4">
        <v>0.45500000000000002</v>
      </c>
      <c r="D243" s="4">
        <v>0.35499999999999998</v>
      </c>
      <c r="E243" s="4">
        <v>0.125</v>
      </c>
      <c r="F243" s="4">
        <v>0.53249999999999997</v>
      </c>
      <c r="V243" s="3">
        <v>1.0365491666666669</v>
      </c>
      <c r="W243" s="2">
        <v>1</v>
      </c>
      <c r="X243" s="2">
        <v>0.65500000000000003</v>
      </c>
      <c r="Y243" s="2">
        <v>0.51500000000000001</v>
      </c>
      <c r="Z243" s="2">
        <v>0.155</v>
      </c>
      <c r="AA243" s="2">
        <v>1.3089999999999999</v>
      </c>
    </row>
    <row r="244" spans="1:27" x14ac:dyDescent="0.2">
      <c r="A244" s="9">
        <v>0.7567733333333333</v>
      </c>
      <c r="B244" s="4">
        <v>1</v>
      </c>
      <c r="C244" s="4">
        <v>0.46</v>
      </c>
      <c r="D244" s="4">
        <v>0.35</v>
      </c>
      <c r="E244" s="4">
        <v>0.12</v>
      </c>
      <c r="F244" s="4">
        <v>0.51500000000000001</v>
      </c>
      <c r="V244" s="3">
        <v>1.0367833333333332</v>
      </c>
      <c r="W244" s="2">
        <v>1</v>
      </c>
      <c r="X244" s="2">
        <v>0.66</v>
      </c>
      <c r="Y244" s="2">
        <v>0.51500000000000001</v>
      </c>
      <c r="Z244" s="2">
        <v>0.2</v>
      </c>
      <c r="AA244" s="2">
        <v>1.6465000000000001</v>
      </c>
    </row>
    <row r="245" spans="1:27" x14ac:dyDescent="0.2">
      <c r="A245" s="9">
        <v>0.75695733333333326</v>
      </c>
      <c r="B245" s="4">
        <v>1</v>
      </c>
      <c r="C245" s="4">
        <v>0.45500000000000002</v>
      </c>
      <c r="D245" s="4">
        <v>0.35</v>
      </c>
      <c r="E245" s="4">
        <v>0.11</v>
      </c>
      <c r="F245" s="4">
        <v>0.45800000000000002</v>
      </c>
      <c r="V245" s="3">
        <v>1.0369833333333331</v>
      </c>
      <c r="W245" s="2">
        <v>1</v>
      </c>
      <c r="X245" s="2">
        <v>0.64</v>
      </c>
      <c r="Y245" s="2">
        <v>0.51</v>
      </c>
      <c r="Z245" s="2">
        <v>0.2</v>
      </c>
      <c r="AA245" s="2">
        <v>1.3905000000000001</v>
      </c>
    </row>
    <row r="246" spans="1:27" x14ac:dyDescent="0.2">
      <c r="A246" s="9">
        <v>0.75718933333333338</v>
      </c>
      <c r="B246" s="4">
        <v>1</v>
      </c>
      <c r="C246" s="4">
        <v>0.49</v>
      </c>
      <c r="D246" s="4">
        <v>0.35499999999999998</v>
      </c>
      <c r="E246" s="4">
        <v>0.16</v>
      </c>
      <c r="F246" s="4">
        <v>0.87949999999999995</v>
      </c>
      <c r="V246" s="3">
        <v>1.0369983333333335</v>
      </c>
      <c r="W246" s="2">
        <v>1</v>
      </c>
      <c r="X246" s="2">
        <v>0.65</v>
      </c>
      <c r="Y246" s="2">
        <v>0.54500000000000004</v>
      </c>
      <c r="Z246" s="2">
        <v>0.16500000000000001</v>
      </c>
      <c r="AA246" s="2">
        <v>1.5660000000000001</v>
      </c>
    </row>
    <row r="247" spans="1:27" x14ac:dyDescent="0.2">
      <c r="A247" s="9">
        <v>0.7572000000000001</v>
      </c>
      <c r="B247" s="4">
        <v>1</v>
      </c>
      <c r="C247" s="4">
        <v>0.45500000000000002</v>
      </c>
      <c r="D247" s="4">
        <v>0.34499999999999997</v>
      </c>
      <c r="E247" s="4">
        <v>0.125</v>
      </c>
      <c r="F247" s="4">
        <v>0.44</v>
      </c>
      <c r="V247" s="3">
        <v>1.0371400000000002</v>
      </c>
      <c r="W247" s="2">
        <v>1</v>
      </c>
      <c r="X247" s="2">
        <v>0.625</v>
      </c>
      <c r="Y247" s="2">
        <v>0.52500000000000002</v>
      </c>
      <c r="Z247" s="2">
        <v>0.19500000000000001</v>
      </c>
      <c r="AA247" s="2">
        <v>1.3520000000000001</v>
      </c>
    </row>
    <row r="248" spans="1:27" x14ac:dyDescent="0.2">
      <c r="A248" s="9">
        <v>0.75729266666666673</v>
      </c>
      <c r="B248" s="4">
        <v>1</v>
      </c>
      <c r="C248" s="4">
        <v>0.45</v>
      </c>
      <c r="D248" s="4">
        <v>0.34</v>
      </c>
      <c r="E248" s="4">
        <v>0.13</v>
      </c>
      <c r="F248" s="4">
        <v>0.3715</v>
      </c>
      <c r="V248" s="3">
        <v>1.0373041666666667</v>
      </c>
      <c r="W248" s="2">
        <v>1</v>
      </c>
      <c r="X248" s="2">
        <v>0.66</v>
      </c>
      <c r="Y248" s="2">
        <v>0.53</v>
      </c>
      <c r="Z248" s="2">
        <v>0.17499999999999999</v>
      </c>
      <c r="AA248" s="2">
        <v>1.583</v>
      </c>
    </row>
    <row r="249" spans="1:27" x14ac:dyDescent="0.2">
      <c r="A249" s="9">
        <v>0.75738266666666665</v>
      </c>
      <c r="B249" s="4">
        <v>1</v>
      </c>
      <c r="C249" s="4">
        <v>0.46500000000000002</v>
      </c>
      <c r="D249" s="4">
        <v>0.35</v>
      </c>
      <c r="E249" s="4">
        <v>0.14000000000000001</v>
      </c>
      <c r="F249" s="4">
        <v>0.57550000000000001</v>
      </c>
      <c r="V249" s="3">
        <v>1.0374833333333333</v>
      </c>
      <c r="W249" s="2">
        <v>1</v>
      </c>
      <c r="X249" s="2">
        <v>0.64500000000000002</v>
      </c>
      <c r="Y249" s="2">
        <v>0.52500000000000002</v>
      </c>
      <c r="Z249" s="2">
        <v>0.17</v>
      </c>
      <c r="AA249" s="2">
        <v>1.37</v>
      </c>
    </row>
    <row r="250" spans="1:27" x14ac:dyDescent="0.2">
      <c r="A250" s="9">
        <v>0.75745433333333345</v>
      </c>
      <c r="B250" s="4">
        <v>1</v>
      </c>
      <c r="C250" s="4">
        <v>0.45</v>
      </c>
      <c r="D250" s="4">
        <v>0.36</v>
      </c>
      <c r="E250" s="4">
        <v>0.105</v>
      </c>
      <c r="F250" s="4">
        <v>0.47149999999999997</v>
      </c>
      <c r="V250" s="3">
        <v>1.0376395833333334</v>
      </c>
      <c r="W250" s="2">
        <v>1</v>
      </c>
      <c r="X250" s="2">
        <v>0.68</v>
      </c>
      <c r="Y250" s="2">
        <v>0.51500000000000001</v>
      </c>
      <c r="Z250" s="2">
        <v>0.17499999999999999</v>
      </c>
      <c r="AA250" s="2">
        <v>1.6185</v>
      </c>
    </row>
    <row r="251" spans="1:27" x14ac:dyDescent="0.2">
      <c r="A251" s="9">
        <v>0.7576613333333333</v>
      </c>
      <c r="B251" s="4">
        <v>1</v>
      </c>
      <c r="C251" s="4">
        <v>0.45500000000000002</v>
      </c>
      <c r="D251" s="4">
        <v>0.35</v>
      </c>
      <c r="E251" s="4">
        <v>0.12</v>
      </c>
      <c r="F251" s="4">
        <v>0.45550000000000002</v>
      </c>
      <c r="V251" s="3">
        <v>1.03766</v>
      </c>
      <c r="W251" s="2">
        <v>1</v>
      </c>
      <c r="X251" s="2">
        <v>0.64500000000000002</v>
      </c>
      <c r="Y251" s="2">
        <v>0.51</v>
      </c>
      <c r="Z251" s="2">
        <v>0.16</v>
      </c>
      <c r="AA251" s="2">
        <v>1.1835</v>
      </c>
    </row>
    <row r="252" spans="1:27" x14ac:dyDescent="0.2">
      <c r="A252" s="9">
        <v>0.75768500000000005</v>
      </c>
      <c r="B252" s="4">
        <v>1</v>
      </c>
      <c r="C252" s="4">
        <v>0.45</v>
      </c>
      <c r="D252" s="4">
        <v>0.36</v>
      </c>
      <c r="E252" s="4">
        <v>0.125</v>
      </c>
      <c r="F252" s="4">
        <v>0.4995</v>
      </c>
      <c r="V252" s="3">
        <v>1.0378208333333334</v>
      </c>
      <c r="W252" s="2">
        <v>1</v>
      </c>
      <c r="X252" s="2">
        <v>0.68500000000000005</v>
      </c>
      <c r="Y252" s="2">
        <v>0.51</v>
      </c>
      <c r="Z252" s="2">
        <v>0.16500000000000001</v>
      </c>
      <c r="AA252" s="2">
        <v>1.5449999999999999</v>
      </c>
    </row>
    <row r="253" spans="1:27" x14ac:dyDescent="0.2">
      <c r="A253" s="9">
        <v>0.75785600000000009</v>
      </c>
      <c r="B253" s="4">
        <v>1</v>
      </c>
      <c r="C253" s="4">
        <v>0.45</v>
      </c>
      <c r="D253" s="4">
        <v>0.36</v>
      </c>
      <c r="E253" s="4">
        <v>0.16</v>
      </c>
      <c r="F253" s="4">
        <v>0.56699999999999995</v>
      </c>
      <c r="V253" s="3">
        <v>1.0381158333333333</v>
      </c>
      <c r="W253" s="2">
        <v>1</v>
      </c>
      <c r="X253" s="2">
        <v>0.65</v>
      </c>
      <c r="Y253" s="2">
        <v>0.51</v>
      </c>
      <c r="Z253" s="2">
        <v>0.155</v>
      </c>
      <c r="AA253" s="2">
        <v>1.1890000000000001</v>
      </c>
    </row>
    <row r="254" spans="1:27" x14ac:dyDescent="0.2">
      <c r="A254" s="9">
        <v>0.75851999999999997</v>
      </c>
      <c r="B254" s="4">
        <v>1</v>
      </c>
      <c r="C254" s="4">
        <v>0.46</v>
      </c>
      <c r="D254" s="4">
        <v>0.35</v>
      </c>
      <c r="E254" s="4">
        <v>0.115</v>
      </c>
      <c r="F254" s="4">
        <v>0.46</v>
      </c>
      <c r="V254" s="3">
        <v>1.0382266666666669</v>
      </c>
      <c r="W254" s="2">
        <v>1</v>
      </c>
      <c r="X254" s="2">
        <v>0.65500000000000003</v>
      </c>
      <c r="Y254" s="2">
        <v>0.51500000000000001</v>
      </c>
      <c r="Z254" s="2">
        <v>0.18</v>
      </c>
      <c r="AA254" s="2">
        <v>1.4119999999999999</v>
      </c>
    </row>
    <row r="255" spans="1:27" x14ac:dyDescent="0.2">
      <c r="A255" s="9">
        <v>0.75861000000000001</v>
      </c>
      <c r="B255" s="4">
        <v>1</v>
      </c>
      <c r="C255" s="4">
        <v>0.46</v>
      </c>
      <c r="D255" s="4">
        <v>0.36</v>
      </c>
      <c r="E255" s="4">
        <v>0.125</v>
      </c>
      <c r="F255" s="4">
        <v>0.54700000000000004</v>
      </c>
      <c r="V255" s="3">
        <v>1.0388033333333333</v>
      </c>
      <c r="W255" s="2">
        <v>1</v>
      </c>
      <c r="X255" s="2">
        <v>0.66</v>
      </c>
      <c r="Y255" s="2">
        <v>0.52</v>
      </c>
      <c r="Z255" s="2">
        <v>0.19</v>
      </c>
      <c r="AA255" s="2">
        <v>1.5580000000000001</v>
      </c>
    </row>
    <row r="256" spans="1:27" x14ac:dyDescent="0.2">
      <c r="A256" s="9">
        <v>0.75863333333333338</v>
      </c>
      <c r="B256" s="4">
        <v>1</v>
      </c>
      <c r="C256" s="4">
        <v>0.45</v>
      </c>
      <c r="D256" s="4">
        <v>0.35</v>
      </c>
      <c r="E256" s="4">
        <v>0.1</v>
      </c>
      <c r="F256" s="4">
        <v>0.36749999999999999</v>
      </c>
      <c r="V256" s="3">
        <v>1.0388991666666667</v>
      </c>
      <c r="W256" s="2">
        <v>1</v>
      </c>
      <c r="X256" s="2">
        <v>0.64500000000000002</v>
      </c>
      <c r="Y256" s="2">
        <v>0.51</v>
      </c>
      <c r="Z256" s="2">
        <v>0.155</v>
      </c>
      <c r="AA256" s="2">
        <v>1.129</v>
      </c>
    </row>
    <row r="257" spans="1:27" x14ac:dyDescent="0.2">
      <c r="A257" s="9">
        <v>0.75872133333333336</v>
      </c>
      <c r="B257" s="4">
        <v>1</v>
      </c>
      <c r="C257" s="4">
        <v>0.46</v>
      </c>
      <c r="D257" s="4">
        <v>0.35499999999999998</v>
      </c>
      <c r="E257" s="4">
        <v>0.13</v>
      </c>
      <c r="F257" s="4">
        <v>0.51700000000000002</v>
      </c>
      <c r="V257" s="3">
        <v>1.0391216666666665</v>
      </c>
      <c r="W257" s="2">
        <v>1</v>
      </c>
      <c r="X257" s="2">
        <v>0.72499999999999998</v>
      </c>
      <c r="Y257" s="2">
        <v>0.505</v>
      </c>
      <c r="Z257" s="2">
        <v>0.185</v>
      </c>
      <c r="AA257" s="2">
        <v>1.978</v>
      </c>
    </row>
    <row r="258" spans="1:27" x14ac:dyDescent="0.2">
      <c r="A258" s="9">
        <v>0.75889399999999996</v>
      </c>
      <c r="B258" s="4">
        <v>1</v>
      </c>
      <c r="C258" s="4">
        <v>0.45500000000000002</v>
      </c>
      <c r="D258" s="4">
        <v>0.35</v>
      </c>
      <c r="E258" s="4">
        <v>0.105</v>
      </c>
      <c r="F258" s="4">
        <v>0.40100000000000002</v>
      </c>
      <c r="V258" s="3">
        <v>1.0397516666666669</v>
      </c>
      <c r="W258" s="2">
        <v>1</v>
      </c>
      <c r="X258" s="2">
        <v>0.63</v>
      </c>
      <c r="Y258" s="2">
        <v>0.53</v>
      </c>
      <c r="Z258" s="2">
        <v>0.18</v>
      </c>
      <c r="AA258" s="2">
        <v>1.2795000000000001</v>
      </c>
    </row>
    <row r="259" spans="1:27" x14ac:dyDescent="0.2">
      <c r="A259" s="9">
        <v>0.75980133333333333</v>
      </c>
      <c r="B259" s="4">
        <v>1</v>
      </c>
      <c r="C259" s="4">
        <v>0.44</v>
      </c>
      <c r="D259" s="4">
        <v>0.375</v>
      </c>
      <c r="E259" s="4">
        <v>0.13</v>
      </c>
      <c r="F259" s="4">
        <v>0.48699999999999999</v>
      </c>
      <c r="V259" s="3">
        <v>1.0401220833333336</v>
      </c>
      <c r="W259" s="2">
        <v>1</v>
      </c>
      <c r="X259" s="2">
        <v>0.63</v>
      </c>
      <c r="Y259" s="2">
        <v>0.52500000000000002</v>
      </c>
      <c r="Z259" s="2">
        <v>0.19500000000000001</v>
      </c>
      <c r="AA259" s="2">
        <v>1.3134999999999999</v>
      </c>
    </row>
    <row r="260" spans="1:27" x14ac:dyDescent="0.2">
      <c r="A260" s="9">
        <v>0.76016066666666671</v>
      </c>
      <c r="B260" s="4">
        <v>1</v>
      </c>
      <c r="C260" s="4">
        <v>0.47</v>
      </c>
      <c r="D260" s="4">
        <v>0.35</v>
      </c>
      <c r="E260" s="4">
        <v>0.115</v>
      </c>
      <c r="F260" s="4">
        <v>0.48699999999999999</v>
      </c>
      <c r="V260" s="3">
        <v>1.0403175</v>
      </c>
      <c r="W260" s="2">
        <v>1</v>
      </c>
      <c r="X260" s="2">
        <v>0.67</v>
      </c>
      <c r="Y260" s="2">
        <v>0.51500000000000001</v>
      </c>
      <c r="Z260" s="2">
        <v>0.17</v>
      </c>
      <c r="AA260" s="2">
        <v>1.4265000000000001</v>
      </c>
    </row>
    <row r="261" spans="1:27" x14ac:dyDescent="0.2">
      <c r="A261" s="9">
        <v>0.76020766666666661</v>
      </c>
      <c r="B261" s="4">
        <v>1</v>
      </c>
      <c r="C261" s="4">
        <v>0.46500000000000002</v>
      </c>
      <c r="D261" s="4">
        <v>0.34499999999999997</v>
      </c>
      <c r="E261" s="4">
        <v>0.105</v>
      </c>
      <c r="F261" s="4">
        <v>0.40150000000000002</v>
      </c>
      <c r="V261" s="3">
        <v>1.0403420833333334</v>
      </c>
      <c r="W261" s="2">
        <v>1</v>
      </c>
      <c r="X261" s="2">
        <v>0.67500000000000004</v>
      </c>
      <c r="Y261" s="2">
        <v>0.52</v>
      </c>
      <c r="Z261" s="2">
        <v>0.14499999999999999</v>
      </c>
      <c r="AA261" s="2">
        <v>1.3645</v>
      </c>
    </row>
    <row r="262" spans="1:27" x14ac:dyDescent="0.2">
      <c r="A262" s="9">
        <v>0.76059766666666673</v>
      </c>
      <c r="B262" s="4">
        <v>1</v>
      </c>
      <c r="C262" s="4">
        <v>0.46</v>
      </c>
      <c r="D262" s="4">
        <v>0.36</v>
      </c>
      <c r="E262" s="4">
        <v>0.115</v>
      </c>
      <c r="F262" s="4">
        <v>0.47549999999999998</v>
      </c>
      <c r="V262" s="3">
        <v>1.0411483333333333</v>
      </c>
      <c r="W262" s="2">
        <v>1</v>
      </c>
      <c r="X262" s="2">
        <v>0.67</v>
      </c>
      <c r="Y262" s="2">
        <v>0.51</v>
      </c>
      <c r="Z262" s="2">
        <v>0.155</v>
      </c>
      <c r="AA262" s="2">
        <v>1.278</v>
      </c>
    </row>
    <row r="263" spans="1:27" x14ac:dyDescent="0.2">
      <c r="A263" s="9">
        <v>0.76062833333333335</v>
      </c>
      <c r="B263" s="4">
        <v>1</v>
      </c>
      <c r="C263" s="4">
        <v>0.45500000000000002</v>
      </c>
      <c r="D263" s="4">
        <v>0.37</v>
      </c>
      <c r="E263" s="4">
        <v>0.105</v>
      </c>
      <c r="F263" s="4">
        <v>0.49249999999999999</v>
      </c>
      <c r="V263" s="3">
        <v>1.0412166666666667</v>
      </c>
      <c r="W263" s="2">
        <v>1</v>
      </c>
      <c r="X263" s="2">
        <v>0.64500000000000002</v>
      </c>
      <c r="Y263" s="2">
        <v>0.52</v>
      </c>
      <c r="Z263" s="2">
        <v>0.18</v>
      </c>
      <c r="AA263" s="2">
        <v>1.2849999999999999</v>
      </c>
    </row>
    <row r="264" spans="1:27" x14ac:dyDescent="0.2">
      <c r="A264" s="9">
        <v>0.76068366666666665</v>
      </c>
      <c r="B264" s="4">
        <v>1</v>
      </c>
      <c r="C264" s="4">
        <v>0.48</v>
      </c>
      <c r="D264" s="4">
        <v>0.35499999999999998</v>
      </c>
      <c r="E264" s="4">
        <v>0.115</v>
      </c>
      <c r="F264" s="4">
        <v>0.57850000000000001</v>
      </c>
      <c r="V264" s="3">
        <v>1.0412312500000001</v>
      </c>
      <c r="W264" s="2">
        <v>1</v>
      </c>
      <c r="X264" s="2">
        <v>0.69</v>
      </c>
      <c r="Y264" s="2">
        <v>0.52500000000000002</v>
      </c>
      <c r="Z264" s="2">
        <v>0.17499999999999999</v>
      </c>
      <c r="AA264" s="2">
        <v>1.7004999999999999</v>
      </c>
    </row>
    <row r="265" spans="1:27" x14ac:dyDescent="0.2">
      <c r="A265" s="9">
        <v>0.76074600000000003</v>
      </c>
      <c r="B265" s="4">
        <v>1</v>
      </c>
      <c r="C265" s="4">
        <v>0.46</v>
      </c>
      <c r="D265" s="4">
        <v>0.35</v>
      </c>
      <c r="E265" s="4">
        <v>0.11</v>
      </c>
      <c r="F265" s="4">
        <v>0.39450000000000002</v>
      </c>
      <c r="V265" s="3">
        <v>1.0412354166666666</v>
      </c>
      <c r="W265" s="2">
        <v>1</v>
      </c>
      <c r="X265" s="2">
        <v>0.66500000000000004</v>
      </c>
      <c r="Y265" s="2">
        <v>0.52500000000000002</v>
      </c>
      <c r="Z265" s="2">
        <v>0.155</v>
      </c>
      <c r="AA265" s="2">
        <v>1.3574999999999999</v>
      </c>
    </row>
    <row r="266" spans="1:27" x14ac:dyDescent="0.2">
      <c r="A266" s="9">
        <v>0.76088066666666676</v>
      </c>
      <c r="B266" s="4">
        <v>1</v>
      </c>
      <c r="C266" s="4">
        <v>0.46</v>
      </c>
      <c r="D266" s="4">
        <v>0.35499999999999998</v>
      </c>
      <c r="E266" s="4">
        <v>0.11</v>
      </c>
      <c r="F266" s="4">
        <v>0.42549999999999999</v>
      </c>
      <c r="V266" s="3">
        <v>1.0413354166666666</v>
      </c>
      <c r="W266" s="2">
        <v>1</v>
      </c>
      <c r="X266" s="2">
        <v>0.67</v>
      </c>
      <c r="Y266" s="2">
        <v>0.52</v>
      </c>
      <c r="Z266" s="2">
        <v>0.17499999999999999</v>
      </c>
      <c r="AA266" s="2">
        <v>1.4755</v>
      </c>
    </row>
    <row r="267" spans="1:27" x14ac:dyDescent="0.2">
      <c r="A267" s="9">
        <v>0.76093866666666665</v>
      </c>
      <c r="B267" s="4">
        <v>1</v>
      </c>
      <c r="C267" s="4">
        <v>0.47</v>
      </c>
      <c r="D267" s="4">
        <v>0.36499999999999999</v>
      </c>
      <c r="E267" s="4">
        <v>0.12</v>
      </c>
      <c r="F267" s="4">
        <v>0.58199999999999996</v>
      </c>
      <c r="V267" s="3">
        <v>1.0414049999999999</v>
      </c>
      <c r="W267" s="2">
        <v>1</v>
      </c>
      <c r="X267" s="2">
        <v>0.63500000000000001</v>
      </c>
      <c r="Y267" s="2">
        <v>0.51</v>
      </c>
      <c r="Z267" s="2">
        <v>0.155</v>
      </c>
      <c r="AA267" s="2">
        <v>0.98599999999999999</v>
      </c>
    </row>
    <row r="268" spans="1:27" x14ac:dyDescent="0.2">
      <c r="A268" s="9">
        <v>0.76128666666666678</v>
      </c>
      <c r="B268" s="4">
        <v>1</v>
      </c>
      <c r="C268" s="4">
        <v>0.46</v>
      </c>
      <c r="D268" s="4">
        <v>0.35499999999999998</v>
      </c>
      <c r="E268" s="4">
        <v>0.11</v>
      </c>
      <c r="F268" s="4">
        <v>0.41499999999999998</v>
      </c>
      <c r="V268" s="3">
        <v>1.0419266666666669</v>
      </c>
      <c r="W268" s="2">
        <v>1</v>
      </c>
      <c r="X268" s="2">
        <v>0.65500000000000003</v>
      </c>
      <c r="Y268" s="2">
        <v>0.52500000000000002</v>
      </c>
      <c r="Z268" s="2">
        <v>0.18</v>
      </c>
      <c r="AA268" s="2">
        <v>1.4019999999999999</v>
      </c>
    </row>
    <row r="269" spans="1:27" x14ac:dyDescent="0.2">
      <c r="A269" s="9">
        <v>0.76133466666666672</v>
      </c>
      <c r="B269" s="4">
        <v>1</v>
      </c>
      <c r="C269" s="4">
        <v>0.47</v>
      </c>
      <c r="D269" s="4">
        <v>0.34499999999999997</v>
      </c>
      <c r="E269" s="4">
        <v>0.14000000000000001</v>
      </c>
      <c r="F269" s="4">
        <v>0.46150000000000002</v>
      </c>
      <c r="V269" s="3">
        <v>1.0422175</v>
      </c>
      <c r="W269" s="2">
        <v>1</v>
      </c>
      <c r="X269" s="2">
        <v>0.67500000000000004</v>
      </c>
      <c r="Y269" s="2">
        <v>0.51</v>
      </c>
      <c r="Z269" s="2">
        <v>0.185</v>
      </c>
      <c r="AA269" s="2">
        <v>1.4730000000000001</v>
      </c>
    </row>
    <row r="270" spans="1:27" x14ac:dyDescent="0.2">
      <c r="A270" s="9">
        <v>0.76141600000000009</v>
      </c>
      <c r="B270" s="4">
        <v>1</v>
      </c>
      <c r="C270" s="4">
        <v>0.46</v>
      </c>
      <c r="D270" s="4">
        <v>0.37</v>
      </c>
      <c r="E270" s="4">
        <v>0.12</v>
      </c>
      <c r="F270" s="4">
        <v>0.53349999999999997</v>
      </c>
      <c r="V270" s="3">
        <v>1.0423895833333334</v>
      </c>
      <c r="W270" s="2">
        <v>1</v>
      </c>
      <c r="X270" s="2">
        <v>0.7</v>
      </c>
      <c r="Y270" s="2">
        <v>0.52500000000000002</v>
      </c>
      <c r="Z270" s="2">
        <v>0.17499999999999999</v>
      </c>
      <c r="AA270" s="2">
        <v>1.7585</v>
      </c>
    </row>
    <row r="271" spans="1:27" x14ac:dyDescent="0.2">
      <c r="A271" s="9">
        <v>0.76153666666666675</v>
      </c>
      <c r="B271" s="4">
        <v>1</v>
      </c>
      <c r="C271" s="4">
        <v>0.47499999999999998</v>
      </c>
      <c r="D271" s="4">
        <v>0.37</v>
      </c>
      <c r="E271" s="4">
        <v>0.125</v>
      </c>
      <c r="F271" s="4">
        <v>0.64900000000000002</v>
      </c>
      <c r="V271" s="3">
        <v>1.0431116666666667</v>
      </c>
      <c r="W271" s="2">
        <v>1</v>
      </c>
      <c r="X271" s="2">
        <v>0.64500000000000002</v>
      </c>
      <c r="Y271" s="2">
        <v>0.51</v>
      </c>
      <c r="Z271" s="2">
        <v>0.19500000000000001</v>
      </c>
      <c r="AA271" s="2">
        <v>1.226</v>
      </c>
    </row>
    <row r="272" spans="1:27" x14ac:dyDescent="0.2">
      <c r="A272" s="9">
        <v>0.7617033333333334</v>
      </c>
      <c r="B272" s="4">
        <v>1</v>
      </c>
      <c r="C272" s="4">
        <v>0.47</v>
      </c>
      <c r="D272" s="4">
        <v>0.35499999999999998</v>
      </c>
      <c r="E272" s="4">
        <v>0.125</v>
      </c>
      <c r="F272" s="4">
        <v>0.499</v>
      </c>
      <c r="V272" s="3">
        <v>1.0433641666666666</v>
      </c>
      <c r="W272" s="2">
        <v>1</v>
      </c>
      <c r="X272" s="2">
        <v>0.66</v>
      </c>
      <c r="Y272" s="2">
        <v>0.53</v>
      </c>
      <c r="Z272" s="2">
        <v>0.17</v>
      </c>
      <c r="AA272" s="2">
        <v>1.3905000000000001</v>
      </c>
    </row>
    <row r="273" spans="1:27" x14ac:dyDescent="0.2">
      <c r="A273" s="9">
        <v>0.7618906666666666</v>
      </c>
      <c r="B273" s="4">
        <v>1</v>
      </c>
      <c r="C273" s="4">
        <v>0.47</v>
      </c>
      <c r="D273" s="4">
        <v>0.35</v>
      </c>
      <c r="E273" s="4">
        <v>0.13</v>
      </c>
      <c r="F273" s="4">
        <v>0.46600000000000003</v>
      </c>
      <c r="V273" s="3">
        <v>1.0435274999999999</v>
      </c>
      <c r="W273" s="2">
        <v>1</v>
      </c>
      <c r="X273" s="2">
        <v>0.66500000000000004</v>
      </c>
      <c r="Y273" s="2">
        <v>0.53500000000000003</v>
      </c>
      <c r="Z273" s="2">
        <v>0.155</v>
      </c>
      <c r="AA273" s="2">
        <v>1.383</v>
      </c>
    </row>
    <row r="274" spans="1:27" x14ac:dyDescent="0.2">
      <c r="A274" s="9">
        <v>0.76202066666666679</v>
      </c>
      <c r="B274" s="4">
        <v>1</v>
      </c>
      <c r="C274" s="4">
        <v>0.46</v>
      </c>
      <c r="D274" s="4">
        <v>0.375</v>
      </c>
      <c r="E274" s="4">
        <v>0.13</v>
      </c>
      <c r="F274" s="4">
        <v>0.57350000000000001</v>
      </c>
      <c r="V274" s="3">
        <v>1.04353125</v>
      </c>
      <c r="W274" s="2">
        <v>1</v>
      </c>
      <c r="X274" s="2">
        <v>0.66500000000000004</v>
      </c>
      <c r="Y274" s="2">
        <v>0.52</v>
      </c>
      <c r="Z274" s="2">
        <v>0.17499999999999999</v>
      </c>
      <c r="AA274" s="2">
        <v>1.3725000000000001</v>
      </c>
    </row>
    <row r="275" spans="1:27" x14ac:dyDescent="0.2">
      <c r="A275" s="9">
        <v>0.7622106666666667</v>
      </c>
      <c r="B275" s="4">
        <v>1</v>
      </c>
      <c r="C275" s="4">
        <v>0.46500000000000002</v>
      </c>
      <c r="D275" s="4">
        <v>0.36</v>
      </c>
      <c r="E275" s="4">
        <v>0.12</v>
      </c>
      <c r="F275" s="4">
        <v>0.47649999999999998</v>
      </c>
      <c r="V275" s="3">
        <v>1.0440283333333333</v>
      </c>
      <c r="W275" s="2">
        <v>1</v>
      </c>
      <c r="X275" s="2">
        <v>0.68</v>
      </c>
      <c r="Y275" s="2">
        <v>0.54</v>
      </c>
      <c r="Z275" s="2">
        <v>0.155</v>
      </c>
      <c r="AA275" s="2">
        <v>1.534</v>
      </c>
    </row>
    <row r="276" spans="1:27" x14ac:dyDescent="0.2">
      <c r="A276" s="9">
        <v>0.76222133333333331</v>
      </c>
      <c r="B276" s="4">
        <v>1</v>
      </c>
      <c r="C276" s="4">
        <v>0.46500000000000002</v>
      </c>
      <c r="D276" s="4">
        <v>0.36</v>
      </c>
      <c r="E276" s="4">
        <v>0.105</v>
      </c>
      <c r="F276" s="4">
        <v>0.45200000000000001</v>
      </c>
      <c r="V276" s="3">
        <v>1.0443862500000001</v>
      </c>
      <c r="W276" s="2">
        <v>1</v>
      </c>
      <c r="X276" s="2">
        <v>0.65</v>
      </c>
      <c r="Y276" s="2">
        <v>0.54500000000000004</v>
      </c>
      <c r="Z276" s="2">
        <v>0.185</v>
      </c>
      <c r="AA276" s="2">
        <v>1.5055000000000001</v>
      </c>
    </row>
    <row r="277" spans="1:27" x14ac:dyDescent="0.2">
      <c r="A277" s="9">
        <v>0.76237466666666664</v>
      </c>
      <c r="B277" s="4">
        <v>1</v>
      </c>
      <c r="C277" s="4">
        <v>0.46500000000000002</v>
      </c>
      <c r="D277" s="4">
        <v>0.37</v>
      </c>
      <c r="E277" s="4">
        <v>0.115</v>
      </c>
      <c r="F277" s="4">
        <v>0.53400000000000003</v>
      </c>
      <c r="V277" s="3">
        <v>1.04440625</v>
      </c>
      <c r="W277" s="2">
        <v>1</v>
      </c>
      <c r="X277" s="2">
        <v>0.67500000000000004</v>
      </c>
      <c r="Y277" s="2">
        <v>0.54500000000000004</v>
      </c>
      <c r="Z277" s="2">
        <v>0.185</v>
      </c>
      <c r="AA277" s="2">
        <v>1.7375</v>
      </c>
    </row>
    <row r="278" spans="1:27" x14ac:dyDescent="0.2">
      <c r="A278" s="9">
        <v>0.76249199999999995</v>
      </c>
      <c r="B278" s="4">
        <v>1</v>
      </c>
      <c r="C278" s="4">
        <v>0.47499999999999998</v>
      </c>
      <c r="D278" s="4">
        <v>0.36499999999999999</v>
      </c>
      <c r="E278" s="4">
        <v>0.115</v>
      </c>
      <c r="F278" s="4">
        <v>0.56599999999999995</v>
      </c>
      <c r="V278" s="3">
        <v>1.0445245833333332</v>
      </c>
      <c r="W278" s="2">
        <v>1</v>
      </c>
      <c r="X278" s="2">
        <v>0.67</v>
      </c>
      <c r="Y278" s="2">
        <v>0.54</v>
      </c>
      <c r="Z278" s="2">
        <v>0.16500000000000001</v>
      </c>
      <c r="AA278" s="2">
        <v>1.5015000000000001</v>
      </c>
    </row>
    <row r="279" spans="1:27" x14ac:dyDescent="0.2">
      <c r="A279" s="9">
        <v>0.76251333333333338</v>
      </c>
      <c r="B279" s="4">
        <v>1</v>
      </c>
      <c r="C279" s="4">
        <v>0.47</v>
      </c>
      <c r="D279" s="4">
        <v>0.36</v>
      </c>
      <c r="E279" s="4">
        <v>0.1</v>
      </c>
      <c r="F279" s="4">
        <v>0.47049999999999997</v>
      </c>
      <c r="V279" s="3">
        <v>1.0447295833333334</v>
      </c>
      <c r="W279" s="2">
        <v>1</v>
      </c>
      <c r="X279" s="2">
        <v>0.65500000000000003</v>
      </c>
      <c r="Y279" s="2">
        <v>0.53</v>
      </c>
      <c r="Z279" s="2">
        <v>0.16500000000000001</v>
      </c>
      <c r="AA279" s="2">
        <v>1.2835000000000001</v>
      </c>
    </row>
    <row r="280" spans="1:27" x14ac:dyDescent="0.2">
      <c r="A280" s="9">
        <v>0.76277866666666672</v>
      </c>
      <c r="B280" s="4">
        <v>1</v>
      </c>
      <c r="C280" s="4">
        <v>0.45500000000000002</v>
      </c>
      <c r="D280" s="4">
        <v>0.375</v>
      </c>
      <c r="E280" s="4">
        <v>0.12</v>
      </c>
      <c r="F280" s="4">
        <v>0.497</v>
      </c>
      <c r="V280" s="3">
        <v>1.0450016666666668</v>
      </c>
      <c r="W280" s="2">
        <v>1</v>
      </c>
      <c r="X280" s="2">
        <v>0.68500000000000005</v>
      </c>
      <c r="Y280" s="2">
        <v>0.51</v>
      </c>
      <c r="Z280" s="2">
        <v>0.18</v>
      </c>
      <c r="AA280" s="2">
        <v>1.4544999999999999</v>
      </c>
    </row>
    <row r="281" spans="1:27" x14ac:dyDescent="0.2">
      <c r="A281" s="9">
        <v>0.76292533333333346</v>
      </c>
      <c r="B281" s="4">
        <v>1</v>
      </c>
      <c r="C281" s="4">
        <v>0.47499999999999998</v>
      </c>
      <c r="D281" s="4">
        <v>0.35499999999999998</v>
      </c>
      <c r="E281" s="4">
        <v>0.105</v>
      </c>
      <c r="F281" s="4">
        <v>0.46800000000000003</v>
      </c>
      <c r="V281" s="3">
        <v>1.045445</v>
      </c>
      <c r="W281" s="2">
        <v>1</v>
      </c>
      <c r="X281" s="2">
        <v>0.7</v>
      </c>
      <c r="Y281" s="2">
        <v>0.57499999999999996</v>
      </c>
      <c r="Z281" s="2">
        <v>0.19</v>
      </c>
      <c r="AA281" s="2">
        <v>2.2730000000000001</v>
      </c>
    </row>
    <row r="282" spans="1:27" x14ac:dyDescent="0.2">
      <c r="A282" s="9">
        <v>0.76295700000000011</v>
      </c>
      <c r="B282" s="4">
        <v>1</v>
      </c>
      <c r="C282" s="4">
        <v>0.46</v>
      </c>
      <c r="D282" s="4">
        <v>0.36499999999999999</v>
      </c>
      <c r="E282" s="4">
        <v>0.115</v>
      </c>
      <c r="F282" s="4">
        <v>0.44850000000000001</v>
      </c>
      <c r="V282" s="3">
        <v>1.0456916666666669</v>
      </c>
      <c r="W282" s="2">
        <v>1</v>
      </c>
      <c r="X282" s="2">
        <v>0.68500000000000005</v>
      </c>
      <c r="Y282" s="2">
        <v>0.55000000000000004</v>
      </c>
      <c r="Z282" s="2">
        <v>0.19</v>
      </c>
      <c r="AA282" s="2">
        <v>1.885</v>
      </c>
    </row>
    <row r="283" spans="1:27" x14ac:dyDescent="0.2">
      <c r="A283" s="9">
        <v>0.7630840000000001</v>
      </c>
      <c r="B283" s="4">
        <v>1</v>
      </c>
      <c r="C283" s="4">
        <v>0.48499999999999999</v>
      </c>
      <c r="D283" s="4">
        <v>0.35499999999999998</v>
      </c>
      <c r="E283" s="4">
        <v>0.13</v>
      </c>
      <c r="F283" s="4">
        <v>0.58099999999999996</v>
      </c>
      <c r="V283" s="3">
        <v>1.0457645833333333</v>
      </c>
      <c r="W283" s="2">
        <v>1</v>
      </c>
      <c r="X283" s="2">
        <v>0.68</v>
      </c>
      <c r="Y283" s="2">
        <v>0.54</v>
      </c>
      <c r="Z283" s="2">
        <v>0.19500000000000001</v>
      </c>
      <c r="AA283" s="2">
        <v>1.7825</v>
      </c>
    </row>
    <row r="284" spans="1:27" x14ac:dyDescent="0.2">
      <c r="A284" s="9">
        <v>0.76339400000000002</v>
      </c>
      <c r="B284" s="4">
        <v>1</v>
      </c>
      <c r="C284" s="4">
        <v>0.49</v>
      </c>
      <c r="D284" s="4">
        <v>0.36499999999999999</v>
      </c>
      <c r="E284" s="4">
        <v>0.13</v>
      </c>
      <c r="F284" s="4">
        <v>0.6835</v>
      </c>
      <c r="V284" s="3">
        <v>1.0467916666666668</v>
      </c>
      <c r="W284" s="2">
        <v>1</v>
      </c>
      <c r="X284" s="2">
        <v>0.69499999999999995</v>
      </c>
      <c r="Y284" s="2">
        <v>0.53</v>
      </c>
      <c r="Z284" s="2">
        <v>0.15</v>
      </c>
      <c r="AA284" s="2">
        <v>1.4770000000000001</v>
      </c>
    </row>
    <row r="285" spans="1:27" x14ac:dyDescent="0.2">
      <c r="A285" s="9">
        <v>0.76351866666666668</v>
      </c>
      <c r="B285" s="4">
        <v>1</v>
      </c>
      <c r="C285" s="4">
        <v>0.48</v>
      </c>
      <c r="D285" s="4">
        <v>0.37</v>
      </c>
      <c r="E285" s="4">
        <v>0.13</v>
      </c>
      <c r="F285" s="4">
        <v>0.64300000000000002</v>
      </c>
      <c r="V285" s="3">
        <v>1.0468208333333333</v>
      </c>
      <c r="W285" s="2">
        <v>1</v>
      </c>
      <c r="X285" s="2">
        <v>0.71</v>
      </c>
      <c r="Y285" s="2">
        <v>0.54500000000000004</v>
      </c>
      <c r="Z285" s="2">
        <v>0.17499999999999999</v>
      </c>
      <c r="AA285" s="2">
        <v>1.907</v>
      </c>
    </row>
    <row r="286" spans="1:27" x14ac:dyDescent="0.2">
      <c r="A286" s="9">
        <v>0.76357600000000003</v>
      </c>
      <c r="B286" s="4">
        <v>1</v>
      </c>
      <c r="C286" s="4">
        <v>0.47</v>
      </c>
      <c r="D286" s="4">
        <v>0.34499999999999997</v>
      </c>
      <c r="E286" s="4">
        <v>0.12</v>
      </c>
      <c r="F286" s="4">
        <v>0.36849999999999999</v>
      </c>
      <c r="V286" s="3">
        <v>1.0472700000000001</v>
      </c>
      <c r="W286" s="2">
        <v>1</v>
      </c>
      <c r="X286" s="2">
        <v>0.68</v>
      </c>
      <c r="Y286" s="2">
        <v>0.53</v>
      </c>
      <c r="Z286" s="2">
        <v>0.18</v>
      </c>
      <c r="AA286" s="2">
        <v>1.5289999999999999</v>
      </c>
    </row>
    <row r="287" spans="1:27" x14ac:dyDescent="0.2">
      <c r="A287" s="9">
        <v>0.76358733333333328</v>
      </c>
      <c r="B287" s="4">
        <v>1</v>
      </c>
      <c r="C287" s="4">
        <v>0.46500000000000002</v>
      </c>
      <c r="D287" s="4">
        <v>0.36499999999999999</v>
      </c>
      <c r="E287" s="4">
        <v>0.115</v>
      </c>
      <c r="F287" s="4">
        <v>0.46700000000000003</v>
      </c>
      <c r="V287" s="3">
        <v>1.0474158333333332</v>
      </c>
      <c r="W287" s="2">
        <v>1</v>
      </c>
      <c r="X287" s="2">
        <v>0.68</v>
      </c>
      <c r="Y287" s="2">
        <v>0.53500000000000003</v>
      </c>
      <c r="Z287" s="2">
        <v>0.185</v>
      </c>
      <c r="AA287" s="2">
        <v>1.607</v>
      </c>
    </row>
    <row r="288" spans="1:27" x14ac:dyDescent="0.2">
      <c r="A288" s="9">
        <v>0.76378000000000001</v>
      </c>
      <c r="B288" s="4">
        <v>1</v>
      </c>
      <c r="C288" s="4">
        <v>0.45500000000000002</v>
      </c>
      <c r="D288" s="4">
        <v>0.36499999999999999</v>
      </c>
      <c r="E288" s="4">
        <v>0.11</v>
      </c>
      <c r="F288" s="4">
        <v>0.38500000000000001</v>
      </c>
      <c r="V288" s="3">
        <v>1.0474229166666666</v>
      </c>
      <c r="W288" s="2">
        <v>1</v>
      </c>
      <c r="X288" s="2">
        <v>0.67500000000000004</v>
      </c>
      <c r="Y288" s="2">
        <v>0.53</v>
      </c>
      <c r="Z288" s="2">
        <v>0.17499999999999999</v>
      </c>
      <c r="AA288" s="2">
        <v>1.4464999999999999</v>
      </c>
    </row>
    <row r="289" spans="1:27" x14ac:dyDescent="0.2">
      <c r="A289" s="9">
        <v>0.76441200000000009</v>
      </c>
      <c r="B289" s="4">
        <v>1</v>
      </c>
      <c r="C289" s="4">
        <v>0.48499999999999999</v>
      </c>
      <c r="D289" s="4">
        <v>0.35499999999999998</v>
      </c>
      <c r="E289" s="4">
        <v>0.105</v>
      </c>
      <c r="F289" s="4">
        <v>0.498</v>
      </c>
      <c r="V289" s="3">
        <v>1.0475229166666666</v>
      </c>
      <c r="W289" s="2">
        <v>1</v>
      </c>
      <c r="X289" s="2">
        <v>0.67500000000000004</v>
      </c>
      <c r="Y289" s="2">
        <v>0.53500000000000003</v>
      </c>
      <c r="Z289" s="2">
        <v>0.185</v>
      </c>
      <c r="AA289" s="2">
        <v>1.5575000000000001</v>
      </c>
    </row>
    <row r="290" spans="1:27" x14ac:dyDescent="0.2">
      <c r="A290" s="9">
        <v>0.76455333333333331</v>
      </c>
      <c r="B290" s="4">
        <v>1</v>
      </c>
      <c r="C290" s="4">
        <v>0.48</v>
      </c>
      <c r="D290" s="4">
        <v>0.35499999999999998</v>
      </c>
      <c r="E290" s="4">
        <v>0.125</v>
      </c>
      <c r="F290" s="4">
        <v>0.49399999999999999</v>
      </c>
      <c r="V290" s="3">
        <v>1.0475766666666668</v>
      </c>
      <c r="W290" s="2">
        <v>1</v>
      </c>
      <c r="X290" s="2">
        <v>0.65500000000000003</v>
      </c>
      <c r="Y290" s="2">
        <v>0.53</v>
      </c>
      <c r="Z290" s="2">
        <v>0.19500000000000001</v>
      </c>
      <c r="AA290" s="2">
        <v>1.3879999999999999</v>
      </c>
    </row>
    <row r="291" spans="1:27" x14ac:dyDescent="0.2">
      <c r="A291" s="9">
        <v>0.76467266666666678</v>
      </c>
      <c r="B291" s="4">
        <v>1</v>
      </c>
      <c r="C291" s="4">
        <v>0.47</v>
      </c>
      <c r="D291" s="4">
        <v>0.37</v>
      </c>
      <c r="E291" s="4">
        <v>0.13500000000000001</v>
      </c>
      <c r="F291" s="4">
        <v>0.54700000000000004</v>
      </c>
      <c r="V291" s="3">
        <v>1.0476999999999999</v>
      </c>
      <c r="W291" s="2">
        <v>1</v>
      </c>
      <c r="X291" s="2">
        <v>0.67</v>
      </c>
      <c r="Y291" s="2">
        <v>0.5</v>
      </c>
      <c r="Z291" s="2">
        <v>0.2</v>
      </c>
      <c r="AA291" s="2">
        <v>1.2689999999999999</v>
      </c>
    </row>
    <row r="292" spans="1:27" x14ac:dyDescent="0.2">
      <c r="A292" s="9">
        <v>0.76475099999999996</v>
      </c>
      <c r="B292" s="4">
        <v>1</v>
      </c>
      <c r="C292" s="4">
        <v>0.47</v>
      </c>
      <c r="D292" s="4">
        <v>0.35499999999999998</v>
      </c>
      <c r="E292" s="4">
        <v>0.14499999999999999</v>
      </c>
      <c r="F292" s="4">
        <v>0.44850000000000001</v>
      </c>
      <c r="V292" s="3">
        <v>1.0481829166666665</v>
      </c>
      <c r="W292" s="2">
        <v>1</v>
      </c>
      <c r="X292" s="2">
        <v>0.66</v>
      </c>
      <c r="Y292" s="2">
        <v>0.56499999999999995</v>
      </c>
      <c r="Z292" s="2">
        <v>0.19500000000000001</v>
      </c>
      <c r="AA292" s="2">
        <v>1.7605</v>
      </c>
    </row>
    <row r="293" spans="1:27" x14ac:dyDescent="0.2">
      <c r="A293" s="9">
        <v>0.7648653333333334</v>
      </c>
      <c r="B293" s="4">
        <v>1</v>
      </c>
      <c r="C293" s="4">
        <v>0.47499999999999998</v>
      </c>
      <c r="D293" s="4">
        <v>0.36</v>
      </c>
      <c r="E293" s="4">
        <v>0.14000000000000001</v>
      </c>
      <c r="F293" s="4">
        <v>0.51349999999999996</v>
      </c>
      <c r="V293" s="3">
        <v>1.0486600000000001</v>
      </c>
      <c r="W293" s="2">
        <v>1</v>
      </c>
      <c r="X293" s="2">
        <v>0.67500000000000004</v>
      </c>
      <c r="Y293" s="2">
        <v>0.52500000000000002</v>
      </c>
      <c r="Z293" s="2">
        <v>0.16</v>
      </c>
      <c r="AA293" s="2">
        <v>1.2835000000000001</v>
      </c>
    </row>
    <row r="294" spans="1:27" x14ac:dyDescent="0.2">
      <c r="A294" s="9">
        <v>0.76519000000000004</v>
      </c>
      <c r="B294" s="4">
        <v>1</v>
      </c>
      <c r="C294" s="4">
        <v>0.47</v>
      </c>
      <c r="D294" s="4">
        <v>0.37</v>
      </c>
      <c r="E294" s="4">
        <v>0.13</v>
      </c>
      <c r="F294" s="4">
        <v>0.52249999999999996</v>
      </c>
      <c r="V294" s="3">
        <v>1.0490379166666666</v>
      </c>
      <c r="W294" s="2">
        <v>1</v>
      </c>
      <c r="X294" s="2">
        <v>0.67</v>
      </c>
      <c r="Y294" s="2">
        <v>0.51500000000000001</v>
      </c>
      <c r="Z294" s="2">
        <v>0.16500000000000001</v>
      </c>
      <c r="AA294" s="2">
        <v>1.1735</v>
      </c>
    </row>
    <row r="295" spans="1:27" x14ac:dyDescent="0.2">
      <c r="A295" s="9">
        <v>0.76552666666666669</v>
      </c>
      <c r="B295" s="4">
        <v>1</v>
      </c>
      <c r="C295" s="4">
        <v>0.47499999999999998</v>
      </c>
      <c r="D295" s="4">
        <v>0.36</v>
      </c>
      <c r="E295" s="4">
        <v>0.1</v>
      </c>
      <c r="F295" s="4">
        <v>0.42849999999999999</v>
      </c>
      <c r="V295" s="3">
        <v>1.0492879166666667</v>
      </c>
      <c r="W295" s="2">
        <v>1</v>
      </c>
      <c r="X295" s="2">
        <v>0.71</v>
      </c>
      <c r="Y295" s="2">
        <v>0.53</v>
      </c>
      <c r="Z295" s="2">
        <v>0.19500000000000001</v>
      </c>
      <c r="AA295" s="2">
        <v>1.8745000000000001</v>
      </c>
    </row>
    <row r="296" spans="1:27" x14ac:dyDescent="0.2">
      <c r="A296" s="9">
        <v>0.76563600000000009</v>
      </c>
      <c r="B296" s="4">
        <v>1</v>
      </c>
      <c r="C296" s="4">
        <v>0.49</v>
      </c>
      <c r="D296" s="4">
        <v>0.38</v>
      </c>
      <c r="E296" s="4">
        <v>0.14000000000000001</v>
      </c>
      <c r="F296" s="4">
        <v>0.76049999999999995</v>
      </c>
      <c r="V296" s="3">
        <v>1.0495166666666667</v>
      </c>
      <c r="W296" s="2">
        <v>1</v>
      </c>
      <c r="X296" s="2">
        <v>0.65</v>
      </c>
      <c r="Y296" s="2">
        <v>0.56499999999999995</v>
      </c>
      <c r="Z296" s="2">
        <v>0.2</v>
      </c>
      <c r="AA296" s="2">
        <v>1.6645000000000001</v>
      </c>
    </row>
    <row r="297" spans="1:27" x14ac:dyDescent="0.2">
      <c r="A297" s="9">
        <v>0.76565100000000008</v>
      </c>
      <c r="B297" s="4">
        <v>1</v>
      </c>
      <c r="C297" s="4">
        <v>0.47</v>
      </c>
      <c r="D297" s="4">
        <v>0.37</v>
      </c>
      <c r="E297" s="4">
        <v>0.105</v>
      </c>
      <c r="F297" s="4">
        <v>0.46650000000000003</v>
      </c>
      <c r="V297" s="3">
        <v>1.0499020833333335</v>
      </c>
      <c r="W297" s="2">
        <v>1</v>
      </c>
      <c r="X297" s="2">
        <v>0.64500000000000002</v>
      </c>
      <c r="Y297" s="2">
        <v>0.55000000000000004</v>
      </c>
      <c r="Z297" s="2">
        <v>0.17499999999999999</v>
      </c>
      <c r="AA297" s="2">
        <v>1.2915000000000001</v>
      </c>
    </row>
    <row r="298" spans="1:27" x14ac:dyDescent="0.2">
      <c r="A298" s="9">
        <v>0.76592000000000005</v>
      </c>
      <c r="B298" s="4">
        <v>1</v>
      </c>
      <c r="C298" s="4">
        <v>0.47</v>
      </c>
      <c r="D298" s="4">
        <v>0.35499999999999998</v>
      </c>
      <c r="E298" s="4">
        <v>0.18</v>
      </c>
      <c r="F298" s="4">
        <v>0.48</v>
      </c>
      <c r="V298" s="3">
        <v>1.0501329166666666</v>
      </c>
      <c r="W298" s="2">
        <v>1</v>
      </c>
      <c r="X298" s="2">
        <v>0.68500000000000005</v>
      </c>
      <c r="Y298" s="2">
        <v>0.53500000000000003</v>
      </c>
      <c r="Z298" s="2">
        <v>0.155</v>
      </c>
      <c r="AA298" s="2">
        <v>1.3845000000000001</v>
      </c>
    </row>
    <row r="299" spans="1:27" x14ac:dyDescent="0.2">
      <c r="A299" s="9">
        <v>0.76599200000000001</v>
      </c>
      <c r="B299" s="4">
        <v>1</v>
      </c>
      <c r="C299" s="4">
        <v>0.48</v>
      </c>
      <c r="D299" s="4">
        <v>0.375</v>
      </c>
      <c r="E299" s="4">
        <v>0.12</v>
      </c>
      <c r="F299" s="4">
        <v>0.58950000000000002</v>
      </c>
      <c r="V299" s="3">
        <v>1.05030625</v>
      </c>
      <c r="W299" s="2">
        <v>1</v>
      </c>
      <c r="X299" s="2">
        <v>0.64</v>
      </c>
      <c r="Y299" s="2">
        <v>0.57499999999999996</v>
      </c>
      <c r="Z299" s="2">
        <v>0.17499999999999999</v>
      </c>
      <c r="AA299" s="2">
        <v>1.4584999999999999</v>
      </c>
    </row>
    <row r="300" spans="1:27" x14ac:dyDescent="0.2">
      <c r="A300" s="9">
        <v>0.76612666666666662</v>
      </c>
      <c r="B300" s="4">
        <v>1</v>
      </c>
      <c r="C300" s="4">
        <v>0.48</v>
      </c>
      <c r="D300" s="4">
        <v>0.37</v>
      </c>
      <c r="E300" s="4">
        <v>0.1</v>
      </c>
      <c r="F300" s="4">
        <v>0.51349999999999996</v>
      </c>
      <c r="V300" s="3">
        <v>1.0503333333333336</v>
      </c>
      <c r="W300" s="2">
        <v>1</v>
      </c>
      <c r="X300" s="2">
        <v>0.71499999999999997</v>
      </c>
      <c r="Y300" s="2">
        <v>0.52500000000000002</v>
      </c>
      <c r="Z300" s="2">
        <v>0.2</v>
      </c>
      <c r="AA300" s="2">
        <v>1.89</v>
      </c>
    </row>
    <row r="301" spans="1:27" x14ac:dyDescent="0.2">
      <c r="A301" s="9">
        <v>0.76619366666666666</v>
      </c>
      <c r="B301" s="4">
        <v>1</v>
      </c>
      <c r="C301" s="4">
        <v>0.48499999999999999</v>
      </c>
      <c r="D301" s="4">
        <v>0.36499999999999999</v>
      </c>
      <c r="E301" s="4">
        <v>0.105</v>
      </c>
      <c r="F301" s="4">
        <v>0.52049999999999996</v>
      </c>
      <c r="V301" s="3">
        <v>1.05058875</v>
      </c>
      <c r="W301" s="2">
        <v>1</v>
      </c>
      <c r="X301" s="2">
        <v>0.66</v>
      </c>
      <c r="Y301" s="2">
        <v>0.52500000000000002</v>
      </c>
      <c r="Z301" s="2">
        <v>0.20499999999999999</v>
      </c>
      <c r="AA301" s="2">
        <v>1.3665</v>
      </c>
    </row>
    <row r="302" spans="1:27" x14ac:dyDescent="0.2">
      <c r="A302" s="9">
        <v>0.76623533333333338</v>
      </c>
      <c r="B302" s="4">
        <v>1</v>
      </c>
      <c r="C302" s="4">
        <v>0.48</v>
      </c>
      <c r="D302" s="4">
        <v>0.36499999999999999</v>
      </c>
      <c r="E302" s="4">
        <v>0.13</v>
      </c>
      <c r="F302" s="4">
        <v>0.53049999999999997</v>
      </c>
      <c r="V302" s="3">
        <v>1.0514845833333331</v>
      </c>
      <c r="W302" s="2">
        <v>1</v>
      </c>
      <c r="X302" s="2">
        <v>0.66</v>
      </c>
      <c r="Y302" s="2">
        <v>0.53500000000000003</v>
      </c>
      <c r="Z302" s="2">
        <v>0.20499999999999999</v>
      </c>
      <c r="AA302" s="2">
        <v>1.4415</v>
      </c>
    </row>
    <row r="303" spans="1:27" x14ac:dyDescent="0.2">
      <c r="A303" s="9">
        <v>0.76630633333333342</v>
      </c>
      <c r="B303" s="4">
        <v>1</v>
      </c>
      <c r="C303" s="4">
        <v>0.48499999999999999</v>
      </c>
      <c r="D303" s="4">
        <v>0.39</v>
      </c>
      <c r="E303" s="4">
        <v>8.5000000000000006E-2</v>
      </c>
      <c r="F303" s="4">
        <v>0.64349999999999996</v>
      </c>
      <c r="V303" s="3">
        <v>1.051525</v>
      </c>
      <c r="W303" s="2">
        <v>1</v>
      </c>
      <c r="X303" s="2">
        <v>0.67</v>
      </c>
      <c r="Y303" s="2">
        <v>0.52500000000000002</v>
      </c>
      <c r="Z303" s="2">
        <v>0.19500000000000001</v>
      </c>
      <c r="AA303" s="2">
        <v>1.37</v>
      </c>
    </row>
    <row r="304" spans="1:27" x14ac:dyDescent="0.2">
      <c r="A304" s="9">
        <v>0.76643466666666671</v>
      </c>
      <c r="B304" s="4">
        <v>1</v>
      </c>
      <c r="C304" s="4">
        <v>0.47</v>
      </c>
      <c r="D304" s="4">
        <v>0.37</v>
      </c>
      <c r="E304" s="4">
        <v>0.12</v>
      </c>
      <c r="F304" s="4">
        <v>0.47049999999999997</v>
      </c>
      <c r="V304" s="3">
        <v>1.0517133333333335</v>
      </c>
      <c r="W304" s="2">
        <v>1</v>
      </c>
      <c r="X304" s="2">
        <v>0.70499999999999996</v>
      </c>
      <c r="Y304" s="2">
        <v>0.53</v>
      </c>
      <c r="Z304" s="2">
        <v>0.17</v>
      </c>
      <c r="AA304" s="2">
        <v>1.5640000000000001</v>
      </c>
    </row>
    <row r="305" spans="1:27" x14ac:dyDescent="0.2">
      <c r="A305" s="9">
        <v>0.76643499999999998</v>
      </c>
      <c r="B305" s="4">
        <v>1</v>
      </c>
      <c r="C305" s="4">
        <v>0.48</v>
      </c>
      <c r="D305" s="4">
        <v>0.38</v>
      </c>
      <c r="E305" s="4">
        <v>0.125</v>
      </c>
      <c r="F305" s="4">
        <v>0.62450000000000006</v>
      </c>
      <c r="V305" s="3">
        <v>1.0517437500000002</v>
      </c>
      <c r="W305" s="2">
        <v>1</v>
      </c>
      <c r="X305" s="2">
        <v>0.68500000000000005</v>
      </c>
      <c r="Y305" s="2">
        <v>0.54500000000000004</v>
      </c>
      <c r="Z305" s="2">
        <v>0.20499999999999999</v>
      </c>
      <c r="AA305" s="2">
        <v>1.7925</v>
      </c>
    </row>
    <row r="306" spans="1:27" x14ac:dyDescent="0.2">
      <c r="A306" s="9">
        <v>0.766656</v>
      </c>
      <c r="B306" s="4">
        <v>1</v>
      </c>
      <c r="C306" s="4">
        <v>0.48</v>
      </c>
      <c r="D306" s="4">
        <v>0.37</v>
      </c>
      <c r="E306" s="4">
        <v>0.12</v>
      </c>
      <c r="F306" s="4">
        <v>0.53600000000000003</v>
      </c>
      <c r="V306" s="3">
        <v>1.0521133333333335</v>
      </c>
      <c r="W306" s="2">
        <v>1</v>
      </c>
      <c r="X306" s="2">
        <v>0.7</v>
      </c>
      <c r="Y306" s="2">
        <v>0.55000000000000004</v>
      </c>
      <c r="Z306" s="2">
        <v>0.17</v>
      </c>
      <c r="AA306" s="2">
        <v>1.6839999999999999</v>
      </c>
    </row>
    <row r="307" spans="1:27" x14ac:dyDescent="0.2">
      <c r="A307" s="9">
        <v>0.76686800000000011</v>
      </c>
      <c r="B307" s="4">
        <v>1</v>
      </c>
      <c r="C307" s="4">
        <v>0.47</v>
      </c>
      <c r="D307" s="4">
        <v>0.38500000000000001</v>
      </c>
      <c r="E307" s="4">
        <v>0.13</v>
      </c>
      <c r="F307" s="4">
        <v>0.58699999999999997</v>
      </c>
      <c r="V307" s="3">
        <v>1.0522808333333333</v>
      </c>
      <c r="W307" s="2">
        <v>1</v>
      </c>
      <c r="X307" s="2">
        <v>0.7</v>
      </c>
      <c r="Y307" s="2">
        <v>0.52500000000000002</v>
      </c>
      <c r="Z307" s="2">
        <v>0.19</v>
      </c>
      <c r="AA307" s="2">
        <v>1.6014999999999999</v>
      </c>
    </row>
    <row r="308" spans="1:27" x14ac:dyDescent="0.2">
      <c r="A308" s="9">
        <v>0.76688766666666675</v>
      </c>
      <c r="B308" s="4">
        <v>1</v>
      </c>
      <c r="C308" s="4">
        <v>0.47499999999999998</v>
      </c>
      <c r="D308" s="4">
        <v>0.375</v>
      </c>
      <c r="E308" s="4">
        <v>0.115</v>
      </c>
      <c r="F308" s="4">
        <v>0.52049999999999996</v>
      </c>
      <c r="V308" s="3">
        <v>1.05278</v>
      </c>
      <c r="W308" s="2">
        <v>1</v>
      </c>
      <c r="X308" s="2">
        <v>0.69</v>
      </c>
      <c r="Y308" s="2">
        <v>0.52500000000000002</v>
      </c>
      <c r="Z308" s="2">
        <v>0.19</v>
      </c>
      <c r="AA308" s="2">
        <v>1.492</v>
      </c>
    </row>
    <row r="309" spans="1:27" x14ac:dyDescent="0.2">
      <c r="A309" s="9">
        <v>0.76689333333333332</v>
      </c>
      <c r="B309" s="4">
        <v>1</v>
      </c>
      <c r="C309" s="4">
        <v>0.48</v>
      </c>
      <c r="D309" s="4">
        <v>0.36499999999999999</v>
      </c>
      <c r="E309" s="4">
        <v>0.1</v>
      </c>
      <c r="F309" s="4">
        <v>0.46100000000000002</v>
      </c>
      <c r="V309" s="3">
        <v>1.0540483333333335</v>
      </c>
      <c r="W309" s="2">
        <v>1</v>
      </c>
      <c r="X309" s="2">
        <v>0.67500000000000004</v>
      </c>
      <c r="Y309" s="2">
        <v>0.55000000000000004</v>
      </c>
      <c r="Z309" s="2">
        <v>0.19</v>
      </c>
      <c r="AA309" s="2">
        <v>1.5509999999999999</v>
      </c>
    </row>
    <row r="310" spans="1:27" x14ac:dyDescent="0.2">
      <c r="A310" s="9">
        <v>0.76715800000000012</v>
      </c>
      <c r="B310" s="4">
        <v>1</v>
      </c>
      <c r="C310" s="4">
        <v>0.47499999999999998</v>
      </c>
      <c r="D310" s="4">
        <v>0.38500000000000001</v>
      </c>
      <c r="E310" s="4">
        <v>0.11</v>
      </c>
      <c r="F310" s="4">
        <v>0.57350000000000001</v>
      </c>
      <c r="V310" s="3">
        <v>1.0547133333333334</v>
      </c>
      <c r="W310" s="2">
        <v>1</v>
      </c>
      <c r="X310" s="2">
        <v>0.68</v>
      </c>
      <c r="Y310" s="2">
        <v>0.53</v>
      </c>
      <c r="Z310" s="2">
        <v>0.20499999999999999</v>
      </c>
      <c r="AA310" s="2">
        <v>1.496</v>
      </c>
    </row>
    <row r="311" spans="1:27" x14ac:dyDescent="0.2">
      <c r="A311" s="9">
        <v>0.76718166666666665</v>
      </c>
      <c r="B311" s="4">
        <v>1</v>
      </c>
      <c r="C311" s="4">
        <v>0.46500000000000002</v>
      </c>
      <c r="D311" s="4">
        <v>0.37</v>
      </c>
      <c r="E311" s="4">
        <v>0.115</v>
      </c>
      <c r="F311" s="4">
        <v>0.40749999999999997</v>
      </c>
      <c r="V311" s="3">
        <v>1.0547575</v>
      </c>
      <c r="W311" s="2">
        <v>1</v>
      </c>
      <c r="X311" s="2">
        <v>0.68</v>
      </c>
      <c r="Y311" s="2">
        <v>0.55000000000000004</v>
      </c>
      <c r="Z311" s="2">
        <v>0.21</v>
      </c>
      <c r="AA311" s="2">
        <v>1.7444999999999999</v>
      </c>
    </row>
    <row r="312" spans="1:27" x14ac:dyDescent="0.2">
      <c r="A312" s="9">
        <v>0.76731400000000005</v>
      </c>
      <c r="B312" s="4">
        <v>1</v>
      </c>
      <c r="C312" s="4">
        <v>0.49</v>
      </c>
      <c r="D312" s="4">
        <v>0.36</v>
      </c>
      <c r="E312" s="4">
        <v>0.11</v>
      </c>
      <c r="F312" s="4">
        <v>0.50049999999999994</v>
      </c>
      <c r="V312" s="3">
        <v>1.0549533333333334</v>
      </c>
      <c r="W312" s="2">
        <v>1</v>
      </c>
      <c r="X312" s="2">
        <v>0.65500000000000003</v>
      </c>
      <c r="Y312" s="2">
        <v>0.55000000000000004</v>
      </c>
      <c r="Z312" s="2">
        <v>0.18</v>
      </c>
      <c r="AA312" s="2">
        <v>1.274</v>
      </c>
    </row>
    <row r="313" spans="1:27" x14ac:dyDescent="0.2">
      <c r="A313" s="9">
        <v>0.76734999999999998</v>
      </c>
      <c r="B313" s="4">
        <v>1</v>
      </c>
      <c r="C313" s="4">
        <v>0.48</v>
      </c>
      <c r="D313" s="4">
        <v>0.375</v>
      </c>
      <c r="E313" s="4">
        <v>0.105</v>
      </c>
      <c r="F313" s="4">
        <v>0.52500000000000002</v>
      </c>
      <c r="V313" s="3">
        <v>1.0550929166666667</v>
      </c>
      <c r="W313" s="2">
        <v>1</v>
      </c>
      <c r="X313" s="2">
        <v>0.71</v>
      </c>
      <c r="Y313" s="2">
        <v>0.55500000000000005</v>
      </c>
      <c r="Z313" s="2">
        <v>0.19500000000000001</v>
      </c>
      <c r="AA313" s="2">
        <v>1.9484999999999999</v>
      </c>
    </row>
    <row r="314" spans="1:27" x14ac:dyDescent="0.2">
      <c r="A314" s="9">
        <v>0.76737733333333347</v>
      </c>
      <c r="B314" s="4">
        <v>1</v>
      </c>
      <c r="C314" s="4">
        <v>0.5</v>
      </c>
      <c r="D314" s="4">
        <v>0.375</v>
      </c>
      <c r="E314" s="4">
        <v>0.13</v>
      </c>
      <c r="F314" s="4">
        <v>0.72099999999999997</v>
      </c>
      <c r="V314" s="3">
        <v>1.0559833333333333</v>
      </c>
      <c r="W314" s="2">
        <v>1</v>
      </c>
      <c r="X314" s="2">
        <v>0.69499999999999995</v>
      </c>
      <c r="Y314" s="2">
        <v>0.56000000000000005</v>
      </c>
      <c r="Z314" s="2">
        <v>0.185</v>
      </c>
      <c r="AA314" s="2">
        <v>1.74</v>
      </c>
    </row>
    <row r="315" spans="1:27" x14ac:dyDescent="0.2">
      <c r="A315" s="9">
        <v>0.76747733333333334</v>
      </c>
      <c r="B315" s="4">
        <v>1</v>
      </c>
      <c r="C315" s="4">
        <v>0.48</v>
      </c>
      <c r="D315" s="4">
        <v>0.37</v>
      </c>
      <c r="E315" s="4">
        <v>0.12</v>
      </c>
      <c r="F315" s="4">
        <v>0.51400000000000001</v>
      </c>
      <c r="V315" s="3">
        <v>1.0560624999999999</v>
      </c>
      <c r="W315" s="2">
        <v>1</v>
      </c>
      <c r="X315" s="2">
        <v>0.70499999999999996</v>
      </c>
      <c r="Y315" s="2">
        <v>0.56000000000000005</v>
      </c>
      <c r="Z315" s="2">
        <v>0.16500000000000001</v>
      </c>
      <c r="AA315" s="2">
        <v>1.675</v>
      </c>
    </row>
    <row r="316" spans="1:27" x14ac:dyDescent="0.2">
      <c r="A316" s="9">
        <v>0.76764333333333346</v>
      </c>
      <c r="B316" s="4">
        <v>1</v>
      </c>
      <c r="C316" s="4">
        <v>0.48499999999999999</v>
      </c>
      <c r="D316" s="4">
        <v>0.375</v>
      </c>
      <c r="E316" s="4">
        <v>0.13</v>
      </c>
      <c r="F316" s="4">
        <v>0.60250000000000004</v>
      </c>
      <c r="V316" s="3">
        <v>1.0565166666666668</v>
      </c>
      <c r="W316" s="2">
        <v>1</v>
      </c>
      <c r="X316" s="2">
        <v>0.71</v>
      </c>
      <c r="Y316" s="2">
        <v>0.55000000000000004</v>
      </c>
      <c r="Z316" s="2">
        <v>0.2</v>
      </c>
      <c r="AA316" s="2">
        <v>1.9045000000000001</v>
      </c>
    </row>
    <row r="317" spans="1:27" x14ac:dyDescent="0.2">
      <c r="A317" s="9">
        <v>0.76781866666666665</v>
      </c>
      <c r="B317" s="4">
        <v>1</v>
      </c>
      <c r="C317" s="4">
        <v>0.48</v>
      </c>
      <c r="D317" s="4">
        <v>0.35499999999999998</v>
      </c>
      <c r="E317" s="4">
        <v>0.16</v>
      </c>
      <c r="F317" s="4">
        <v>0.46400000000000002</v>
      </c>
      <c r="V317" s="3">
        <v>1.0571499999999998</v>
      </c>
      <c r="W317" s="2">
        <v>1</v>
      </c>
      <c r="X317" s="2">
        <v>0.69499999999999995</v>
      </c>
      <c r="Y317" s="2">
        <v>0.53500000000000003</v>
      </c>
      <c r="Z317" s="2">
        <v>0.2</v>
      </c>
      <c r="AA317" s="2">
        <v>1.5854999999999999</v>
      </c>
    </row>
    <row r="318" spans="1:27" x14ac:dyDescent="0.2">
      <c r="A318" s="9">
        <v>0.76795000000000013</v>
      </c>
      <c r="B318" s="4">
        <v>1</v>
      </c>
      <c r="C318" s="4">
        <v>0.51</v>
      </c>
      <c r="D318" s="4">
        <v>0.375</v>
      </c>
      <c r="E318" s="4">
        <v>0.15</v>
      </c>
      <c r="F318" s="4">
        <v>0.84150000000000003</v>
      </c>
      <c r="V318" s="3">
        <v>1.0571829166666666</v>
      </c>
      <c r="W318" s="2">
        <v>1</v>
      </c>
      <c r="X318" s="2">
        <v>0.7</v>
      </c>
      <c r="Y318" s="2">
        <v>0.54500000000000004</v>
      </c>
      <c r="Z318" s="2">
        <v>0.185</v>
      </c>
      <c r="AA318" s="2">
        <v>1.6134999999999999</v>
      </c>
    </row>
    <row r="319" spans="1:27" x14ac:dyDescent="0.2">
      <c r="A319" s="9">
        <v>0.76815333333333335</v>
      </c>
      <c r="B319" s="4">
        <v>1</v>
      </c>
      <c r="C319" s="4">
        <v>0.48499999999999999</v>
      </c>
      <c r="D319" s="4">
        <v>0.37</v>
      </c>
      <c r="E319" s="4">
        <v>0.14000000000000001</v>
      </c>
      <c r="F319" s="4">
        <v>0.57250000000000001</v>
      </c>
      <c r="V319" s="3">
        <v>1.0573533333333334</v>
      </c>
      <c r="W319" s="2">
        <v>1</v>
      </c>
      <c r="X319" s="2">
        <v>0.70499999999999996</v>
      </c>
      <c r="Y319" s="2">
        <v>0.53500000000000003</v>
      </c>
      <c r="Z319" s="2">
        <v>0.22</v>
      </c>
      <c r="AA319" s="2">
        <v>1.8660000000000001</v>
      </c>
    </row>
    <row r="320" spans="1:27" x14ac:dyDescent="0.2">
      <c r="A320" s="9">
        <v>0.76833833333333335</v>
      </c>
      <c r="B320" s="4">
        <v>1</v>
      </c>
      <c r="C320" s="4">
        <v>0.47499999999999998</v>
      </c>
      <c r="D320" s="4">
        <v>0.38500000000000001</v>
      </c>
      <c r="E320" s="4">
        <v>0.14499999999999999</v>
      </c>
      <c r="F320" s="4">
        <v>0.61750000000000005</v>
      </c>
      <c r="V320" s="3">
        <v>1.0575179166666666</v>
      </c>
      <c r="W320" s="2">
        <v>1</v>
      </c>
      <c r="X320" s="2">
        <v>0.66500000000000004</v>
      </c>
      <c r="Y320" s="2">
        <v>0.55500000000000005</v>
      </c>
      <c r="Z320" s="2">
        <v>0.19500000000000001</v>
      </c>
      <c r="AA320" s="2">
        <v>1.4384999999999999</v>
      </c>
    </row>
    <row r="321" spans="1:27" x14ac:dyDescent="0.2">
      <c r="A321" s="9">
        <v>0.76835200000000003</v>
      </c>
      <c r="B321" s="4">
        <v>1</v>
      </c>
      <c r="C321" s="4">
        <v>0.5</v>
      </c>
      <c r="D321" s="4">
        <v>0.38500000000000001</v>
      </c>
      <c r="E321" s="4">
        <v>0.13</v>
      </c>
      <c r="F321" s="4">
        <v>0.76800000000000002</v>
      </c>
      <c r="V321" s="3">
        <v>1.0579991666666666</v>
      </c>
      <c r="W321" s="2">
        <v>1</v>
      </c>
      <c r="X321" s="2">
        <v>0.67</v>
      </c>
      <c r="Y321" s="2">
        <v>0.55000000000000004</v>
      </c>
      <c r="Z321" s="2">
        <v>0.19</v>
      </c>
      <c r="AA321" s="2">
        <v>1.3905000000000001</v>
      </c>
    </row>
    <row r="322" spans="1:27" x14ac:dyDescent="0.2">
      <c r="A322" s="9">
        <v>0.7685306666666667</v>
      </c>
      <c r="B322" s="4">
        <v>1</v>
      </c>
      <c r="C322" s="4">
        <v>0.49</v>
      </c>
      <c r="D322" s="4">
        <v>0.37</v>
      </c>
      <c r="E322" s="4">
        <v>0.11</v>
      </c>
      <c r="F322" s="4">
        <v>0.53800000000000003</v>
      </c>
      <c r="V322" s="3">
        <v>1.0580241666666668</v>
      </c>
      <c r="W322" s="2">
        <v>1</v>
      </c>
      <c r="X322" s="2">
        <v>0.71499999999999997</v>
      </c>
      <c r="Y322" s="2">
        <v>0.53500000000000003</v>
      </c>
      <c r="Z322" s="2">
        <v>0.19</v>
      </c>
      <c r="AA322" s="2">
        <v>1.6755</v>
      </c>
    </row>
    <row r="323" spans="1:27" x14ac:dyDescent="0.2">
      <c r="A323" s="9">
        <v>0.76874266666666669</v>
      </c>
      <c r="B323" s="4">
        <v>1</v>
      </c>
      <c r="C323" s="4">
        <v>0.46500000000000002</v>
      </c>
      <c r="D323" s="4">
        <v>0.39</v>
      </c>
      <c r="E323" s="4">
        <v>0.14000000000000001</v>
      </c>
      <c r="F323" s="4">
        <v>0.55549999999999999</v>
      </c>
      <c r="V323" s="3">
        <v>1.0581295833333333</v>
      </c>
      <c r="W323" s="2">
        <v>1</v>
      </c>
      <c r="X323" s="2">
        <v>0.69499999999999995</v>
      </c>
      <c r="Y323" s="2">
        <v>0.55000000000000004</v>
      </c>
      <c r="Z323" s="2">
        <v>0.19500000000000001</v>
      </c>
      <c r="AA323" s="2">
        <v>1.6645000000000001</v>
      </c>
    </row>
    <row r="324" spans="1:27" x14ac:dyDescent="0.2">
      <c r="A324" s="9">
        <v>0.76898333333333335</v>
      </c>
      <c r="B324" s="4">
        <v>1</v>
      </c>
      <c r="C324" s="4">
        <v>0.51500000000000001</v>
      </c>
      <c r="D324" s="4">
        <v>0.4</v>
      </c>
      <c r="E324" s="4">
        <v>0.125</v>
      </c>
      <c r="F324" s="4">
        <v>0.95499999999999996</v>
      </c>
      <c r="V324" s="3">
        <v>1.05813</v>
      </c>
      <c r="W324" s="2">
        <v>1</v>
      </c>
      <c r="X324" s="2">
        <v>0.71</v>
      </c>
      <c r="Y324" s="2">
        <v>0.55000000000000004</v>
      </c>
      <c r="Z324" s="2">
        <v>0.17</v>
      </c>
      <c r="AA324" s="2">
        <v>1.6140000000000001</v>
      </c>
    </row>
    <row r="325" spans="1:27" x14ac:dyDescent="0.2">
      <c r="A325" s="9">
        <v>0.76903999999999995</v>
      </c>
      <c r="B325" s="4">
        <v>1</v>
      </c>
      <c r="C325" s="4">
        <v>0.47</v>
      </c>
      <c r="D325" s="4">
        <v>0.37</v>
      </c>
      <c r="E325" s="4">
        <v>0.18</v>
      </c>
      <c r="F325" s="4">
        <v>0.51</v>
      </c>
      <c r="V325" s="3">
        <v>1.0581499999999999</v>
      </c>
      <c r="W325" s="2">
        <v>1</v>
      </c>
      <c r="X325" s="2">
        <v>0.72</v>
      </c>
      <c r="Y325" s="2">
        <v>0.56499999999999995</v>
      </c>
      <c r="Z325" s="2">
        <v>0.2</v>
      </c>
      <c r="AA325" s="2">
        <v>2.1055000000000001</v>
      </c>
    </row>
    <row r="326" spans="1:27" x14ac:dyDescent="0.2">
      <c r="A326" s="9">
        <v>0.76912633333333336</v>
      </c>
      <c r="B326" s="4">
        <v>1</v>
      </c>
      <c r="C326" s="4">
        <v>0.47</v>
      </c>
      <c r="D326" s="4">
        <v>0.375</v>
      </c>
      <c r="E326" s="4">
        <v>0.115</v>
      </c>
      <c r="F326" s="4">
        <v>0.42649999999999999</v>
      </c>
      <c r="V326" s="3">
        <v>1.0585716666666665</v>
      </c>
      <c r="W326" s="2">
        <v>1</v>
      </c>
      <c r="X326" s="2">
        <v>0.64</v>
      </c>
      <c r="Y326" s="2">
        <v>0.56499999999999995</v>
      </c>
      <c r="Z326" s="2">
        <v>0.23</v>
      </c>
      <c r="AA326" s="2">
        <v>1.5209999999999999</v>
      </c>
    </row>
    <row r="327" spans="1:27" x14ac:dyDescent="0.2">
      <c r="A327" s="9">
        <v>0.76932433333333339</v>
      </c>
      <c r="B327" s="4">
        <v>1</v>
      </c>
      <c r="C327" s="4">
        <v>0.48499999999999999</v>
      </c>
      <c r="D327" s="4">
        <v>0.375</v>
      </c>
      <c r="E327" s="4">
        <v>0.14499999999999999</v>
      </c>
      <c r="F327" s="4">
        <v>0.58850000000000002</v>
      </c>
      <c r="V327" s="3">
        <v>1.0589995833333334</v>
      </c>
      <c r="W327" s="2">
        <v>1</v>
      </c>
      <c r="X327" s="2">
        <v>0.71</v>
      </c>
      <c r="Y327" s="2">
        <v>0.56999999999999995</v>
      </c>
      <c r="Z327" s="2">
        <v>0.19500000000000001</v>
      </c>
      <c r="AA327" s="2">
        <v>1.9804999999999999</v>
      </c>
    </row>
    <row r="328" spans="1:27" x14ac:dyDescent="0.2">
      <c r="A328" s="9">
        <v>0.76940733333333344</v>
      </c>
      <c r="B328" s="4">
        <v>1</v>
      </c>
      <c r="C328" s="4">
        <v>0.48499999999999999</v>
      </c>
      <c r="D328" s="4">
        <v>0.375</v>
      </c>
      <c r="E328" s="4">
        <v>0.13</v>
      </c>
      <c r="F328" s="4">
        <v>0.55349999999999999</v>
      </c>
      <c r="V328" s="3">
        <v>1.0600870833333333</v>
      </c>
      <c r="W328" s="2">
        <v>1</v>
      </c>
      <c r="X328" s="2">
        <v>0.72</v>
      </c>
      <c r="Y328" s="2">
        <v>0.54500000000000004</v>
      </c>
      <c r="Z328" s="2">
        <v>0.185</v>
      </c>
      <c r="AA328" s="2">
        <v>1.7184999999999999</v>
      </c>
    </row>
    <row r="329" spans="1:27" x14ac:dyDescent="0.2">
      <c r="A329" s="9">
        <v>0.76968800000000004</v>
      </c>
      <c r="B329" s="4">
        <v>1</v>
      </c>
      <c r="C329" s="4">
        <v>0.48499999999999999</v>
      </c>
      <c r="D329" s="4">
        <v>0.375</v>
      </c>
      <c r="E329" s="4">
        <v>0.13500000000000001</v>
      </c>
      <c r="F329" s="4">
        <v>0.55600000000000005</v>
      </c>
      <c r="V329" s="3">
        <v>1.0611629166666667</v>
      </c>
      <c r="W329" s="2">
        <v>1</v>
      </c>
      <c r="X329" s="2">
        <v>0.7</v>
      </c>
      <c r="Y329" s="2">
        <v>0.55000000000000004</v>
      </c>
      <c r="Z329" s="2">
        <v>0.19500000000000001</v>
      </c>
      <c r="AA329" s="2">
        <v>1.6245000000000001</v>
      </c>
    </row>
    <row r="330" spans="1:27" x14ac:dyDescent="0.2">
      <c r="A330" s="9">
        <v>0.76981700000000008</v>
      </c>
      <c r="B330" s="4">
        <v>1</v>
      </c>
      <c r="C330" s="4">
        <v>0.48499999999999999</v>
      </c>
      <c r="D330" s="4">
        <v>0.37</v>
      </c>
      <c r="E330" s="4">
        <v>0.115</v>
      </c>
      <c r="F330" s="4">
        <v>0.47849999999999998</v>
      </c>
      <c r="V330" s="3">
        <v>1.0618974999999999</v>
      </c>
      <c r="W330" s="2">
        <v>1</v>
      </c>
      <c r="X330" s="2">
        <v>0.70499999999999996</v>
      </c>
      <c r="Y330" s="2">
        <v>0.56999999999999995</v>
      </c>
      <c r="Z330" s="2">
        <v>0.185</v>
      </c>
      <c r="AA330" s="2">
        <v>1.7609999999999999</v>
      </c>
    </row>
    <row r="331" spans="1:27" x14ac:dyDescent="0.2">
      <c r="A331" s="9">
        <v>0.7698653333333334</v>
      </c>
      <c r="B331" s="4">
        <v>1</v>
      </c>
      <c r="C331" s="4">
        <v>0.49</v>
      </c>
      <c r="D331" s="4">
        <v>0.38</v>
      </c>
      <c r="E331" s="4">
        <v>0.14000000000000001</v>
      </c>
      <c r="F331" s="4">
        <v>0.63849999999999996</v>
      </c>
      <c r="V331" s="3">
        <v>1.0619229166666664</v>
      </c>
      <c r="W331" s="2">
        <v>1</v>
      </c>
      <c r="X331" s="2">
        <v>0.72</v>
      </c>
      <c r="Y331" s="2">
        <v>0.56000000000000005</v>
      </c>
      <c r="Z331" s="2">
        <v>0.17499999999999999</v>
      </c>
      <c r="AA331" s="2">
        <v>1.7264999999999999</v>
      </c>
    </row>
    <row r="332" spans="1:27" x14ac:dyDescent="0.2">
      <c r="A332" s="9">
        <v>0.77044133333333331</v>
      </c>
      <c r="B332" s="4">
        <v>1</v>
      </c>
      <c r="C332" s="4">
        <v>0.48499999999999999</v>
      </c>
      <c r="D332" s="4">
        <v>0.37</v>
      </c>
      <c r="E332" s="4">
        <v>0.14000000000000001</v>
      </c>
      <c r="F332" s="4">
        <v>0.50649999999999995</v>
      </c>
      <c r="V332" s="3">
        <v>1.0620124999999998</v>
      </c>
      <c r="W332" s="2">
        <v>1</v>
      </c>
      <c r="X332" s="2">
        <v>0.73</v>
      </c>
      <c r="Y332" s="2">
        <v>0.56000000000000005</v>
      </c>
      <c r="Z332" s="2">
        <v>0.19</v>
      </c>
      <c r="AA332" s="2">
        <v>1.9424999999999999</v>
      </c>
    </row>
    <row r="333" spans="1:27" x14ac:dyDescent="0.2">
      <c r="A333" s="9">
        <v>0.77061666666666673</v>
      </c>
      <c r="B333" s="4">
        <v>1</v>
      </c>
      <c r="C333" s="4">
        <v>0.48</v>
      </c>
      <c r="D333" s="4">
        <v>0.39500000000000002</v>
      </c>
      <c r="E333" s="4">
        <v>0.15</v>
      </c>
      <c r="F333" s="4">
        <v>0.68149999999999999</v>
      </c>
      <c r="V333" s="3">
        <v>1.0620166666666666</v>
      </c>
      <c r="W333" s="2">
        <v>1</v>
      </c>
      <c r="X333" s="2">
        <v>0.72</v>
      </c>
      <c r="Y333" s="2">
        <v>0.52500000000000002</v>
      </c>
      <c r="Z333" s="2">
        <v>0.18</v>
      </c>
      <c r="AA333" s="2">
        <v>1.4450000000000001</v>
      </c>
    </row>
    <row r="334" spans="1:27" x14ac:dyDescent="0.2">
      <c r="A334" s="9">
        <v>0.77067733333333333</v>
      </c>
      <c r="B334" s="4">
        <v>1</v>
      </c>
      <c r="C334" s="4">
        <v>0.48</v>
      </c>
      <c r="D334" s="4">
        <v>0.38</v>
      </c>
      <c r="E334" s="4">
        <v>0.13500000000000001</v>
      </c>
      <c r="F334" s="4">
        <v>0.52800000000000002</v>
      </c>
      <c r="V334" s="3">
        <v>1.0629191666666666</v>
      </c>
      <c r="W334" s="2">
        <v>1</v>
      </c>
      <c r="X334" s="2">
        <v>0.71</v>
      </c>
      <c r="Y334" s="2">
        <v>0.56499999999999995</v>
      </c>
      <c r="Z334" s="2">
        <v>0.19500000000000001</v>
      </c>
      <c r="AA334" s="2">
        <v>1.8169999999999999</v>
      </c>
    </row>
    <row r="335" spans="1:27" x14ac:dyDescent="0.2">
      <c r="A335" s="9">
        <v>0.77074233333333342</v>
      </c>
      <c r="B335" s="4">
        <v>1</v>
      </c>
      <c r="C335" s="4">
        <v>0.5</v>
      </c>
      <c r="D335" s="4">
        <v>0.375</v>
      </c>
      <c r="E335" s="4">
        <v>0.115</v>
      </c>
      <c r="F335" s="4">
        <v>0.59450000000000003</v>
      </c>
      <c r="V335" s="3">
        <v>1.0634833333333333</v>
      </c>
      <c r="W335" s="2">
        <v>1</v>
      </c>
      <c r="X335" s="2">
        <v>0.65500000000000003</v>
      </c>
      <c r="Y335" s="2">
        <v>0.59</v>
      </c>
      <c r="Z335" s="2">
        <v>0.2</v>
      </c>
      <c r="AA335" s="2">
        <v>1.5455000000000001</v>
      </c>
    </row>
    <row r="336" spans="1:27" x14ac:dyDescent="0.2">
      <c r="A336" s="9">
        <v>0.77083733333333337</v>
      </c>
      <c r="B336" s="4">
        <v>1</v>
      </c>
      <c r="C336" s="4">
        <v>0.49</v>
      </c>
      <c r="D336" s="4">
        <v>0.39500000000000002</v>
      </c>
      <c r="E336" s="4">
        <v>0.12</v>
      </c>
      <c r="F336" s="4">
        <v>0.67400000000000004</v>
      </c>
      <c r="V336" s="3">
        <v>1.06412</v>
      </c>
      <c r="W336" s="2">
        <v>1</v>
      </c>
      <c r="X336" s="2">
        <v>0.72499999999999998</v>
      </c>
      <c r="Y336" s="2">
        <v>0.56000000000000005</v>
      </c>
      <c r="Z336" s="2">
        <v>0.185</v>
      </c>
      <c r="AA336" s="2">
        <v>1.792</v>
      </c>
    </row>
    <row r="337" spans="1:27" x14ac:dyDescent="0.2">
      <c r="A337" s="9">
        <v>0.77104666666666666</v>
      </c>
      <c r="B337" s="4">
        <v>1</v>
      </c>
      <c r="C337" s="4">
        <v>0.48499999999999999</v>
      </c>
      <c r="D337" s="4">
        <v>0.36499999999999999</v>
      </c>
      <c r="E337" s="4">
        <v>0.125</v>
      </c>
      <c r="F337" s="4">
        <v>0.42599999999999999</v>
      </c>
      <c r="V337" s="3">
        <v>1.0642091666666667</v>
      </c>
      <c r="W337" s="2">
        <v>1</v>
      </c>
      <c r="X337" s="2">
        <v>0.73499999999999999</v>
      </c>
      <c r="Y337" s="2">
        <v>0.56999999999999995</v>
      </c>
      <c r="Z337" s="2">
        <v>0.21</v>
      </c>
      <c r="AA337" s="2">
        <v>2.2355</v>
      </c>
    </row>
    <row r="338" spans="1:27" x14ac:dyDescent="0.2">
      <c r="A338" s="9">
        <v>0.77108333333333334</v>
      </c>
      <c r="B338" s="4">
        <v>1</v>
      </c>
      <c r="C338" s="4">
        <v>0.48</v>
      </c>
      <c r="D338" s="4">
        <v>0.39</v>
      </c>
      <c r="E338" s="4">
        <v>0.15</v>
      </c>
      <c r="F338" s="4">
        <v>0.62749999999999995</v>
      </c>
      <c r="V338" s="3">
        <v>1.0657958333333333</v>
      </c>
      <c r="W338" s="2">
        <v>1</v>
      </c>
      <c r="X338" s="2">
        <v>0.70499999999999996</v>
      </c>
      <c r="Y338" s="2">
        <v>0.56000000000000005</v>
      </c>
      <c r="Z338" s="2">
        <v>0.17</v>
      </c>
      <c r="AA338" s="2">
        <v>1.4575</v>
      </c>
    </row>
    <row r="339" spans="1:27" x14ac:dyDescent="0.2">
      <c r="A339" s="9">
        <v>0.77109099999999997</v>
      </c>
      <c r="B339" s="4">
        <v>1</v>
      </c>
      <c r="C339" s="4">
        <v>0.495</v>
      </c>
      <c r="D339" s="4">
        <v>0.38</v>
      </c>
      <c r="E339" s="4">
        <v>0.13500000000000001</v>
      </c>
      <c r="F339" s="4">
        <v>0.62949999999999995</v>
      </c>
      <c r="V339" s="3">
        <v>1.0659000000000001</v>
      </c>
      <c r="W339" s="2">
        <v>1</v>
      </c>
      <c r="X339" s="2">
        <v>0.7</v>
      </c>
      <c r="Y339" s="2">
        <v>0.55000000000000004</v>
      </c>
      <c r="Z339" s="2">
        <v>0.2</v>
      </c>
      <c r="AA339" s="2">
        <v>1.5229999999999999</v>
      </c>
    </row>
    <row r="340" spans="1:27" x14ac:dyDescent="0.2">
      <c r="A340" s="9">
        <v>0.77110800000000002</v>
      </c>
      <c r="B340" s="4">
        <v>1</v>
      </c>
      <c r="C340" s="4">
        <v>0.5</v>
      </c>
      <c r="D340" s="4">
        <v>0.38500000000000001</v>
      </c>
      <c r="E340" s="4">
        <v>0.155</v>
      </c>
      <c r="F340" s="4">
        <v>0.76200000000000001</v>
      </c>
      <c r="V340" s="3">
        <v>1.0660433333333332</v>
      </c>
      <c r="W340" s="2">
        <v>1</v>
      </c>
      <c r="X340" s="2">
        <v>0.69499999999999995</v>
      </c>
      <c r="Y340" s="2">
        <v>0.56000000000000005</v>
      </c>
      <c r="Z340" s="2">
        <v>0.19</v>
      </c>
      <c r="AA340" s="2">
        <v>1.494</v>
      </c>
    </row>
    <row r="341" spans="1:27" x14ac:dyDescent="0.2">
      <c r="A341" s="9">
        <v>0.771536</v>
      </c>
      <c r="B341" s="4">
        <v>1</v>
      </c>
      <c r="C341" s="4">
        <v>0.47499999999999998</v>
      </c>
      <c r="D341" s="4">
        <v>0.38</v>
      </c>
      <c r="E341" s="4">
        <v>0.12</v>
      </c>
      <c r="F341" s="4">
        <v>0.441</v>
      </c>
      <c r="V341" s="3">
        <v>1.0671166666666667</v>
      </c>
      <c r="W341" s="2">
        <v>1</v>
      </c>
      <c r="X341" s="2">
        <v>0.7</v>
      </c>
      <c r="Y341" s="2">
        <v>0.57499999999999996</v>
      </c>
      <c r="Z341" s="2">
        <v>0.2</v>
      </c>
      <c r="AA341" s="2">
        <v>1.7364999999999999</v>
      </c>
    </row>
    <row r="342" spans="1:27" x14ac:dyDescent="0.2">
      <c r="A342" s="9">
        <v>0.77166333333333337</v>
      </c>
      <c r="B342" s="4">
        <v>1</v>
      </c>
      <c r="C342" s="4">
        <v>0.48499999999999999</v>
      </c>
      <c r="D342" s="4">
        <v>0.39</v>
      </c>
      <c r="E342" s="4">
        <v>0.125</v>
      </c>
      <c r="F342" s="4">
        <v>0.59099999999999997</v>
      </c>
      <c r="V342" s="3">
        <v>1.0676512499999999</v>
      </c>
      <c r="W342" s="2">
        <v>1</v>
      </c>
      <c r="X342" s="2">
        <v>0.73</v>
      </c>
      <c r="Y342" s="2">
        <v>0.57499999999999996</v>
      </c>
      <c r="Z342" s="2">
        <v>0.185</v>
      </c>
      <c r="AA342" s="2">
        <v>1.8794999999999999</v>
      </c>
    </row>
    <row r="343" spans="1:27" x14ac:dyDescent="0.2">
      <c r="A343" s="9">
        <v>0.77171333333333336</v>
      </c>
      <c r="B343" s="4">
        <v>1</v>
      </c>
      <c r="C343" s="4">
        <v>0.495</v>
      </c>
      <c r="D343" s="4">
        <v>0.4</v>
      </c>
      <c r="E343" s="4">
        <v>0.14000000000000001</v>
      </c>
      <c r="F343" s="4">
        <v>0.77749999999999997</v>
      </c>
      <c r="V343" s="3">
        <v>1.0687125</v>
      </c>
      <c r="W343" s="2">
        <v>1</v>
      </c>
      <c r="X343" s="2">
        <v>0.67500000000000004</v>
      </c>
      <c r="Y343" s="2">
        <v>0.56999999999999995</v>
      </c>
      <c r="Z343" s="2">
        <v>0.22500000000000001</v>
      </c>
      <c r="AA343" s="2">
        <v>1.587</v>
      </c>
    </row>
    <row r="344" spans="1:27" x14ac:dyDescent="0.2">
      <c r="A344" s="9">
        <v>0.77177899999999999</v>
      </c>
      <c r="B344" s="4">
        <v>1</v>
      </c>
      <c r="C344" s="4">
        <v>0.505</v>
      </c>
      <c r="D344" s="4">
        <v>0.38</v>
      </c>
      <c r="E344" s="4">
        <v>0.13500000000000001</v>
      </c>
      <c r="F344" s="4">
        <v>0.6855</v>
      </c>
      <c r="V344" s="3">
        <v>1.0691933333333332</v>
      </c>
      <c r="W344" s="2">
        <v>1</v>
      </c>
      <c r="X344" s="2">
        <v>0.75</v>
      </c>
      <c r="Y344" s="2">
        <v>0.56999999999999995</v>
      </c>
      <c r="Z344" s="2">
        <v>0.21</v>
      </c>
      <c r="AA344" s="2">
        <v>2.2360000000000002</v>
      </c>
    </row>
    <row r="345" spans="1:27" x14ac:dyDescent="0.2">
      <c r="A345" s="9">
        <v>0.77210000000000001</v>
      </c>
      <c r="B345" s="4">
        <v>1</v>
      </c>
      <c r="C345" s="4">
        <v>0.495</v>
      </c>
      <c r="D345" s="4">
        <v>0.375</v>
      </c>
      <c r="E345" s="4">
        <v>0.15</v>
      </c>
      <c r="F345" s="4">
        <v>0.59699999999999998</v>
      </c>
      <c r="V345" s="3">
        <v>1.0700208333333334</v>
      </c>
      <c r="W345" s="2">
        <v>1</v>
      </c>
      <c r="X345" s="2">
        <v>0.71</v>
      </c>
      <c r="Y345" s="2">
        <v>0.57499999999999996</v>
      </c>
      <c r="Z345" s="2">
        <v>0.17499999999999999</v>
      </c>
      <c r="AA345" s="2">
        <v>1.5549999999999999</v>
      </c>
    </row>
    <row r="346" spans="1:27" x14ac:dyDescent="0.2">
      <c r="A346" s="9">
        <v>0.77228300000000005</v>
      </c>
      <c r="B346" s="4">
        <v>1</v>
      </c>
      <c r="C346" s="4">
        <v>0.495</v>
      </c>
      <c r="D346" s="4">
        <v>0.38500000000000001</v>
      </c>
      <c r="E346" s="4">
        <v>0.13500000000000001</v>
      </c>
      <c r="F346" s="4">
        <v>0.63349999999999995</v>
      </c>
      <c r="V346" s="3">
        <v>1.0704149999999999</v>
      </c>
      <c r="W346" s="2">
        <v>1</v>
      </c>
      <c r="X346" s="2">
        <v>0.72</v>
      </c>
      <c r="Y346" s="2">
        <v>0.57499999999999996</v>
      </c>
      <c r="Z346" s="2">
        <v>0.18</v>
      </c>
      <c r="AA346" s="2">
        <v>1.6705000000000001</v>
      </c>
    </row>
    <row r="347" spans="1:27" x14ac:dyDescent="0.2">
      <c r="A347" s="9">
        <v>0.77234133333333332</v>
      </c>
      <c r="B347" s="4">
        <v>1</v>
      </c>
      <c r="C347" s="4">
        <v>0.49</v>
      </c>
      <c r="D347" s="4">
        <v>0.38500000000000001</v>
      </c>
      <c r="E347" s="4">
        <v>0.16</v>
      </c>
      <c r="F347" s="4">
        <v>0.65600000000000003</v>
      </c>
      <c r="V347" s="3">
        <v>1.0738391666666667</v>
      </c>
      <c r="W347" s="2">
        <v>1</v>
      </c>
      <c r="X347" s="2">
        <v>0.73499999999999999</v>
      </c>
      <c r="Y347" s="2">
        <v>0.59</v>
      </c>
      <c r="Z347" s="2">
        <v>0.20499999999999999</v>
      </c>
      <c r="AA347" s="2">
        <v>2.0870000000000002</v>
      </c>
    </row>
    <row r="348" spans="1:27" x14ac:dyDescent="0.2">
      <c r="A348" s="9">
        <v>0.77239466666666667</v>
      </c>
      <c r="B348" s="4">
        <v>1</v>
      </c>
      <c r="C348" s="4">
        <v>0.5</v>
      </c>
      <c r="D348" s="4">
        <v>0.375</v>
      </c>
      <c r="E348" s="4">
        <v>0.14000000000000001</v>
      </c>
      <c r="F348" s="4">
        <v>0.60399999999999998</v>
      </c>
      <c r="V348" s="3">
        <v>1.0746125</v>
      </c>
      <c r="W348" s="2">
        <v>1</v>
      </c>
      <c r="X348" s="2">
        <v>0.71499999999999997</v>
      </c>
      <c r="Y348" s="2">
        <v>0.58499999999999996</v>
      </c>
      <c r="Z348" s="2">
        <v>0.23</v>
      </c>
      <c r="AA348" s="2">
        <v>2.0724999999999998</v>
      </c>
    </row>
    <row r="349" spans="1:27" x14ac:dyDescent="0.2">
      <c r="A349" s="9">
        <v>0.77257400000000009</v>
      </c>
      <c r="B349" s="4">
        <v>1</v>
      </c>
      <c r="C349" s="4">
        <v>0.48499999999999999</v>
      </c>
      <c r="D349" s="4">
        <v>0.4</v>
      </c>
      <c r="E349" s="4">
        <v>0.13500000000000001</v>
      </c>
      <c r="F349" s="4">
        <v>0.66300000000000003</v>
      </c>
      <c r="V349" s="3">
        <v>1.0746666666666667</v>
      </c>
      <c r="W349" s="2">
        <v>1</v>
      </c>
      <c r="X349" s="2">
        <v>0.72499999999999998</v>
      </c>
      <c r="Y349" s="2">
        <v>0.55000000000000004</v>
      </c>
      <c r="Z349" s="2">
        <v>0.2</v>
      </c>
      <c r="AA349" s="2">
        <v>1.51</v>
      </c>
    </row>
    <row r="350" spans="1:27" x14ac:dyDescent="0.2">
      <c r="A350" s="9">
        <v>0.77259600000000006</v>
      </c>
      <c r="B350" s="4">
        <v>1</v>
      </c>
      <c r="C350" s="4">
        <v>0.49</v>
      </c>
      <c r="D350" s="4">
        <v>0.38</v>
      </c>
      <c r="E350" s="4">
        <v>0.13</v>
      </c>
      <c r="F350" s="4">
        <v>0.53900000000000003</v>
      </c>
      <c r="V350" s="3">
        <v>1.0761670833333332</v>
      </c>
      <c r="W350" s="2">
        <v>1</v>
      </c>
      <c r="X350" s="2">
        <v>0.75</v>
      </c>
      <c r="Y350" s="2">
        <v>0.59499999999999997</v>
      </c>
      <c r="Z350" s="2">
        <v>0.20499999999999999</v>
      </c>
      <c r="AA350" s="2">
        <v>2.2204999999999999</v>
      </c>
    </row>
    <row r="351" spans="1:27" x14ac:dyDescent="0.2">
      <c r="A351" s="9">
        <v>0.77284400000000009</v>
      </c>
      <c r="B351" s="4">
        <v>1</v>
      </c>
      <c r="C351" s="4">
        <v>0.48499999999999999</v>
      </c>
      <c r="D351" s="4">
        <v>0.39500000000000002</v>
      </c>
      <c r="E351" s="4">
        <v>0.14000000000000001</v>
      </c>
      <c r="F351" s="4">
        <v>0.62949999999999995</v>
      </c>
      <c r="V351" s="3">
        <v>1.0771274999999998</v>
      </c>
      <c r="W351" s="2">
        <v>1</v>
      </c>
      <c r="X351" s="2">
        <v>0.745</v>
      </c>
      <c r="Y351" s="2">
        <v>0.56499999999999995</v>
      </c>
      <c r="Z351" s="2">
        <v>0.215</v>
      </c>
      <c r="AA351" s="2">
        <v>1.931</v>
      </c>
    </row>
    <row r="352" spans="1:27" x14ac:dyDescent="0.2">
      <c r="A352" s="9">
        <v>0.7728600000000001</v>
      </c>
      <c r="B352" s="4">
        <v>1</v>
      </c>
      <c r="C352" s="4">
        <v>0.51</v>
      </c>
      <c r="D352" s="4">
        <v>0.375</v>
      </c>
      <c r="E352" s="4">
        <v>0.1</v>
      </c>
      <c r="F352" s="4">
        <v>0.57850000000000001</v>
      </c>
      <c r="V352" s="3">
        <v>1.0790329166666666</v>
      </c>
      <c r="W352" s="2">
        <v>1</v>
      </c>
      <c r="X352" s="2">
        <v>0.72499999999999998</v>
      </c>
      <c r="Y352" s="2">
        <v>0.56999999999999995</v>
      </c>
      <c r="Z352" s="2">
        <v>0.20499999999999999</v>
      </c>
      <c r="AA352" s="2">
        <v>1.6194999999999999</v>
      </c>
    </row>
    <row r="353" spans="1:27" x14ac:dyDescent="0.2">
      <c r="A353" s="9">
        <v>0.77288366666666675</v>
      </c>
      <c r="B353" s="4">
        <v>1</v>
      </c>
      <c r="C353" s="4">
        <v>0.505</v>
      </c>
      <c r="D353" s="4">
        <v>0.39</v>
      </c>
      <c r="E353" s="4">
        <v>0.105</v>
      </c>
      <c r="F353" s="4">
        <v>0.65549999999999997</v>
      </c>
      <c r="V353" s="3">
        <v>1.0798079166666665</v>
      </c>
      <c r="W353" s="2">
        <v>1</v>
      </c>
      <c r="X353" s="2">
        <v>0.72</v>
      </c>
      <c r="Y353" s="2">
        <v>0.59</v>
      </c>
      <c r="Z353" s="2">
        <v>0.20499999999999999</v>
      </c>
      <c r="AA353" s="2">
        <v>1.7495000000000001</v>
      </c>
    </row>
    <row r="354" spans="1:27" x14ac:dyDescent="0.2">
      <c r="A354" s="9">
        <v>0.77299400000000007</v>
      </c>
      <c r="B354" s="4">
        <v>1</v>
      </c>
      <c r="C354" s="4">
        <v>0.5</v>
      </c>
      <c r="D354" s="4">
        <v>0.38</v>
      </c>
      <c r="E354" s="4">
        <v>0.11</v>
      </c>
      <c r="F354" s="4">
        <v>0.5605</v>
      </c>
      <c r="V354" s="3">
        <v>1.0804258333333334</v>
      </c>
      <c r="W354" s="2">
        <v>1</v>
      </c>
      <c r="X354" s="2">
        <v>0.72499999999999998</v>
      </c>
      <c r="Y354" s="2">
        <v>0.57999999999999996</v>
      </c>
      <c r="Z354" s="2">
        <v>0.185</v>
      </c>
      <c r="AA354" s="2">
        <v>1.5229999999999999</v>
      </c>
    </row>
    <row r="355" spans="1:27" x14ac:dyDescent="0.2">
      <c r="A355" s="9">
        <v>0.77310000000000001</v>
      </c>
      <c r="B355" s="4">
        <v>1</v>
      </c>
      <c r="C355" s="4">
        <v>0.505</v>
      </c>
      <c r="D355" s="4">
        <v>0.4</v>
      </c>
      <c r="E355" s="4">
        <v>0.125</v>
      </c>
      <c r="F355" s="4">
        <v>0.77</v>
      </c>
      <c r="V355" s="3">
        <v>1.0837666666666665</v>
      </c>
      <c r="W355" s="2">
        <v>1</v>
      </c>
      <c r="X355" s="2">
        <v>0.72499999999999998</v>
      </c>
      <c r="Y355" s="2">
        <v>0.6</v>
      </c>
      <c r="Z355" s="2">
        <v>0.2</v>
      </c>
      <c r="AA355" s="2">
        <v>1.7370000000000001</v>
      </c>
    </row>
    <row r="356" spans="1:27" x14ac:dyDescent="0.2">
      <c r="A356" s="9">
        <v>0.77311866666666673</v>
      </c>
      <c r="B356" s="4">
        <v>1</v>
      </c>
      <c r="C356" s="4">
        <v>0.49</v>
      </c>
      <c r="D356" s="4">
        <v>0.38</v>
      </c>
      <c r="E356" s="4">
        <v>0.155</v>
      </c>
      <c r="F356" s="4">
        <v>0.57799999999999996</v>
      </c>
      <c r="V356" s="3">
        <v>1.0878008333333333</v>
      </c>
      <c r="W356" s="2">
        <v>1</v>
      </c>
      <c r="X356" s="2">
        <v>0.73499999999999999</v>
      </c>
      <c r="Y356" s="2">
        <v>0.59</v>
      </c>
      <c r="Z356" s="2">
        <v>0.215</v>
      </c>
      <c r="AA356" s="2">
        <v>1.7470000000000001</v>
      </c>
    </row>
    <row r="357" spans="1:27" x14ac:dyDescent="0.2">
      <c r="A357" s="9">
        <v>0.77314399999999994</v>
      </c>
      <c r="B357" s="4">
        <v>1</v>
      </c>
      <c r="C357" s="4">
        <v>0.5</v>
      </c>
      <c r="D357" s="4">
        <v>0.38</v>
      </c>
      <c r="E357" s="4">
        <v>0.12</v>
      </c>
      <c r="F357" s="4">
        <v>0.57650000000000001</v>
      </c>
      <c r="V357" s="10">
        <v>1.1319583333333332</v>
      </c>
      <c r="W357" s="11">
        <v>1</v>
      </c>
      <c r="X357" s="11">
        <v>0.81499999999999995</v>
      </c>
      <c r="Y357" s="11">
        <v>0.65</v>
      </c>
      <c r="Z357" s="11">
        <v>0.25</v>
      </c>
      <c r="AA357" s="11">
        <v>2.2549999999999999</v>
      </c>
    </row>
    <row r="358" spans="1:27" x14ac:dyDescent="0.2">
      <c r="A358" s="9">
        <v>0.77350999999999992</v>
      </c>
      <c r="B358" s="4">
        <v>1</v>
      </c>
      <c r="C358" s="4">
        <v>0.5</v>
      </c>
      <c r="D358" s="4">
        <v>0.38</v>
      </c>
      <c r="E358" s="4">
        <v>0.125</v>
      </c>
      <c r="F358" s="4">
        <v>0.57699999999999996</v>
      </c>
      <c r="V358" s="3" t="s">
        <v>64</v>
      </c>
      <c r="W358" s="2">
        <v>357</v>
      </c>
      <c r="X358" s="2">
        <v>225.42500000000001</v>
      </c>
      <c r="Y358" s="2">
        <v>177.39500000000001</v>
      </c>
      <c r="Z358" s="2">
        <v>60.644999999999989</v>
      </c>
      <c r="AA358" s="2">
        <v>460.43850000000026</v>
      </c>
    </row>
    <row r="359" spans="1:27" x14ac:dyDescent="0.2">
      <c r="A359" s="9">
        <v>0.77355166666666675</v>
      </c>
      <c r="B359" s="4">
        <v>1</v>
      </c>
      <c r="C359" s="4">
        <v>0.49</v>
      </c>
      <c r="D359" s="4">
        <v>0.38500000000000001</v>
      </c>
      <c r="E359" s="4">
        <v>0.125</v>
      </c>
      <c r="F359" s="4">
        <v>0.53949999999999998</v>
      </c>
    </row>
    <row r="360" spans="1:27" x14ac:dyDescent="0.2">
      <c r="A360" s="9">
        <v>0.77355400000000019</v>
      </c>
      <c r="B360" s="4">
        <v>1</v>
      </c>
      <c r="C360" s="4">
        <v>0.51</v>
      </c>
      <c r="D360" s="4">
        <v>0.375</v>
      </c>
      <c r="E360" s="4">
        <v>0.11</v>
      </c>
      <c r="F360" s="4">
        <v>0.58050000000000002</v>
      </c>
    </row>
    <row r="361" spans="1:27" x14ac:dyDescent="0.2">
      <c r="A361" s="9">
        <v>0.77358400000000005</v>
      </c>
      <c r="B361" s="4">
        <v>1</v>
      </c>
      <c r="C361" s="4">
        <v>0.5</v>
      </c>
      <c r="D361" s="4">
        <v>0.375</v>
      </c>
      <c r="E361" s="4">
        <v>0.12</v>
      </c>
      <c r="F361" s="4">
        <v>0.52900000000000003</v>
      </c>
    </row>
    <row r="362" spans="1:27" x14ac:dyDescent="0.2">
      <c r="A362" s="9">
        <v>0.77367866666666663</v>
      </c>
      <c r="B362" s="4">
        <v>1</v>
      </c>
      <c r="C362" s="4">
        <v>0.5</v>
      </c>
      <c r="D362" s="4">
        <v>0.38</v>
      </c>
      <c r="E362" s="4">
        <v>0.13500000000000001</v>
      </c>
      <c r="F362" s="4">
        <v>0.59399999999999997</v>
      </c>
    </row>
    <row r="363" spans="1:27" x14ac:dyDescent="0.2">
      <c r="A363" s="9">
        <v>0.77382000000000017</v>
      </c>
      <c r="B363" s="4">
        <v>1</v>
      </c>
      <c r="C363" s="4">
        <v>0.49</v>
      </c>
      <c r="D363" s="4">
        <v>0.39</v>
      </c>
      <c r="E363" s="4">
        <v>0.13500000000000001</v>
      </c>
      <c r="F363" s="4">
        <v>0.59</v>
      </c>
    </row>
    <row r="364" spans="1:27" x14ac:dyDescent="0.2">
      <c r="A364" s="9">
        <v>0.77382400000000007</v>
      </c>
      <c r="B364" s="4">
        <v>1</v>
      </c>
      <c r="C364" s="4">
        <v>0.505</v>
      </c>
      <c r="D364" s="4">
        <v>0.38</v>
      </c>
      <c r="E364" s="4">
        <v>0.12</v>
      </c>
      <c r="F364" s="4">
        <v>0.59399999999999997</v>
      </c>
    </row>
    <row r="365" spans="1:27" x14ac:dyDescent="0.2">
      <c r="A365" s="9">
        <v>0.77384433333333336</v>
      </c>
      <c r="B365" s="4">
        <v>1</v>
      </c>
      <c r="C365" s="4">
        <v>0.505</v>
      </c>
      <c r="D365" s="4">
        <v>0.4</v>
      </c>
      <c r="E365" s="4">
        <v>0.155</v>
      </c>
      <c r="F365" s="4">
        <v>0.84150000000000003</v>
      </c>
    </row>
    <row r="366" spans="1:27" x14ac:dyDescent="0.2">
      <c r="A366" s="9">
        <v>0.77386600000000005</v>
      </c>
      <c r="B366" s="4">
        <v>1</v>
      </c>
      <c r="C366" s="4">
        <v>0.505</v>
      </c>
      <c r="D366" s="4">
        <v>0.38</v>
      </c>
      <c r="E366" s="4">
        <v>0.14499999999999999</v>
      </c>
      <c r="F366" s="4">
        <v>0.65100000000000002</v>
      </c>
    </row>
    <row r="367" spans="1:27" x14ac:dyDescent="0.2">
      <c r="A367" s="9">
        <v>0.77392533333333347</v>
      </c>
      <c r="B367" s="4">
        <v>1</v>
      </c>
      <c r="C367" s="4">
        <v>0.505</v>
      </c>
      <c r="D367" s="4">
        <v>0.38500000000000001</v>
      </c>
      <c r="E367" s="4">
        <v>0.115</v>
      </c>
      <c r="F367" s="4">
        <v>0.61599999999999999</v>
      </c>
    </row>
    <row r="368" spans="1:27" x14ac:dyDescent="0.2">
      <c r="A368" s="9">
        <v>0.77403100000000002</v>
      </c>
      <c r="B368" s="4">
        <v>1</v>
      </c>
      <c r="C368" s="4">
        <v>0.5</v>
      </c>
      <c r="D368" s="4">
        <v>0.39</v>
      </c>
      <c r="E368" s="4">
        <v>0.13500000000000001</v>
      </c>
      <c r="F368" s="4">
        <v>0.65949999999999998</v>
      </c>
    </row>
    <row r="369" spans="1:6" x14ac:dyDescent="0.2">
      <c r="A369" s="9">
        <v>0.77404966666666664</v>
      </c>
      <c r="B369" s="4">
        <v>1</v>
      </c>
      <c r="C369" s="4">
        <v>0.5</v>
      </c>
      <c r="D369" s="4">
        <v>0.38</v>
      </c>
      <c r="E369" s="4">
        <v>0.13500000000000001</v>
      </c>
      <c r="F369" s="4">
        <v>0.58350000000000002</v>
      </c>
    </row>
    <row r="370" spans="1:6" x14ac:dyDescent="0.2">
      <c r="A370" s="9">
        <v>0.77416733333333343</v>
      </c>
      <c r="B370" s="4">
        <v>1</v>
      </c>
      <c r="C370" s="4">
        <v>0.505</v>
      </c>
      <c r="D370" s="4">
        <v>0.38500000000000001</v>
      </c>
      <c r="E370" s="4">
        <v>0.13</v>
      </c>
      <c r="F370" s="4">
        <v>0.64349999999999996</v>
      </c>
    </row>
    <row r="371" spans="1:6" x14ac:dyDescent="0.2">
      <c r="A371" s="9">
        <v>0.77421866666666661</v>
      </c>
      <c r="B371" s="4">
        <v>1</v>
      </c>
      <c r="C371" s="4">
        <v>0.495</v>
      </c>
      <c r="D371" s="4">
        <v>0.38</v>
      </c>
      <c r="E371" s="4">
        <v>0.12</v>
      </c>
      <c r="F371" s="4">
        <v>0.51200000000000001</v>
      </c>
    </row>
    <row r="372" spans="1:6" x14ac:dyDescent="0.2">
      <c r="A372" s="9">
        <v>0.77428800000000009</v>
      </c>
      <c r="B372" s="4">
        <v>1</v>
      </c>
      <c r="C372" s="4">
        <v>0.505</v>
      </c>
      <c r="D372" s="4">
        <v>0.39</v>
      </c>
      <c r="E372" s="4">
        <v>0.12</v>
      </c>
      <c r="F372" s="4">
        <v>0.65300000000000002</v>
      </c>
    </row>
    <row r="373" spans="1:6" x14ac:dyDescent="0.2">
      <c r="A373" s="9">
        <v>0.77429833333333342</v>
      </c>
      <c r="B373" s="4">
        <v>1</v>
      </c>
      <c r="C373" s="4">
        <v>0.505</v>
      </c>
      <c r="D373" s="4">
        <v>0.38500000000000001</v>
      </c>
      <c r="E373" s="4">
        <v>0.14499999999999999</v>
      </c>
      <c r="F373" s="4">
        <v>0.67749999999999999</v>
      </c>
    </row>
    <row r="374" spans="1:6" x14ac:dyDescent="0.2">
      <c r="A374" s="9">
        <v>0.7744553333333335</v>
      </c>
      <c r="B374" s="4">
        <v>1</v>
      </c>
      <c r="C374" s="4">
        <v>0.5</v>
      </c>
      <c r="D374" s="4">
        <v>0.39</v>
      </c>
      <c r="E374" s="4">
        <v>0.13</v>
      </c>
      <c r="F374" s="4">
        <v>0.63549999999999995</v>
      </c>
    </row>
    <row r="375" spans="1:6" x14ac:dyDescent="0.2">
      <c r="A375" s="9">
        <v>0.77449166666666669</v>
      </c>
      <c r="B375" s="4">
        <v>1</v>
      </c>
      <c r="C375" s="4">
        <v>0.48499999999999999</v>
      </c>
      <c r="D375" s="4">
        <v>0.38500000000000001</v>
      </c>
      <c r="E375" s="4">
        <v>0.125</v>
      </c>
      <c r="F375" s="4">
        <v>0.47749999999999998</v>
      </c>
    </row>
    <row r="376" spans="1:6" x14ac:dyDescent="0.2">
      <c r="A376" s="9">
        <v>0.77478266666666662</v>
      </c>
      <c r="B376" s="4">
        <v>1</v>
      </c>
      <c r="C376" s="4">
        <v>0.51500000000000001</v>
      </c>
      <c r="D376" s="4">
        <v>0.375</v>
      </c>
      <c r="E376" s="4">
        <v>0.14000000000000001</v>
      </c>
      <c r="F376" s="4">
        <v>0.65049999999999997</v>
      </c>
    </row>
    <row r="377" spans="1:6" x14ac:dyDescent="0.2">
      <c r="A377" s="9">
        <v>0.77485000000000004</v>
      </c>
      <c r="B377" s="4">
        <v>1</v>
      </c>
      <c r="C377" s="4">
        <v>0.5</v>
      </c>
      <c r="D377" s="4">
        <v>0.39500000000000002</v>
      </c>
      <c r="E377" s="4">
        <v>0.15</v>
      </c>
      <c r="F377" s="4">
        <v>0.71450000000000002</v>
      </c>
    </row>
    <row r="378" spans="1:6" x14ac:dyDescent="0.2">
      <c r="A378" s="9">
        <v>0.77521366666666669</v>
      </c>
      <c r="B378" s="4">
        <v>1</v>
      </c>
      <c r="C378" s="4">
        <v>0.5</v>
      </c>
      <c r="D378" s="4">
        <v>0.38</v>
      </c>
      <c r="E378" s="4">
        <v>0.155</v>
      </c>
      <c r="F378" s="4">
        <v>0.59550000000000003</v>
      </c>
    </row>
    <row r="379" spans="1:6" x14ac:dyDescent="0.2">
      <c r="A379" s="9">
        <v>0.77533333333333321</v>
      </c>
      <c r="B379" s="4">
        <v>1</v>
      </c>
      <c r="C379" s="4">
        <v>0.51500000000000001</v>
      </c>
      <c r="D379" s="4">
        <v>0.38</v>
      </c>
      <c r="E379" s="4">
        <v>0.12</v>
      </c>
      <c r="F379" s="4">
        <v>0.625</v>
      </c>
    </row>
    <row r="380" spans="1:6" x14ac:dyDescent="0.2">
      <c r="A380" s="9">
        <v>0.77548000000000006</v>
      </c>
      <c r="B380" s="4">
        <v>1</v>
      </c>
      <c r="C380" s="4">
        <v>0.505</v>
      </c>
      <c r="D380" s="4">
        <v>0.38500000000000001</v>
      </c>
      <c r="E380" s="4">
        <v>0.125</v>
      </c>
      <c r="F380" s="4">
        <v>0.59599999999999997</v>
      </c>
    </row>
    <row r="381" spans="1:6" x14ac:dyDescent="0.2">
      <c r="A381" s="9">
        <v>0.77552500000000002</v>
      </c>
      <c r="B381" s="4">
        <v>1</v>
      </c>
      <c r="C381" s="4">
        <v>0.5</v>
      </c>
      <c r="D381" s="4">
        <v>0.4</v>
      </c>
      <c r="E381" s="4">
        <v>0.125</v>
      </c>
      <c r="F381" s="4">
        <v>0.66749999999999998</v>
      </c>
    </row>
    <row r="382" spans="1:6" x14ac:dyDescent="0.2">
      <c r="A382" s="9">
        <v>0.77556533333333333</v>
      </c>
      <c r="B382" s="4">
        <v>1</v>
      </c>
      <c r="C382" s="4">
        <v>0.5</v>
      </c>
      <c r="D382" s="4">
        <v>0.38</v>
      </c>
      <c r="E382" s="4">
        <v>0.11</v>
      </c>
      <c r="F382" s="4">
        <v>0.49399999999999999</v>
      </c>
    </row>
    <row r="383" spans="1:6" x14ac:dyDescent="0.2">
      <c r="A383" s="9">
        <v>0.77556666666666674</v>
      </c>
      <c r="B383" s="4">
        <v>1</v>
      </c>
      <c r="C383" s="4">
        <v>0.49</v>
      </c>
      <c r="D383" s="4">
        <v>0.39</v>
      </c>
      <c r="E383" s="4">
        <v>0.15</v>
      </c>
      <c r="F383" s="4">
        <v>0.57299999999999995</v>
      </c>
    </row>
    <row r="384" spans="1:6" x14ac:dyDescent="0.2">
      <c r="A384" s="9">
        <v>0.77568000000000004</v>
      </c>
      <c r="B384" s="4">
        <v>1</v>
      </c>
      <c r="C384" s="4">
        <v>0.47</v>
      </c>
      <c r="D384" s="4">
        <v>0.4</v>
      </c>
      <c r="E384" s="4">
        <v>0.16</v>
      </c>
      <c r="F384" s="4">
        <v>0.51</v>
      </c>
    </row>
    <row r="385" spans="1:6" x14ac:dyDescent="0.2">
      <c r="A385" s="9">
        <v>0.77571133333333342</v>
      </c>
      <c r="B385" s="4">
        <v>1</v>
      </c>
      <c r="C385" s="4">
        <v>0.49</v>
      </c>
      <c r="D385" s="4">
        <v>0.4</v>
      </c>
      <c r="E385" s="4">
        <v>0.115</v>
      </c>
      <c r="F385" s="4">
        <v>0.56899999999999995</v>
      </c>
    </row>
    <row r="386" spans="1:6" x14ac:dyDescent="0.2">
      <c r="A386" s="9">
        <v>0.77582333333333331</v>
      </c>
      <c r="B386" s="4">
        <v>1</v>
      </c>
      <c r="C386" s="4">
        <v>0.495</v>
      </c>
      <c r="D386" s="4">
        <v>0.38</v>
      </c>
      <c r="E386" s="4">
        <v>0.14499999999999999</v>
      </c>
      <c r="F386" s="4">
        <v>0.51500000000000001</v>
      </c>
    </row>
    <row r="387" spans="1:6" x14ac:dyDescent="0.2">
      <c r="A387" s="9">
        <v>0.77610000000000001</v>
      </c>
      <c r="B387" s="4">
        <v>1</v>
      </c>
      <c r="C387" s="4">
        <v>0.5</v>
      </c>
      <c r="D387" s="4">
        <v>0.37</v>
      </c>
      <c r="E387" s="4">
        <v>0.13500000000000001</v>
      </c>
      <c r="F387" s="4">
        <v>0.45</v>
      </c>
    </row>
    <row r="388" spans="1:6" x14ac:dyDescent="0.2">
      <c r="A388" s="9">
        <v>0.7764120000000001</v>
      </c>
      <c r="B388" s="4">
        <v>1</v>
      </c>
      <c r="C388" s="4">
        <v>0.5</v>
      </c>
      <c r="D388" s="4">
        <v>0.38500000000000001</v>
      </c>
      <c r="E388" s="4">
        <v>0.105</v>
      </c>
      <c r="F388" s="4">
        <v>0.498</v>
      </c>
    </row>
    <row r="389" spans="1:6" x14ac:dyDescent="0.2">
      <c r="A389" s="9">
        <v>0.776424</v>
      </c>
      <c r="B389" s="4">
        <v>1</v>
      </c>
      <c r="C389" s="4">
        <v>0.52500000000000002</v>
      </c>
      <c r="D389" s="4">
        <v>0.375</v>
      </c>
      <c r="E389" s="4">
        <v>0.12</v>
      </c>
      <c r="F389" s="4">
        <v>0.63149999999999995</v>
      </c>
    </row>
    <row r="390" spans="1:6" x14ac:dyDescent="0.2">
      <c r="A390" s="9">
        <v>0.7765146666666668</v>
      </c>
      <c r="B390" s="4">
        <v>1</v>
      </c>
      <c r="C390" s="4">
        <v>0.51</v>
      </c>
      <c r="D390" s="4">
        <v>0.4</v>
      </c>
      <c r="E390" s="4">
        <v>0.12</v>
      </c>
      <c r="F390" s="4">
        <v>0.70050000000000001</v>
      </c>
    </row>
    <row r="391" spans="1:6" x14ac:dyDescent="0.2">
      <c r="A391" s="9">
        <v>0.77668800000000005</v>
      </c>
      <c r="B391" s="4">
        <v>1</v>
      </c>
      <c r="C391" s="4">
        <v>0.495</v>
      </c>
      <c r="D391" s="4">
        <v>0.39500000000000002</v>
      </c>
      <c r="E391" s="4">
        <v>0.12</v>
      </c>
      <c r="F391" s="4">
        <v>0.55300000000000005</v>
      </c>
    </row>
    <row r="392" spans="1:6" x14ac:dyDescent="0.2">
      <c r="A392" s="9">
        <v>0.77682866666666683</v>
      </c>
      <c r="B392" s="4">
        <v>1</v>
      </c>
      <c r="C392" s="4">
        <v>0.51</v>
      </c>
      <c r="D392" s="4">
        <v>0.40500000000000003</v>
      </c>
      <c r="E392" s="4">
        <v>0.13500000000000001</v>
      </c>
      <c r="F392" s="4">
        <v>0.76900000000000002</v>
      </c>
    </row>
    <row r="393" spans="1:6" x14ac:dyDescent="0.2">
      <c r="A393" s="9">
        <v>0.77706799999999998</v>
      </c>
      <c r="B393" s="4">
        <v>1</v>
      </c>
      <c r="C393" s="4">
        <v>0.5</v>
      </c>
      <c r="D393" s="4">
        <v>0.4</v>
      </c>
      <c r="E393" s="4">
        <v>0.14000000000000001</v>
      </c>
      <c r="F393" s="4">
        <v>0.66149999999999998</v>
      </c>
    </row>
    <row r="394" spans="1:6" x14ac:dyDescent="0.2">
      <c r="A394" s="9">
        <v>0.77712133333333333</v>
      </c>
      <c r="B394" s="4">
        <v>1</v>
      </c>
      <c r="C394" s="4">
        <v>0.5</v>
      </c>
      <c r="D394" s="4">
        <v>0.39500000000000002</v>
      </c>
      <c r="E394" s="4">
        <v>0.14000000000000001</v>
      </c>
      <c r="F394" s="4">
        <v>0.62150000000000005</v>
      </c>
    </row>
    <row r="395" spans="1:6" x14ac:dyDescent="0.2">
      <c r="A395" s="9">
        <v>0.77738033333333334</v>
      </c>
      <c r="B395" s="4">
        <v>1</v>
      </c>
      <c r="C395" s="4">
        <v>0.505</v>
      </c>
      <c r="D395" s="4">
        <v>0.4</v>
      </c>
      <c r="E395" s="4">
        <v>0.14499999999999999</v>
      </c>
      <c r="F395" s="4">
        <v>0.70450000000000002</v>
      </c>
    </row>
    <row r="396" spans="1:6" x14ac:dyDescent="0.2">
      <c r="A396" s="9">
        <v>0.77750000000000008</v>
      </c>
      <c r="B396" s="4">
        <v>1</v>
      </c>
      <c r="C396" s="4">
        <v>0.52500000000000002</v>
      </c>
      <c r="D396" s="4">
        <v>0.38</v>
      </c>
      <c r="E396" s="4">
        <v>0.125</v>
      </c>
      <c r="F396" s="4">
        <v>0.65</v>
      </c>
    </row>
    <row r="397" spans="1:6" x14ac:dyDescent="0.2">
      <c r="A397" s="9">
        <v>0.777613</v>
      </c>
      <c r="B397" s="4">
        <v>1</v>
      </c>
      <c r="C397" s="4">
        <v>0.495</v>
      </c>
      <c r="D397" s="4">
        <v>0.4</v>
      </c>
      <c r="E397" s="4">
        <v>0.155</v>
      </c>
      <c r="F397" s="4">
        <v>0.64449999999999996</v>
      </c>
    </row>
    <row r="398" spans="1:6" x14ac:dyDescent="0.2">
      <c r="A398" s="9">
        <v>0.77783333333333349</v>
      </c>
      <c r="B398" s="4">
        <v>1</v>
      </c>
      <c r="C398" s="4">
        <v>0.51</v>
      </c>
      <c r="D398" s="4">
        <v>0.38500000000000001</v>
      </c>
      <c r="E398" s="4">
        <v>0.15</v>
      </c>
      <c r="F398" s="4">
        <v>0.625</v>
      </c>
    </row>
    <row r="399" spans="1:6" x14ac:dyDescent="0.2">
      <c r="A399" s="9">
        <v>0.77784900000000001</v>
      </c>
      <c r="B399" s="4">
        <v>1</v>
      </c>
      <c r="C399" s="4">
        <v>0.505</v>
      </c>
      <c r="D399" s="4">
        <v>0.39500000000000002</v>
      </c>
      <c r="E399" s="4">
        <v>0.14499999999999999</v>
      </c>
      <c r="F399" s="4">
        <v>0.65149999999999997</v>
      </c>
    </row>
    <row r="400" spans="1:6" x14ac:dyDescent="0.2">
      <c r="A400" s="9">
        <v>0.77798533333333342</v>
      </c>
      <c r="B400" s="4">
        <v>1</v>
      </c>
      <c r="C400" s="4">
        <v>0.5</v>
      </c>
      <c r="D400" s="4">
        <v>0.40500000000000003</v>
      </c>
      <c r="E400" s="4">
        <v>0.14000000000000001</v>
      </c>
      <c r="F400" s="4">
        <v>0.67349999999999999</v>
      </c>
    </row>
    <row r="401" spans="1:6" x14ac:dyDescent="0.2">
      <c r="A401" s="9">
        <v>0.77809166666666663</v>
      </c>
      <c r="B401" s="4">
        <v>1</v>
      </c>
      <c r="C401" s="4">
        <v>0.5</v>
      </c>
      <c r="D401" s="4">
        <v>0.4</v>
      </c>
      <c r="E401" s="4">
        <v>0.125</v>
      </c>
      <c r="F401" s="4">
        <v>0.59750000000000003</v>
      </c>
    </row>
    <row r="402" spans="1:6" x14ac:dyDescent="0.2">
      <c r="A402" s="9">
        <v>0.77846799999999994</v>
      </c>
      <c r="B402" s="4">
        <v>1</v>
      </c>
      <c r="C402" s="4">
        <v>0.51500000000000001</v>
      </c>
      <c r="D402" s="4">
        <v>0.4</v>
      </c>
      <c r="E402" s="4">
        <v>0.14000000000000001</v>
      </c>
      <c r="F402" s="4">
        <v>0.73650000000000004</v>
      </c>
    </row>
    <row r="403" spans="1:6" x14ac:dyDescent="0.2">
      <c r="A403" s="9">
        <v>0.77848066666666671</v>
      </c>
      <c r="B403" s="4">
        <v>1</v>
      </c>
      <c r="C403" s="4">
        <v>0.52</v>
      </c>
      <c r="D403" s="4">
        <v>0.40500000000000003</v>
      </c>
      <c r="E403" s="4">
        <v>0.14499999999999999</v>
      </c>
      <c r="F403" s="4">
        <v>0.82899999999999996</v>
      </c>
    </row>
    <row r="404" spans="1:6" x14ac:dyDescent="0.2">
      <c r="A404" s="9">
        <v>0.77850000000000008</v>
      </c>
      <c r="B404" s="4">
        <v>1</v>
      </c>
      <c r="C404" s="4">
        <v>0.505</v>
      </c>
      <c r="D404" s="4">
        <v>0.40500000000000003</v>
      </c>
      <c r="E404" s="4">
        <v>0.11</v>
      </c>
      <c r="F404" s="4">
        <v>0.625</v>
      </c>
    </row>
    <row r="405" spans="1:6" x14ac:dyDescent="0.2">
      <c r="A405" s="9">
        <v>0.77860833333333346</v>
      </c>
      <c r="B405" s="4">
        <v>1</v>
      </c>
      <c r="C405" s="4">
        <v>0.51</v>
      </c>
      <c r="D405" s="4">
        <v>0.40500000000000003</v>
      </c>
      <c r="E405" s="4">
        <v>0.125</v>
      </c>
      <c r="F405" s="4">
        <v>0.6925</v>
      </c>
    </row>
    <row r="406" spans="1:6" x14ac:dyDescent="0.2">
      <c r="A406" s="9">
        <v>0.77873999999999999</v>
      </c>
      <c r="B406" s="4">
        <v>2</v>
      </c>
      <c r="C406" s="4">
        <v>0.995</v>
      </c>
      <c r="D406" s="4">
        <v>0.77499999999999991</v>
      </c>
      <c r="E406" s="4">
        <v>0.21500000000000002</v>
      </c>
      <c r="F406" s="4">
        <v>0.90149999999999997</v>
      </c>
    </row>
    <row r="407" spans="1:6" x14ac:dyDescent="0.2">
      <c r="A407" s="9">
        <v>0.77886166666666679</v>
      </c>
      <c r="B407" s="4">
        <v>1</v>
      </c>
      <c r="C407" s="4">
        <v>0.5</v>
      </c>
      <c r="D407" s="4">
        <v>0.4</v>
      </c>
      <c r="E407" s="4">
        <v>0.125</v>
      </c>
      <c r="F407" s="4">
        <v>0.57650000000000001</v>
      </c>
    </row>
    <row r="408" spans="1:6" x14ac:dyDescent="0.2">
      <c r="A408" s="9">
        <v>0.77893233333333334</v>
      </c>
      <c r="B408" s="4">
        <v>1</v>
      </c>
      <c r="C408" s="4">
        <v>0.52</v>
      </c>
      <c r="D408" s="4">
        <v>0.4</v>
      </c>
      <c r="E408" s="4">
        <v>0.14499999999999999</v>
      </c>
      <c r="F408" s="4">
        <v>0.77649999999999997</v>
      </c>
    </row>
    <row r="409" spans="1:6" x14ac:dyDescent="0.2">
      <c r="A409" s="9">
        <v>0.7792553333333333</v>
      </c>
      <c r="B409" s="4">
        <v>1</v>
      </c>
      <c r="C409" s="4">
        <v>0.52</v>
      </c>
      <c r="D409" s="4">
        <v>0.38500000000000001</v>
      </c>
      <c r="E409" s="4">
        <v>0.115</v>
      </c>
      <c r="F409" s="4">
        <v>0.58099999999999996</v>
      </c>
    </row>
    <row r="410" spans="1:6" x14ac:dyDescent="0.2">
      <c r="A410" s="9">
        <v>0.77934133333333333</v>
      </c>
      <c r="B410" s="4">
        <v>1</v>
      </c>
      <c r="C410" s="4">
        <v>0.51500000000000001</v>
      </c>
      <c r="D410" s="4">
        <v>0.40500000000000003</v>
      </c>
      <c r="E410" s="4">
        <v>0.13</v>
      </c>
      <c r="F410" s="4">
        <v>0.72199999999999998</v>
      </c>
    </row>
    <row r="411" spans="1:6" x14ac:dyDescent="0.2">
      <c r="A411" s="9">
        <v>0.7793903333333333</v>
      </c>
      <c r="B411" s="4">
        <v>1</v>
      </c>
      <c r="C411" s="4">
        <v>0.51500000000000001</v>
      </c>
      <c r="D411" s="4">
        <v>0.4</v>
      </c>
      <c r="E411" s="4">
        <v>0.13500000000000001</v>
      </c>
      <c r="F411" s="4">
        <v>0.69650000000000001</v>
      </c>
    </row>
    <row r="412" spans="1:6" x14ac:dyDescent="0.2">
      <c r="A412" s="9">
        <v>0.77941833333333332</v>
      </c>
      <c r="B412" s="4">
        <v>1</v>
      </c>
      <c r="C412" s="4">
        <v>0.52</v>
      </c>
      <c r="D412" s="4">
        <v>0.38</v>
      </c>
      <c r="E412" s="4">
        <v>0.13500000000000001</v>
      </c>
      <c r="F412" s="4">
        <v>0.58250000000000002</v>
      </c>
    </row>
    <row r="413" spans="1:6" x14ac:dyDescent="0.2">
      <c r="A413" s="9">
        <v>0.77950066666666684</v>
      </c>
      <c r="B413" s="4">
        <v>1</v>
      </c>
      <c r="C413" s="4">
        <v>0.51</v>
      </c>
      <c r="D413" s="4">
        <v>0.4</v>
      </c>
      <c r="E413" s="4">
        <v>0.13</v>
      </c>
      <c r="F413" s="4">
        <v>0.64349999999999996</v>
      </c>
    </row>
    <row r="414" spans="1:6" x14ac:dyDescent="0.2">
      <c r="A414" s="9">
        <v>0.77950900000000001</v>
      </c>
      <c r="B414" s="4">
        <v>1</v>
      </c>
      <c r="C414" s="4">
        <v>0.52</v>
      </c>
      <c r="D414" s="4">
        <v>0.39500000000000002</v>
      </c>
      <c r="E414" s="4">
        <v>0.115</v>
      </c>
      <c r="F414" s="4">
        <v>0.64449999999999996</v>
      </c>
    </row>
    <row r="415" spans="1:6" x14ac:dyDescent="0.2">
      <c r="A415" s="9">
        <v>0.77960333333333343</v>
      </c>
      <c r="B415" s="4">
        <v>1</v>
      </c>
      <c r="C415" s="4">
        <v>0.52500000000000002</v>
      </c>
      <c r="D415" s="4">
        <v>0.38</v>
      </c>
      <c r="E415" s="4">
        <v>0.13500000000000001</v>
      </c>
      <c r="F415" s="4">
        <v>0.61499999999999999</v>
      </c>
    </row>
    <row r="416" spans="1:6" x14ac:dyDescent="0.2">
      <c r="A416" s="9">
        <v>0.78004833333333334</v>
      </c>
      <c r="B416" s="4">
        <v>1</v>
      </c>
      <c r="C416" s="4">
        <v>0.51</v>
      </c>
      <c r="D416" s="4">
        <v>0.39500000000000002</v>
      </c>
      <c r="E416" s="4">
        <v>0.125</v>
      </c>
      <c r="F416" s="4">
        <v>0.58050000000000002</v>
      </c>
    </row>
    <row r="417" spans="1:6" x14ac:dyDescent="0.2">
      <c r="A417" s="9">
        <v>0.7800813333333334</v>
      </c>
      <c r="B417" s="4">
        <v>1</v>
      </c>
      <c r="C417" s="4">
        <v>0.51</v>
      </c>
      <c r="D417" s="4">
        <v>0.4</v>
      </c>
      <c r="E417" s="4">
        <v>0.14000000000000001</v>
      </c>
      <c r="F417" s="4">
        <v>0.65149999999999997</v>
      </c>
    </row>
    <row r="418" spans="1:6" x14ac:dyDescent="0.2">
      <c r="A418" s="9">
        <v>0.78049599999999986</v>
      </c>
      <c r="B418" s="4">
        <v>1</v>
      </c>
      <c r="C418" s="4">
        <v>0.51500000000000001</v>
      </c>
      <c r="D418" s="4">
        <v>0.41499999999999998</v>
      </c>
      <c r="E418" s="4">
        <v>0.13</v>
      </c>
      <c r="F418" s="4">
        <v>0.76400000000000001</v>
      </c>
    </row>
    <row r="419" spans="1:6" x14ac:dyDescent="0.2">
      <c r="A419" s="9">
        <v>0.78055000000000019</v>
      </c>
      <c r="B419" s="4">
        <v>1</v>
      </c>
      <c r="C419" s="4">
        <v>0.51</v>
      </c>
      <c r="D419" s="4">
        <v>0.40500000000000003</v>
      </c>
      <c r="E419" s="4">
        <v>0.15</v>
      </c>
      <c r="F419" s="4">
        <v>0.70350000000000001</v>
      </c>
    </row>
    <row r="420" spans="1:6" x14ac:dyDescent="0.2">
      <c r="A420" s="9">
        <v>0.78078166666666671</v>
      </c>
      <c r="B420" s="4">
        <v>1</v>
      </c>
      <c r="C420" s="4">
        <v>0.505</v>
      </c>
      <c r="D420" s="4">
        <v>0.4</v>
      </c>
      <c r="E420" s="4">
        <v>0.125</v>
      </c>
      <c r="F420" s="4">
        <v>0.5605</v>
      </c>
    </row>
    <row r="421" spans="1:6" x14ac:dyDescent="0.2">
      <c r="A421" s="9">
        <v>0.78081466666666677</v>
      </c>
      <c r="B421" s="4">
        <v>1</v>
      </c>
      <c r="C421" s="4">
        <v>0.52500000000000002</v>
      </c>
      <c r="D421" s="4">
        <v>0.38500000000000001</v>
      </c>
      <c r="E421" s="4">
        <v>0.13</v>
      </c>
      <c r="F421" s="4">
        <v>0.60699999999999998</v>
      </c>
    </row>
    <row r="422" spans="1:6" x14ac:dyDescent="0.2">
      <c r="A422" s="9">
        <v>0.78093766666666664</v>
      </c>
      <c r="B422" s="4">
        <v>1</v>
      </c>
      <c r="C422" s="4">
        <v>0.52</v>
      </c>
      <c r="D422" s="4">
        <v>0.38</v>
      </c>
      <c r="E422" s="4">
        <v>0.13500000000000001</v>
      </c>
      <c r="F422" s="4">
        <v>0.53949999999999998</v>
      </c>
    </row>
    <row r="423" spans="1:6" x14ac:dyDescent="0.2">
      <c r="A423" s="9">
        <v>0.7810126666666668</v>
      </c>
      <c r="B423" s="4">
        <v>1</v>
      </c>
      <c r="C423" s="4">
        <v>0.505</v>
      </c>
      <c r="D423" s="4">
        <v>0.40500000000000003</v>
      </c>
      <c r="E423" s="4">
        <v>0.13</v>
      </c>
      <c r="F423" s="4">
        <v>0.60150000000000003</v>
      </c>
    </row>
    <row r="424" spans="1:6" x14ac:dyDescent="0.2">
      <c r="A424" s="9">
        <v>0.78102699999999992</v>
      </c>
      <c r="B424" s="4">
        <v>1</v>
      </c>
      <c r="C424" s="4">
        <v>0.52</v>
      </c>
      <c r="D424" s="4">
        <v>0.42499999999999999</v>
      </c>
      <c r="E424" s="4">
        <v>0.16500000000000001</v>
      </c>
      <c r="F424" s="4">
        <v>0.98850000000000005</v>
      </c>
    </row>
    <row r="425" spans="1:6" x14ac:dyDescent="0.2">
      <c r="A425" s="9">
        <v>0.7811326666666667</v>
      </c>
      <c r="B425" s="4">
        <v>1</v>
      </c>
      <c r="C425" s="4">
        <v>0.51</v>
      </c>
      <c r="D425" s="4">
        <v>0.41499999999999998</v>
      </c>
      <c r="E425" s="4">
        <v>0.14499999999999999</v>
      </c>
      <c r="F425" s="4">
        <v>0.751</v>
      </c>
    </row>
    <row r="426" spans="1:6" x14ac:dyDescent="0.2">
      <c r="A426" s="9">
        <v>0.78144999999999998</v>
      </c>
      <c r="B426" s="4">
        <v>1</v>
      </c>
      <c r="C426" s="4">
        <v>0.51500000000000001</v>
      </c>
      <c r="D426" s="4">
        <v>0.4</v>
      </c>
      <c r="E426" s="4">
        <v>0.125</v>
      </c>
      <c r="F426" s="4">
        <v>0.61499999999999999</v>
      </c>
    </row>
    <row r="427" spans="1:6" x14ac:dyDescent="0.2">
      <c r="A427" s="9">
        <v>0.78160166666666675</v>
      </c>
      <c r="B427" s="4">
        <v>1</v>
      </c>
      <c r="C427" s="4">
        <v>0.54500000000000004</v>
      </c>
      <c r="D427" s="4">
        <v>0.42</v>
      </c>
      <c r="E427" s="4">
        <v>0.125</v>
      </c>
      <c r="F427" s="4">
        <v>0.97450000000000003</v>
      </c>
    </row>
    <row r="428" spans="1:6" x14ac:dyDescent="0.2">
      <c r="A428" s="9">
        <v>0.78163399999999994</v>
      </c>
      <c r="B428" s="4">
        <v>1</v>
      </c>
      <c r="C428" s="4">
        <v>0.52</v>
      </c>
      <c r="D428" s="4">
        <v>0.39500000000000002</v>
      </c>
      <c r="E428" s="4">
        <v>0.13500000000000001</v>
      </c>
      <c r="F428" s="4">
        <v>0.63300000000000001</v>
      </c>
    </row>
    <row r="429" spans="1:6" x14ac:dyDescent="0.2">
      <c r="A429" s="9">
        <v>0.78170333333333331</v>
      </c>
      <c r="B429" s="4">
        <v>1</v>
      </c>
      <c r="C429" s="4">
        <v>0.51500000000000001</v>
      </c>
      <c r="D429" s="4">
        <v>0.40500000000000003</v>
      </c>
      <c r="E429" s="4">
        <v>0.14499999999999999</v>
      </c>
      <c r="F429" s="4">
        <v>0.69499999999999995</v>
      </c>
    </row>
    <row r="430" spans="1:6" x14ac:dyDescent="0.2">
      <c r="A430" s="9">
        <v>0.78179999999999994</v>
      </c>
      <c r="B430" s="4">
        <v>1</v>
      </c>
      <c r="C430" s="4">
        <v>0.52</v>
      </c>
      <c r="D430" s="4">
        <v>0.38</v>
      </c>
      <c r="E430" s="4">
        <v>0.14000000000000001</v>
      </c>
      <c r="F430" s="4">
        <v>0.52500000000000002</v>
      </c>
    </row>
    <row r="431" spans="1:6" x14ac:dyDescent="0.2">
      <c r="A431" s="9">
        <v>0.78195000000000014</v>
      </c>
      <c r="B431" s="4">
        <v>1</v>
      </c>
      <c r="C431" s="4">
        <v>0.53500000000000003</v>
      </c>
      <c r="D431" s="4">
        <v>0.4</v>
      </c>
      <c r="E431" s="4">
        <v>0.13500000000000001</v>
      </c>
      <c r="F431" s="4">
        <v>0.77500000000000002</v>
      </c>
    </row>
    <row r="432" spans="1:6" x14ac:dyDescent="0.2">
      <c r="A432" s="9">
        <v>0.78203599999999995</v>
      </c>
      <c r="B432" s="4">
        <v>1</v>
      </c>
      <c r="C432" s="4">
        <v>0.51500000000000001</v>
      </c>
      <c r="D432" s="4">
        <v>0.4</v>
      </c>
      <c r="E432" s="4">
        <v>0.115</v>
      </c>
      <c r="F432" s="4">
        <v>0.57799999999999996</v>
      </c>
    </row>
    <row r="433" spans="1:6" x14ac:dyDescent="0.2">
      <c r="A433" s="9">
        <v>0.78222500000000006</v>
      </c>
      <c r="B433" s="4">
        <v>1</v>
      </c>
      <c r="C433" s="4">
        <v>0.51</v>
      </c>
      <c r="D433" s="4">
        <v>0.4</v>
      </c>
      <c r="E433" s="4">
        <v>0.125</v>
      </c>
      <c r="F433" s="4">
        <v>0.5575</v>
      </c>
    </row>
    <row r="434" spans="1:6" x14ac:dyDescent="0.2">
      <c r="A434" s="9">
        <v>0.78242699999999998</v>
      </c>
      <c r="B434" s="4">
        <v>1</v>
      </c>
      <c r="C434" s="4">
        <v>0.5</v>
      </c>
      <c r="D434" s="4">
        <v>0.41499999999999998</v>
      </c>
      <c r="E434" s="4">
        <v>0.16500000000000001</v>
      </c>
      <c r="F434" s="4">
        <v>0.6885</v>
      </c>
    </row>
    <row r="435" spans="1:6" x14ac:dyDescent="0.2">
      <c r="A435" s="9">
        <v>0.78243600000000013</v>
      </c>
      <c r="B435" s="4">
        <v>1</v>
      </c>
      <c r="C435" s="4">
        <v>0.51</v>
      </c>
      <c r="D435" s="4">
        <v>0.40500000000000003</v>
      </c>
      <c r="E435" s="4">
        <v>0.13</v>
      </c>
      <c r="F435" s="4">
        <v>0.59899999999999998</v>
      </c>
    </row>
    <row r="436" spans="1:6" x14ac:dyDescent="0.2">
      <c r="A436" s="9">
        <v>0.78247000000000011</v>
      </c>
      <c r="B436" s="4">
        <v>1</v>
      </c>
      <c r="C436" s="4">
        <v>0.53</v>
      </c>
      <c r="D436" s="4">
        <v>0.41</v>
      </c>
      <c r="E436" s="4">
        <v>0.125</v>
      </c>
      <c r="F436" s="4">
        <v>0.76900000000000002</v>
      </c>
    </row>
    <row r="437" spans="1:6" x14ac:dyDescent="0.2">
      <c r="A437" s="9">
        <v>0.78255600000000003</v>
      </c>
      <c r="B437" s="4">
        <v>1</v>
      </c>
      <c r="C437" s="4">
        <v>0.52500000000000002</v>
      </c>
      <c r="D437" s="4">
        <v>0.4</v>
      </c>
      <c r="E437" s="4">
        <v>0.14000000000000001</v>
      </c>
      <c r="F437" s="4">
        <v>0.69550000000000001</v>
      </c>
    </row>
    <row r="438" spans="1:6" x14ac:dyDescent="0.2">
      <c r="A438" s="9">
        <v>0.78265600000000002</v>
      </c>
      <c r="B438" s="4">
        <v>1</v>
      </c>
      <c r="C438" s="4">
        <v>0.52500000000000002</v>
      </c>
      <c r="D438" s="4">
        <v>0.40500000000000003</v>
      </c>
      <c r="E438" s="4">
        <v>0.16</v>
      </c>
      <c r="F438" s="4">
        <v>0.79200000000000004</v>
      </c>
    </row>
    <row r="439" spans="1:6" x14ac:dyDescent="0.2">
      <c r="A439" s="9">
        <v>0.7827046666666666</v>
      </c>
      <c r="B439" s="4">
        <v>1</v>
      </c>
      <c r="C439" s="4">
        <v>0.52</v>
      </c>
      <c r="D439" s="4">
        <v>0.39</v>
      </c>
      <c r="E439" s="4">
        <v>0.13</v>
      </c>
      <c r="F439" s="4">
        <v>0.55449999999999999</v>
      </c>
    </row>
    <row r="440" spans="1:6" x14ac:dyDescent="0.2">
      <c r="A440" s="9">
        <v>0.78271499999999994</v>
      </c>
      <c r="B440" s="4">
        <v>1</v>
      </c>
      <c r="C440" s="4">
        <v>0.52</v>
      </c>
      <c r="D440" s="4">
        <v>0.39500000000000002</v>
      </c>
      <c r="E440" s="4">
        <v>0.125</v>
      </c>
      <c r="F440" s="4">
        <v>0.58050000000000002</v>
      </c>
    </row>
    <row r="441" spans="1:6" x14ac:dyDescent="0.2">
      <c r="A441" s="9">
        <v>0.78274566666666667</v>
      </c>
      <c r="B441" s="4">
        <v>1</v>
      </c>
      <c r="C441" s="4">
        <v>0.52500000000000002</v>
      </c>
      <c r="D441" s="4">
        <v>0.4</v>
      </c>
      <c r="E441" s="4">
        <v>0.115</v>
      </c>
      <c r="F441" s="4">
        <v>0.62949999999999995</v>
      </c>
    </row>
    <row r="442" spans="1:6" x14ac:dyDescent="0.2">
      <c r="A442" s="9">
        <v>0.78276533333333342</v>
      </c>
      <c r="B442" s="4">
        <v>1</v>
      </c>
      <c r="C442" s="4">
        <v>0.53</v>
      </c>
      <c r="D442" s="4">
        <v>0.40500000000000003</v>
      </c>
      <c r="E442" s="4">
        <v>0.13</v>
      </c>
      <c r="F442" s="4">
        <v>0.73799999999999999</v>
      </c>
    </row>
    <row r="443" spans="1:6" x14ac:dyDescent="0.2">
      <c r="A443" s="9">
        <v>0.78278233333333336</v>
      </c>
      <c r="B443" s="4">
        <v>1</v>
      </c>
      <c r="C443" s="4">
        <v>0.52500000000000002</v>
      </c>
      <c r="D443" s="4">
        <v>0.39</v>
      </c>
      <c r="E443" s="4">
        <v>0.13500000000000001</v>
      </c>
      <c r="F443" s="4">
        <v>0.60050000000000003</v>
      </c>
    </row>
    <row r="444" spans="1:6" x14ac:dyDescent="0.2">
      <c r="A444" s="9">
        <v>0.78289333333333333</v>
      </c>
      <c r="B444" s="4">
        <v>1</v>
      </c>
      <c r="C444" s="4">
        <v>0.52</v>
      </c>
      <c r="D444" s="4">
        <v>0.4</v>
      </c>
      <c r="E444" s="4">
        <v>0.14499999999999999</v>
      </c>
      <c r="F444" s="4">
        <v>0.66</v>
      </c>
    </row>
    <row r="445" spans="1:6" x14ac:dyDescent="0.2">
      <c r="A445" s="9">
        <v>0.78321466666666673</v>
      </c>
      <c r="B445" s="4">
        <v>1</v>
      </c>
      <c r="C445" s="4">
        <v>0.52</v>
      </c>
      <c r="D445" s="4">
        <v>0.40500000000000003</v>
      </c>
      <c r="E445" s="4">
        <v>0.14000000000000001</v>
      </c>
      <c r="F445" s="4">
        <v>0.67649999999999999</v>
      </c>
    </row>
    <row r="446" spans="1:6" x14ac:dyDescent="0.2">
      <c r="A446" s="9">
        <v>0.78325866666666677</v>
      </c>
      <c r="B446" s="4">
        <v>1</v>
      </c>
      <c r="C446" s="4">
        <v>0.52</v>
      </c>
      <c r="D446" s="4">
        <v>0.40500000000000003</v>
      </c>
      <c r="E446" s="4">
        <v>0.12</v>
      </c>
      <c r="F446" s="4">
        <v>0.627</v>
      </c>
    </row>
    <row r="447" spans="1:6" x14ac:dyDescent="0.2">
      <c r="A447" s="9">
        <v>0.78331333333333353</v>
      </c>
      <c r="B447" s="4">
        <v>1</v>
      </c>
      <c r="C447" s="4">
        <v>0.505</v>
      </c>
      <c r="D447" s="4">
        <v>0.44</v>
      </c>
      <c r="E447" s="4">
        <v>0.14000000000000001</v>
      </c>
      <c r="F447" s="4">
        <v>0.82750000000000001</v>
      </c>
    </row>
    <row r="448" spans="1:6" x14ac:dyDescent="0.2">
      <c r="A448" s="9">
        <v>0.78336233333333327</v>
      </c>
      <c r="B448" s="4">
        <v>1</v>
      </c>
      <c r="C448" s="4">
        <v>0.51500000000000001</v>
      </c>
      <c r="D448" s="4">
        <v>0.435</v>
      </c>
      <c r="E448" s="4">
        <v>0.14499999999999999</v>
      </c>
      <c r="F448" s="4">
        <v>0.88149999999999995</v>
      </c>
    </row>
    <row r="449" spans="1:6" x14ac:dyDescent="0.2">
      <c r="A449" s="9">
        <v>0.7835713333333334</v>
      </c>
      <c r="B449" s="4">
        <v>1</v>
      </c>
      <c r="C449" s="4">
        <v>0.52500000000000002</v>
      </c>
      <c r="D449" s="4">
        <v>0.4</v>
      </c>
      <c r="E449" s="4">
        <v>0.155</v>
      </c>
      <c r="F449" s="4">
        <v>0.70699999999999996</v>
      </c>
    </row>
    <row r="450" spans="1:6" x14ac:dyDescent="0.2">
      <c r="A450" s="9">
        <v>0.78367999999999993</v>
      </c>
      <c r="B450" s="4">
        <v>1</v>
      </c>
      <c r="C450" s="4">
        <v>0.52</v>
      </c>
      <c r="D450" s="4">
        <v>0.4</v>
      </c>
      <c r="E450" s="4">
        <v>0.12</v>
      </c>
      <c r="F450" s="4">
        <v>0.57999999999999996</v>
      </c>
    </row>
    <row r="451" spans="1:6" x14ac:dyDescent="0.2">
      <c r="A451" s="9">
        <v>0.78376800000000002</v>
      </c>
      <c r="B451" s="4">
        <v>1</v>
      </c>
      <c r="C451" s="4">
        <v>0.52</v>
      </c>
      <c r="D451" s="4">
        <v>0.41</v>
      </c>
      <c r="E451" s="4">
        <v>0.14000000000000001</v>
      </c>
      <c r="F451" s="4">
        <v>0.69899999999999995</v>
      </c>
    </row>
    <row r="452" spans="1:6" x14ac:dyDescent="0.2">
      <c r="A452" s="9">
        <v>0.78427466666666668</v>
      </c>
      <c r="B452" s="4">
        <v>1</v>
      </c>
      <c r="C452" s="4">
        <v>0.52500000000000002</v>
      </c>
      <c r="D452" s="4">
        <v>0.4</v>
      </c>
      <c r="E452" s="4">
        <v>0.13</v>
      </c>
      <c r="F452" s="4">
        <v>0.622</v>
      </c>
    </row>
    <row r="453" spans="1:6" x14ac:dyDescent="0.2">
      <c r="A453" s="9">
        <v>0.78443466666666661</v>
      </c>
      <c r="B453" s="4">
        <v>1</v>
      </c>
      <c r="C453" s="4">
        <v>0.51500000000000001</v>
      </c>
      <c r="D453" s="4">
        <v>0.39500000000000002</v>
      </c>
      <c r="E453" s="4">
        <v>0.13500000000000001</v>
      </c>
      <c r="F453" s="4">
        <v>0.51600000000000001</v>
      </c>
    </row>
    <row r="454" spans="1:6" x14ac:dyDescent="0.2">
      <c r="A454" s="9">
        <v>0.78458333333333341</v>
      </c>
      <c r="B454" s="4">
        <v>1</v>
      </c>
      <c r="C454" s="4">
        <v>0.52500000000000002</v>
      </c>
      <c r="D454" s="4">
        <v>0.41</v>
      </c>
      <c r="E454" s="4">
        <v>0.13</v>
      </c>
      <c r="F454" s="4">
        <v>0.6875</v>
      </c>
    </row>
    <row r="455" spans="1:6" x14ac:dyDescent="0.2">
      <c r="A455" s="9">
        <v>0.78470333333333331</v>
      </c>
      <c r="B455" s="4">
        <v>1</v>
      </c>
      <c r="C455" s="4">
        <v>0.53500000000000003</v>
      </c>
      <c r="D455" s="4">
        <v>0.39</v>
      </c>
      <c r="E455" s="4">
        <v>0.125</v>
      </c>
      <c r="F455" s="4">
        <v>0.59899999999999998</v>
      </c>
    </row>
    <row r="456" spans="1:6" x14ac:dyDescent="0.2">
      <c r="A456" s="9">
        <v>0.78489066666666674</v>
      </c>
      <c r="B456" s="4">
        <v>1</v>
      </c>
      <c r="C456" s="4">
        <v>0.505</v>
      </c>
      <c r="D456" s="4">
        <v>0.40500000000000003</v>
      </c>
      <c r="E456" s="4">
        <v>0.18</v>
      </c>
      <c r="F456" s="4">
        <v>0.60599999999999998</v>
      </c>
    </row>
    <row r="457" spans="1:6" x14ac:dyDescent="0.2">
      <c r="A457" s="9">
        <v>0.78492866666666672</v>
      </c>
      <c r="B457" s="4">
        <v>1</v>
      </c>
      <c r="C457" s="4">
        <v>0.54</v>
      </c>
      <c r="D457" s="4">
        <v>0.4</v>
      </c>
      <c r="E457" s="4">
        <v>0.14499999999999999</v>
      </c>
      <c r="F457" s="4">
        <v>0.75700000000000001</v>
      </c>
    </row>
    <row r="458" spans="1:6" x14ac:dyDescent="0.2">
      <c r="A458" s="9">
        <v>0.78502933333333347</v>
      </c>
      <c r="B458" s="4">
        <v>1</v>
      </c>
      <c r="C458" s="4">
        <v>0.54500000000000004</v>
      </c>
      <c r="D458" s="4">
        <v>0.4</v>
      </c>
      <c r="E458" s="4">
        <v>0.14000000000000001</v>
      </c>
      <c r="F458" s="4">
        <v>0.77800000000000002</v>
      </c>
    </row>
    <row r="459" spans="1:6" x14ac:dyDescent="0.2">
      <c r="A459" s="9">
        <v>0.78506500000000001</v>
      </c>
      <c r="B459" s="4">
        <v>1</v>
      </c>
      <c r="C459" s="4">
        <v>0.54</v>
      </c>
      <c r="D459" s="4">
        <v>0.39</v>
      </c>
      <c r="E459" s="4">
        <v>0.125</v>
      </c>
      <c r="F459" s="4">
        <v>0.62549999999999994</v>
      </c>
    </row>
    <row r="460" spans="1:6" x14ac:dyDescent="0.2">
      <c r="A460" s="9">
        <v>0.78568933333333346</v>
      </c>
      <c r="B460" s="4">
        <v>1</v>
      </c>
      <c r="C460" s="4">
        <v>0.54500000000000004</v>
      </c>
      <c r="D460" s="4">
        <v>0.42</v>
      </c>
      <c r="E460" s="4">
        <v>0.13</v>
      </c>
      <c r="F460" s="4">
        <v>0.879</v>
      </c>
    </row>
    <row r="461" spans="1:6" x14ac:dyDescent="0.2">
      <c r="A461" s="9">
        <v>0.7863500000000001</v>
      </c>
      <c r="B461" s="4">
        <v>1</v>
      </c>
      <c r="C461" s="4">
        <v>0.53</v>
      </c>
      <c r="D461" s="4">
        <v>0.42499999999999999</v>
      </c>
      <c r="E461" s="4">
        <v>0.15</v>
      </c>
      <c r="F461" s="4">
        <v>0.84950000000000003</v>
      </c>
    </row>
    <row r="462" spans="1:6" x14ac:dyDescent="0.2">
      <c r="A462" s="9">
        <v>0.7864553333333334</v>
      </c>
      <c r="B462" s="4">
        <v>1</v>
      </c>
      <c r="C462" s="4">
        <v>0.53</v>
      </c>
      <c r="D462" s="4">
        <v>0.40500000000000003</v>
      </c>
      <c r="E462" s="4">
        <v>0.13</v>
      </c>
      <c r="F462" s="4">
        <v>0.63549999999999995</v>
      </c>
    </row>
    <row r="463" spans="1:6" x14ac:dyDescent="0.2">
      <c r="A463" s="9">
        <v>0.78648266666666677</v>
      </c>
      <c r="B463" s="4">
        <v>1</v>
      </c>
      <c r="C463" s="4">
        <v>0.53500000000000003</v>
      </c>
      <c r="D463" s="4">
        <v>0.41</v>
      </c>
      <c r="E463" s="4">
        <v>0.12</v>
      </c>
      <c r="F463" s="4">
        <v>0.6835</v>
      </c>
    </row>
    <row r="464" spans="1:6" x14ac:dyDescent="0.2">
      <c r="A464" s="9">
        <v>0.78655066666666673</v>
      </c>
      <c r="B464" s="4">
        <v>1</v>
      </c>
      <c r="C464" s="4">
        <v>0.53</v>
      </c>
      <c r="D464" s="4">
        <v>0.42499999999999999</v>
      </c>
      <c r="E464" s="4">
        <v>0.13</v>
      </c>
      <c r="F464" s="4">
        <v>0.78100000000000003</v>
      </c>
    </row>
    <row r="465" spans="1:6" x14ac:dyDescent="0.2">
      <c r="A465" s="9">
        <v>0.78664666666666672</v>
      </c>
      <c r="B465" s="4">
        <v>1</v>
      </c>
      <c r="C465" s="4">
        <v>0.52</v>
      </c>
      <c r="D465" s="4">
        <v>0.40500000000000003</v>
      </c>
      <c r="E465" s="4">
        <v>0.14000000000000001</v>
      </c>
      <c r="F465" s="4">
        <v>0.57750000000000001</v>
      </c>
    </row>
    <row r="466" spans="1:6" x14ac:dyDescent="0.2">
      <c r="A466" s="9">
        <v>0.78673233333333326</v>
      </c>
      <c r="B466" s="4">
        <v>1</v>
      </c>
      <c r="C466" s="4">
        <v>0.52</v>
      </c>
      <c r="D466" s="4">
        <v>0.42499999999999999</v>
      </c>
      <c r="E466" s="4">
        <v>0.155</v>
      </c>
      <c r="F466" s="4">
        <v>0.77349999999999997</v>
      </c>
    </row>
    <row r="467" spans="1:6" x14ac:dyDescent="0.2">
      <c r="A467" s="9">
        <v>0.78690133333333323</v>
      </c>
      <c r="B467" s="4">
        <v>1</v>
      </c>
      <c r="C467" s="4">
        <v>0.53</v>
      </c>
      <c r="D467" s="4">
        <v>0.41499999999999998</v>
      </c>
      <c r="E467" s="4">
        <v>0.14000000000000001</v>
      </c>
      <c r="F467" s="4">
        <v>0.72399999999999998</v>
      </c>
    </row>
    <row r="468" spans="1:6" x14ac:dyDescent="0.2">
      <c r="A468" s="9">
        <v>0.78694399999999998</v>
      </c>
      <c r="B468" s="4">
        <v>1</v>
      </c>
      <c r="C468" s="4">
        <v>0.53</v>
      </c>
      <c r="D468" s="4">
        <v>0.41499999999999998</v>
      </c>
      <c r="E468" s="4">
        <v>0.16</v>
      </c>
      <c r="F468" s="4">
        <v>0.78300000000000003</v>
      </c>
    </row>
    <row r="469" spans="1:6" x14ac:dyDescent="0.2">
      <c r="A469" s="9">
        <v>0.78723333333333323</v>
      </c>
      <c r="B469" s="4">
        <v>1</v>
      </c>
      <c r="C469" s="4">
        <v>0.52</v>
      </c>
      <c r="D469" s="4">
        <v>0.41499999999999998</v>
      </c>
      <c r="E469" s="4">
        <v>0.14000000000000001</v>
      </c>
      <c r="F469" s="4">
        <v>0.63749999999999996</v>
      </c>
    </row>
    <row r="470" spans="1:6" x14ac:dyDescent="0.2">
      <c r="A470" s="9">
        <v>0.78736066666666671</v>
      </c>
      <c r="B470" s="4">
        <v>1</v>
      </c>
      <c r="C470" s="4">
        <v>0.53</v>
      </c>
      <c r="D470" s="4">
        <v>0.42499999999999999</v>
      </c>
      <c r="E470" s="4">
        <v>0.13</v>
      </c>
      <c r="F470" s="4">
        <v>0.75849999999999995</v>
      </c>
    </row>
    <row r="471" spans="1:6" x14ac:dyDescent="0.2">
      <c r="A471" s="9">
        <v>0.78780799999999995</v>
      </c>
      <c r="B471" s="4">
        <v>1</v>
      </c>
      <c r="C471" s="4">
        <v>0.52500000000000002</v>
      </c>
      <c r="D471" s="4">
        <v>0.42</v>
      </c>
      <c r="E471" s="4">
        <v>0.16</v>
      </c>
      <c r="F471" s="4">
        <v>0.75600000000000001</v>
      </c>
    </row>
    <row r="472" spans="1:6" x14ac:dyDescent="0.2">
      <c r="A472" s="9">
        <v>0.78799933333333338</v>
      </c>
      <c r="B472" s="4">
        <v>1</v>
      </c>
      <c r="C472" s="4">
        <v>0.55000000000000004</v>
      </c>
      <c r="D472" s="4">
        <v>0.4</v>
      </c>
      <c r="E472" s="4">
        <v>0.13500000000000001</v>
      </c>
      <c r="F472" s="4">
        <v>0.71699999999999997</v>
      </c>
    </row>
    <row r="473" spans="1:6" x14ac:dyDescent="0.2">
      <c r="A473" s="9">
        <v>0.78814533333333348</v>
      </c>
      <c r="B473" s="4">
        <v>1</v>
      </c>
      <c r="C473" s="4">
        <v>0.54</v>
      </c>
      <c r="D473" s="4">
        <v>0.42</v>
      </c>
      <c r="E473" s="4">
        <v>0.14000000000000001</v>
      </c>
      <c r="F473" s="4">
        <v>0.80349999999999999</v>
      </c>
    </row>
    <row r="474" spans="1:6" x14ac:dyDescent="0.2">
      <c r="A474" s="9">
        <v>0.7888546666666667</v>
      </c>
      <c r="B474" s="4">
        <v>1</v>
      </c>
      <c r="C474" s="4">
        <v>0.53</v>
      </c>
      <c r="D474" s="4">
        <v>0.42499999999999999</v>
      </c>
      <c r="E474" s="4">
        <v>0.13</v>
      </c>
      <c r="F474" s="4">
        <v>0.71699999999999997</v>
      </c>
    </row>
    <row r="475" spans="1:6" x14ac:dyDescent="0.2">
      <c r="A475" s="9">
        <v>0.78895999999999999</v>
      </c>
      <c r="B475" s="4">
        <v>1</v>
      </c>
      <c r="C475" s="4">
        <v>0.55000000000000004</v>
      </c>
      <c r="D475" s="4">
        <v>0.42499999999999999</v>
      </c>
      <c r="E475" s="4">
        <v>0.16</v>
      </c>
      <c r="F475" s="4">
        <v>0.97</v>
      </c>
    </row>
    <row r="476" spans="1:6" x14ac:dyDescent="0.2">
      <c r="A476" s="9">
        <v>0.78907733333333341</v>
      </c>
      <c r="B476" s="4">
        <v>1</v>
      </c>
      <c r="C476" s="4">
        <v>0.53</v>
      </c>
      <c r="D476" s="4">
        <v>0.435</v>
      </c>
      <c r="E476" s="4">
        <v>0.16</v>
      </c>
      <c r="F476" s="4">
        <v>0.88300000000000001</v>
      </c>
    </row>
    <row r="477" spans="1:6" x14ac:dyDescent="0.2">
      <c r="A477" s="9">
        <v>0.78913000000000011</v>
      </c>
      <c r="B477" s="4">
        <v>1</v>
      </c>
      <c r="C477" s="4">
        <v>0.53</v>
      </c>
      <c r="D477" s="4">
        <v>0.4</v>
      </c>
      <c r="E477" s="4">
        <v>0.14499999999999999</v>
      </c>
      <c r="F477" s="4">
        <v>0.55500000000000005</v>
      </c>
    </row>
    <row r="478" spans="1:6" x14ac:dyDescent="0.2">
      <c r="A478" s="9">
        <v>0.78925000000000001</v>
      </c>
      <c r="B478" s="4">
        <v>1</v>
      </c>
      <c r="C478" s="4">
        <v>0.52500000000000002</v>
      </c>
      <c r="D478" s="4">
        <v>0.44</v>
      </c>
      <c r="E478" s="4">
        <v>0.15</v>
      </c>
      <c r="F478" s="4">
        <v>0.84250000000000003</v>
      </c>
    </row>
    <row r="479" spans="1:6" x14ac:dyDescent="0.2">
      <c r="A479" s="9">
        <v>0.78939466666666669</v>
      </c>
      <c r="B479" s="4">
        <v>1</v>
      </c>
      <c r="C479" s="4">
        <v>0.53</v>
      </c>
      <c r="D479" s="4">
        <v>0.42499999999999999</v>
      </c>
      <c r="E479" s="4">
        <v>0.13</v>
      </c>
      <c r="F479" s="4">
        <v>0.70199999999999996</v>
      </c>
    </row>
    <row r="480" spans="1:6" x14ac:dyDescent="0.2">
      <c r="A480" s="9">
        <v>0.78952666666666671</v>
      </c>
      <c r="B480" s="4">
        <v>1</v>
      </c>
      <c r="C480" s="4">
        <v>0.56000000000000005</v>
      </c>
      <c r="D480" s="4">
        <v>0.41</v>
      </c>
      <c r="E480" s="4">
        <v>0.16500000000000001</v>
      </c>
      <c r="F480" s="4">
        <v>0.93</v>
      </c>
    </row>
    <row r="481" spans="1:6" x14ac:dyDescent="0.2">
      <c r="A481" s="9">
        <v>0.78983333333333339</v>
      </c>
      <c r="B481" s="4">
        <v>1</v>
      </c>
      <c r="C481" s="4">
        <v>0.55000000000000004</v>
      </c>
      <c r="D481" s="4">
        <v>0.41</v>
      </c>
      <c r="E481" s="4">
        <v>0.15</v>
      </c>
      <c r="F481" s="4">
        <v>0.78500000000000003</v>
      </c>
    </row>
    <row r="482" spans="1:6" x14ac:dyDescent="0.2">
      <c r="A482" s="9">
        <v>0.79011666666666669</v>
      </c>
      <c r="B482" s="4">
        <v>1</v>
      </c>
      <c r="C482" s="4">
        <v>0.52500000000000002</v>
      </c>
      <c r="D482" s="4">
        <v>0.43</v>
      </c>
      <c r="E482" s="4">
        <v>0.15</v>
      </c>
      <c r="F482" s="4">
        <v>0.73650000000000004</v>
      </c>
    </row>
    <row r="483" spans="1:6" x14ac:dyDescent="0.2">
      <c r="A483" s="9">
        <v>0.79025733333333337</v>
      </c>
      <c r="B483" s="4">
        <v>1</v>
      </c>
      <c r="C483" s="4">
        <v>0.54</v>
      </c>
      <c r="D483" s="4">
        <v>0.43</v>
      </c>
      <c r="E483" s="4">
        <v>0.14000000000000001</v>
      </c>
      <c r="F483" s="4">
        <v>0.81950000000000001</v>
      </c>
    </row>
    <row r="484" spans="1:6" x14ac:dyDescent="0.2">
      <c r="A484" s="9">
        <v>0.79029333333333318</v>
      </c>
      <c r="B484" s="4">
        <v>1</v>
      </c>
      <c r="C484" s="4">
        <v>0.52</v>
      </c>
      <c r="D484" s="4">
        <v>0.41499999999999998</v>
      </c>
      <c r="E484" s="4">
        <v>0.16</v>
      </c>
      <c r="F484" s="4">
        <v>0.59499999999999997</v>
      </c>
    </row>
    <row r="485" spans="1:6" x14ac:dyDescent="0.2">
      <c r="A485" s="9">
        <v>0.79063433333333344</v>
      </c>
      <c r="B485" s="4">
        <v>1</v>
      </c>
      <c r="C485" s="4">
        <v>0.53500000000000003</v>
      </c>
      <c r="D485" s="4">
        <v>0.42499999999999999</v>
      </c>
      <c r="E485" s="4">
        <v>0.155</v>
      </c>
      <c r="F485" s="4">
        <v>0.77649999999999997</v>
      </c>
    </row>
    <row r="486" spans="1:6" x14ac:dyDescent="0.2">
      <c r="A486" s="9">
        <v>0.79063800000000006</v>
      </c>
      <c r="B486" s="4">
        <v>1</v>
      </c>
      <c r="C486" s="4">
        <v>0.53</v>
      </c>
      <c r="D486" s="4">
        <v>0.43</v>
      </c>
      <c r="E486" s="4">
        <v>0.13</v>
      </c>
      <c r="F486" s="4">
        <v>0.70450000000000002</v>
      </c>
    </row>
    <row r="487" spans="1:6" x14ac:dyDescent="0.2">
      <c r="A487" s="9">
        <v>0.79069066666666687</v>
      </c>
      <c r="B487" s="4">
        <v>1</v>
      </c>
      <c r="C487" s="4">
        <v>0.54500000000000004</v>
      </c>
      <c r="D487" s="4">
        <v>0.44</v>
      </c>
      <c r="E487" s="4">
        <v>0.12</v>
      </c>
      <c r="F487" s="4">
        <v>0.85650000000000004</v>
      </c>
    </row>
    <row r="488" spans="1:6" x14ac:dyDescent="0.2">
      <c r="A488" s="9">
        <v>0.79073199999999999</v>
      </c>
      <c r="B488" s="4">
        <v>1</v>
      </c>
      <c r="C488" s="4">
        <v>0.54</v>
      </c>
      <c r="D488" s="4">
        <v>0.41499999999999998</v>
      </c>
      <c r="E488" s="4">
        <v>0.11</v>
      </c>
      <c r="F488" s="4">
        <v>0.61899999999999999</v>
      </c>
    </row>
    <row r="489" spans="1:6" x14ac:dyDescent="0.2">
      <c r="A489" s="9">
        <v>0.79078400000000015</v>
      </c>
      <c r="B489" s="4">
        <v>1</v>
      </c>
      <c r="C489" s="4">
        <v>0.54</v>
      </c>
      <c r="D489" s="4">
        <v>0.435</v>
      </c>
      <c r="E489" s="4">
        <v>0.18</v>
      </c>
      <c r="F489" s="4">
        <v>0.996</v>
      </c>
    </row>
    <row r="490" spans="1:6" x14ac:dyDescent="0.2">
      <c r="A490" s="9">
        <v>0.79104333333333343</v>
      </c>
      <c r="B490" s="4">
        <v>1</v>
      </c>
      <c r="C490" s="4">
        <v>0.54500000000000004</v>
      </c>
      <c r="D490" s="4">
        <v>0.42</v>
      </c>
      <c r="E490" s="4">
        <v>0.125</v>
      </c>
      <c r="F490" s="4">
        <v>0.71699999999999997</v>
      </c>
    </row>
    <row r="491" spans="1:6" x14ac:dyDescent="0.2">
      <c r="A491" s="9">
        <v>0.79111133333333328</v>
      </c>
      <c r="B491" s="4">
        <v>1</v>
      </c>
      <c r="C491" s="4">
        <v>0.55000000000000004</v>
      </c>
      <c r="D491" s="4">
        <v>0.43</v>
      </c>
      <c r="E491" s="4">
        <v>0.13</v>
      </c>
      <c r="F491" s="4">
        <v>0.83950000000000002</v>
      </c>
    </row>
    <row r="492" spans="1:6" x14ac:dyDescent="0.2">
      <c r="A492" s="9">
        <v>0.79130000000000011</v>
      </c>
      <c r="B492" s="4">
        <v>1</v>
      </c>
      <c r="C492" s="4">
        <v>0.53</v>
      </c>
      <c r="D492" s="4">
        <v>0.43</v>
      </c>
      <c r="E492" s="4">
        <v>0.15</v>
      </c>
      <c r="F492" s="4">
        <v>0.74099999999999999</v>
      </c>
    </row>
    <row r="493" spans="1:6" x14ac:dyDescent="0.2">
      <c r="A493" s="9">
        <v>0.79131033333333345</v>
      </c>
      <c r="B493" s="4">
        <v>1</v>
      </c>
      <c r="C493" s="4">
        <v>0.53</v>
      </c>
      <c r="D493" s="4">
        <v>0.435</v>
      </c>
      <c r="E493" s="4">
        <v>0.13500000000000001</v>
      </c>
      <c r="F493" s="4">
        <v>0.73650000000000004</v>
      </c>
    </row>
    <row r="494" spans="1:6" x14ac:dyDescent="0.2">
      <c r="A494" s="9">
        <v>0.79237866666666679</v>
      </c>
      <c r="B494" s="4">
        <v>1</v>
      </c>
      <c r="C494" s="4">
        <v>0.56000000000000005</v>
      </c>
      <c r="D494" s="4">
        <v>0.41</v>
      </c>
      <c r="E494" s="4">
        <v>0.16</v>
      </c>
      <c r="F494" s="4">
        <v>0.82150000000000001</v>
      </c>
    </row>
    <row r="495" spans="1:6" x14ac:dyDescent="0.2">
      <c r="A495" s="9">
        <v>0.79273333333333351</v>
      </c>
      <c r="B495" s="4">
        <v>1</v>
      </c>
      <c r="C495" s="4">
        <v>0.54500000000000004</v>
      </c>
      <c r="D495" s="4">
        <v>0.45</v>
      </c>
      <c r="E495" s="4">
        <v>0.15</v>
      </c>
      <c r="F495" s="4">
        <v>0.97799999999999998</v>
      </c>
    </row>
    <row r="496" spans="1:6" x14ac:dyDescent="0.2">
      <c r="A496" s="9">
        <v>0.79294200000000004</v>
      </c>
      <c r="B496" s="4">
        <v>1</v>
      </c>
      <c r="C496" s="4">
        <v>0.55000000000000004</v>
      </c>
      <c r="D496" s="4">
        <v>0.44</v>
      </c>
      <c r="E496" s="4">
        <v>0.13500000000000001</v>
      </c>
      <c r="F496" s="4">
        <v>0.879</v>
      </c>
    </row>
    <row r="497" spans="1:6" x14ac:dyDescent="0.2">
      <c r="A497" s="9">
        <v>0.79295533333333335</v>
      </c>
      <c r="B497" s="4">
        <v>1</v>
      </c>
      <c r="C497" s="4">
        <v>0.57499999999999996</v>
      </c>
      <c r="D497" s="4">
        <v>0.435</v>
      </c>
      <c r="E497" s="4">
        <v>0.13</v>
      </c>
      <c r="F497" s="4">
        <v>1.0105</v>
      </c>
    </row>
    <row r="498" spans="1:6" x14ac:dyDescent="0.2">
      <c r="A498" s="9">
        <v>0.79309733333333332</v>
      </c>
      <c r="B498" s="4">
        <v>1</v>
      </c>
      <c r="C498" s="4">
        <v>0.55000000000000004</v>
      </c>
      <c r="D498" s="4">
        <v>0.44</v>
      </c>
      <c r="E498" s="4">
        <v>0.155</v>
      </c>
      <c r="F498" s="4">
        <v>0.94599999999999995</v>
      </c>
    </row>
    <row r="499" spans="1:6" x14ac:dyDescent="0.2">
      <c r="A499" s="9">
        <v>0.79322733333333328</v>
      </c>
      <c r="B499" s="4">
        <v>1</v>
      </c>
      <c r="C499" s="4">
        <v>0.55500000000000005</v>
      </c>
      <c r="D499" s="4">
        <v>0.39500000000000002</v>
      </c>
      <c r="E499" s="4">
        <v>0.13</v>
      </c>
      <c r="F499" s="4">
        <v>0.5585</v>
      </c>
    </row>
    <row r="500" spans="1:6" x14ac:dyDescent="0.2">
      <c r="A500" s="9">
        <v>0.79328266666666658</v>
      </c>
      <c r="B500" s="4">
        <v>1</v>
      </c>
      <c r="C500" s="4">
        <v>0.55000000000000004</v>
      </c>
      <c r="D500" s="4">
        <v>0.42</v>
      </c>
      <c r="E500" s="4">
        <v>0.115</v>
      </c>
      <c r="F500" s="4">
        <v>0.66800000000000004</v>
      </c>
    </row>
    <row r="501" spans="1:6" x14ac:dyDescent="0.2">
      <c r="A501" s="9">
        <v>0.79346800000000006</v>
      </c>
      <c r="B501" s="4">
        <v>1</v>
      </c>
      <c r="C501" s="4">
        <v>0.56000000000000005</v>
      </c>
      <c r="D501" s="4">
        <v>0.43</v>
      </c>
      <c r="E501" s="4">
        <v>0.14499999999999999</v>
      </c>
      <c r="F501" s="4">
        <v>0.89800000000000002</v>
      </c>
    </row>
    <row r="502" spans="1:6" x14ac:dyDescent="0.2">
      <c r="A502" s="9">
        <v>0.79354666666666662</v>
      </c>
      <c r="B502" s="4">
        <v>1</v>
      </c>
      <c r="C502" s="4">
        <v>0.55000000000000004</v>
      </c>
      <c r="D502" s="4">
        <v>0.45</v>
      </c>
      <c r="E502" s="4">
        <v>0.13</v>
      </c>
      <c r="F502" s="4">
        <v>0.92</v>
      </c>
    </row>
    <row r="503" spans="1:6" x14ac:dyDescent="0.2">
      <c r="A503" s="9">
        <v>0.79368400000000006</v>
      </c>
      <c r="B503" s="4">
        <v>1</v>
      </c>
      <c r="C503" s="4">
        <v>0.55500000000000005</v>
      </c>
      <c r="D503" s="4">
        <v>0.435</v>
      </c>
      <c r="E503" s="4">
        <v>0.13500000000000001</v>
      </c>
      <c r="F503" s="4">
        <v>0.85799999999999998</v>
      </c>
    </row>
    <row r="504" spans="1:6" x14ac:dyDescent="0.2">
      <c r="A504" s="9">
        <v>0.79373933333333335</v>
      </c>
      <c r="B504" s="4">
        <v>1</v>
      </c>
      <c r="C504" s="4">
        <v>0.55500000000000005</v>
      </c>
      <c r="D504" s="4">
        <v>0.42499999999999999</v>
      </c>
      <c r="E504" s="4">
        <v>0.13</v>
      </c>
      <c r="F504" s="4">
        <v>0.76649999999999996</v>
      </c>
    </row>
    <row r="505" spans="1:6" x14ac:dyDescent="0.2">
      <c r="A505" s="9">
        <v>0.79407366666666679</v>
      </c>
      <c r="B505" s="4">
        <v>1</v>
      </c>
      <c r="C505" s="4">
        <v>0.54500000000000004</v>
      </c>
      <c r="D505" s="4">
        <v>0.435</v>
      </c>
      <c r="E505" s="4">
        <v>0.13500000000000001</v>
      </c>
      <c r="F505" s="4">
        <v>0.77149999999999996</v>
      </c>
    </row>
    <row r="506" spans="1:6" x14ac:dyDescent="0.2">
      <c r="A506" s="9">
        <v>0.7940936666666667</v>
      </c>
      <c r="B506" s="4">
        <v>1</v>
      </c>
      <c r="C506" s="4">
        <v>0.55000000000000004</v>
      </c>
      <c r="D506" s="4">
        <v>0.44</v>
      </c>
      <c r="E506" s="4">
        <v>0.155</v>
      </c>
      <c r="F506" s="4">
        <v>0.91549999999999998</v>
      </c>
    </row>
    <row r="507" spans="1:6" x14ac:dyDescent="0.2">
      <c r="A507" s="9">
        <v>0.79449933333333345</v>
      </c>
      <c r="B507" s="4">
        <v>1</v>
      </c>
      <c r="C507" s="4">
        <v>0.53</v>
      </c>
      <c r="D507" s="4">
        <v>0.435</v>
      </c>
      <c r="E507" s="4">
        <v>0.155</v>
      </c>
      <c r="F507" s="4">
        <v>0.69899999999999995</v>
      </c>
    </row>
    <row r="508" spans="1:6" x14ac:dyDescent="0.2">
      <c r="A508" s="9">
        <v>0.79476666666666684</v>
      </c>
      <c r="B508" s="4">
        <v>1</v>
      </c>
      <c r="C508" s="4">
        <v>0.53500000000000003</v>
      </c>
      <c r="D508" s="4">
        <v>0.435</v>
      </c>
      <c r="E508" s="4">
        <v>0.15</v>
      </c>
      <c r="F508" s="4">
        <v>0.71699999999999997</v>
      </c>
    </row>
    <row r="509" spans="1:6" x14ac:dyDescent="0.2">
      <c r="A509" s="9">
        <v>0.79487066666666684</v>
      </c>
      <c r="B509" s="4">
        <v>1</v>
      </c>
      <c r="C509" s="4">
        <v>0.54500000000000004</v>
      </c>
      <c r="D509" s="4">
        <v>0.43</v>
      </c>
      <c r="E509" s="4">
        <v>0.16500000000000001</v>
      </c>
      <c r="F509" s="4">
        <v>0.80200000000000005</v>
      </c>
    </row>
    <row r="510" spans="1:6" x14ac:dyDescent="0.2">
      <c r="A510" s="9">
        <v>0.79550833333333337</v>
      </c>
      <c r="B510" s="4">
        <v>1</v>
      </c>
      <c r="C510" s="4">
        <v>0.49</v>
      </c>
      <c r="D510" s="4">
        <v>0.46500000000000002</v>
      </c>
      <c r="E510" s="4">
        <v>0.125</v>
      </c>
      <c r="F510" s="4">
        <v>0.52249999999999996</v>
      </c>
    </row>
    <row r="511" spans="1:6" x14ac:dyDescent="0.2">
      <c r="A511" s="9">
        <v>0.79566666666666663</v>
      </c>
      <c r="B511" s="4">
        <v>1</v>
      </c>
      <c r="C511" s="4">
        <v>0.55500000000000005</v>
      </c>
      <c r="D511" s="4">
        <v>0.42499999999999999</v>
      </c>
      <c r="E511" s="4">
        <v>0.18</v>
      </c>
      <c r="F511" s="4">
        <v>0.875</v>
      </c>
    </row>
    <row r="512" spans="1:6" x14ac:dyDescent="0.2">
      <c r="A512" s="9">
        <v>0.79569000000000001</v>
      </c>
      <c r="B512" s="4">
        <v>1</v>
      </c>
      <c r="C512" s="4">
        <v>0.55000000000000004</v>
      </c>
      <c r="D512" s="4">
        <v>0.43</v>
      </c>
      <c r="E512" s="4">
        <v>0.155</v>
      </c>
      <c r="F512" s="4">
        <v>0.78500000000000003</v>
      </c>
    </row>
    <row r="513" spans="1:6" x14ac:dyDescent="0.2">
      <c r="A513" s="9">
        <v>0.79571666666666685</v>
      </c>
      <c r="B513" s="4">
        <v>1</v>
      </c>
      <c r="C513" s="4">
        <v>0.54500000000000004</v>
      </c>
      <c r="D513" s="4">
        <v>0.43</v>
      </c>
      <c r="E513" s="4">
        <v>0.15</v>
      </c>
      <c r="F513" s="4">
        <v>0.72850000000000004</v>
      </c>
    </row>
    <row r="514" spans="1:6" x14ac:dyDescent="0.2">
      <c r="A514" s="9">
        <v>0.79600533333333345</v>
      </c>
      <c r="B514" s="4">
        <v>1</v>
      </c>
      <c r="C514" s="4">
        <v>0.55500000000000005</v>
      </c>
      <c r="D514" s="4">
        <v>0.44</v>
      </c>
      <c r="E514" s="4">
        <v>0.14000000000000001</v>
      </c>
      <c r="F514" s="4">
        <v>0.84599999999999997</v>
      </c>
    </row>
    <row r="515" spans="1:6" x14ac:dyDescent="0.2">
      <c r="A515" s="9">
        <v>0.79614366666666669</v>
      </c>
      <c r="B515" s="4">
        <v>1</v>
      </c>
      <c r="C515" s="4">
        <v>0.56499999999999995</v>
      </c>
      <c r="D515" s="4">
        <v>0.45</v>
      </c>
      <c r="E515" s="4">
        <v>0.115</v>
      </c>
      <c r="F515" s="4">
        <v>0.90849999999999997</v>
      </c>
    </row>
    <row r="516" spans="1:6" x14ac:dyDescent="0.2">
      <c r="A516" s="9">
        <v>0.79628833333333338</v>
      </c>
      <c r="B516" s="4">
        <v>1</v>
      </c>
      <c r="C516" s="4">
        <v>0.53500000000000003</v>
      </c>
      <c r="D516" s="4">
        <v>0.45</v>
      </c>
      <c r="E516" s="4">
        <v>0.155</v>
      </c>
      <c r="F516" s="4">
        <v>0.8075</v>
      </c>
    </row>
    <row r="517" spans="1:6" x14ac:dyDescent="0.2">
      <c r="A517" s="9">
        <v>0.7965106666666667</v>
      </c>
      <c r="B517" s="4">
        <v>1</v>
      </c>
      <c r="C517" s="4">
        <v>0.55500000000000005</v>
      </c>
      <c r="D517" s="4">
        <v>0.43</v>
      </c>
      <c r="E517" s="4">
        <v>0.14000000000000001</v>
      </c>
      <c r="F517" s="4">
        <v>0.75449999999999995</v>
      </c>
    </row>
    <row r="518" spans="1:6" x14ac:dyDescent="0.2">
      <c r="A518" s="9">
        <v>0.79680600000000013</v>
      </c>
      <c r="B518" s="4">
        <v>1</v>
      </c>
      <c r="C518" s="4">
        <v>0.54</v>
      </c>
      <c r="D518" s="4">
        <v>0.42</v>
      </c>
      <c r="E518" s="4">
        <v>0.19</v>
      </c>
      <c r="F518" s="4">
        <v>0.6855</v>
      </c>
    </row>
    <row r="519" spans="1:6" x14ac:dyDescent="0.2">
      <c r="A519" s="9">
        <v>0.79687666666666668</v>
      </c>
      <c r="B519" s="4">
        <v>1</v>
      </c>
      <c r="C519" s="4">
        <v>0.56499999999999995</v>
      </c>
      <c r="D519" s="4">
        <v>0.41499999999999998</v>
      </c>
      <c r="E519" s="4">
        <v>0.125</v>
      </c>
      <c r="F519" s="4">
        <v>0.66700000000000004</v>
      </c>
    </row>
    <row r="520" spans="1:6" x14ac:dyDescent="0.2">
      <c r="A520" s="9">
        <v>0.79718133333333341</v>
      </c>
      <c r="B520" s="4">
        <v>1</v>
      </c>
      <c r="C520" s="4">
        <v>0.56999999999999995</v>
      </c>
      <c r="D520" s="4">
        <v>0.42499999999999999</v>
      </c>
      <c r="E520" s="4">
        <v>0.13</v>
      </c>
      <c r="F520" s="4">
        <v>0.78200000000000003</v>
      </c>
    </row>
    <row r="521" spans="1:6" x14ac:dyDescent="0.2">
      <c r="A521" s="9">
        <v>0.7974500000000001</v>
      </c>
      <c r="B521" s="4">
        <v>1</v>
      </c>
      <c r="C521" s="4">
        <v>0.53500000000000003</v>
      </c>
      <c r="D521" s="4">
        <v>0.44</v>
      </c>
      <c r="E521" s="4">
        <v>0.15</v>
      </c>
      <c r="F521" s="4">
        <v>0.67649999999999999</v>
      </c>
    </row>
    <row r="522" spans="1:6" x14ac:dyDescent="0.2">
      <c r="A522" s="9">
        <v>0.79748000000000008</v>
      </c>
      <c r="B522" s="4">
        <v>1</v>
      </c>
      <c r="C522" s="4">
        <v>0.55500000000000005</v>
      </c>
      <c r="D522" s="4">
        <v>0.435</v>
      </c>
      <c r="E522" s="4">
        <v>0.14000000000000001</v>
      </c>
      <c r="F522" s="4">
        <v>0.76500000000000001</v>
      </c>
    </row>
    <row r="523" spans="1:6" x14ac:dyDescent="0.2">
      <c r="A523" s="9">
        <v>0.79761666666666686</v>
      </c>
      <c r="B523" s="4">
        <v>1</v>
      </c>
      <c r="C523" s="4">
        <v>0.56999999999999995</v>
      </c>
      <c r="D523" s="4">
        <v>0.44</v>
      </c>
      <c r="E523" s="4">
        <v>0.125</v>
      </c>
      <c r="F523" s="4">
        <v>0.86499999999999999</v>
      </c>
    </row>
    <row r="524" spans="1:6" x14ac:dyDescent="0.2">
      <c r="A524" s="9">
        <v>0.79853033333333345</v>
      </c>
      <c r="B524" s="4">
        <v>1</v>
      </c>
      <c r="C524" s="4">
        <v>0.56499999999999995</v>
      </c>
      <c r="D524" s="4">
        <v>0.435</v>
      </c>
      <c r="E524" s="4">
        <v>0.185</v>
      </c>
      <c r="F524" s="4">
        <v>0.98150000000000004</v>
      </c>
    </row>
    <row r="525" spans="1:6" x14ac:dyDescent="0.2">
      <c r="A525" s="9">
        <v>0.79867333333333346</v>
      </c>
      <c r="B525" s="4">
        <v>1</v>
      </c>
      <c r="C525" s="4">
        <v>0.56499999999999995</v>
      </c>
      <c r="D525" s="4">
        <v>0.44</v>
      </c>
      <c r="E525" s="4">
        <v>0.13500000000000001</v>
      </c>
      <c r="F525" s="4">
        <v>0.83</v>
      </c>
    </row>
    <row r="526" spans="1:6" x14ac:dyDescent="0.2">
      <c r="A526" s="9">
        <v>0.79893733333333339</v>
      </c>
      <c r="B526" s="4">
        <v>1</v>
      </c>
      <c r="C526" s="4">
        <v>0.56000000000000005</v>
      </c>
      <c r="D526" s="4">
        <v>0.45</v>
      </c>
      <c r="E526" s="4">
        <v>0.14499999999999999</v>
      </c>
      <c r="F526" s="4">
        <v>0.89400000000000002</v>
      </c>
    </row>
    <row r="527" spans="1:6" x14ac:dyDescent="0.2">
      <c r="A527" s="9">
        <v>0.79925600000000008</v>
      </c>
      <c r="B527" s="4">
        <v>1</v>
      </c>
      <c r="C527" s="4">
        <v>0.56000000000000005</v>
      </c>
      <c r="D527" s="4">
        <v>0.435</v>
      </c>
      <c r="E527" s="4">
        <v>0.18</v>
      </c>
      <c r="F527" s="4">
        <v>0.88900000000000001</v>
      </c>
    </row>
    <row r="528" spans="1:6" x14ac:dyDescent="0.2">
      <c r="A528" s="9">
        <v>0.7992800000000001</v>
      </c>
      <c r="B528" s="4">
        <v>1</v>
      </c>
      <c r="C528" s="4">
        <v>0.54500000000000004</v>
      </c>
      <c r="D528" s="4">
        <v>0.46</v>
      </c>
      <c r="E528" s="4">
        <v>0.16</v>
      </c>
      <c r="F528" s="4">
        <v>0.89749999999999996</v>
      </c>
    </row>
    <row r="529" spans="1:6" x14ac:dyDescent="0.2">
      <c r="A529" s="9">
        <v>0.79948199999999991</v>
      </c>
      <c r="B529" s="4">
        <v>1</v>
      </c>
      <c r="C529" s="4">
        <v>0.57999999999999996</v>
      </c>
      <c r="D529" s="4">
        <v>0.42499999999999999</v>
      </c>
      <c r="E529" s="4">
        <v>0.155</v>
      </c>
      <c r="F529" s="4">
        <v>0.873</v>
      </c>
    </row>
    <row r="530" spans="1:6" x14ac:dyDescent="0.2">
      <c r="A530" s="9">
        <v>0.79954933333333322</v>
      </c>
      <c r="B530" s="4">
        <v>1</v>
      </c>
      <c r="C530" s="4">
        <v>0.57999999999999996</v>
      </c>
      <c r="D530" s="4">
        <v>0.45</v>
      </c>
      <c r="E530" s="4">
        <v>0.14000000000000001</v>
      </c>
      <c r="F530" s="4">
        <v>1.0129999999999999</v>
      </c>
    </row>
    <row r="531" spans="1:6" x14ac:dyDescent="0.2">
      <c r="A531" s="9">
        <v>0.79964533333333343</v>
      </c>
      <c r="B531" s="4">
        <v>1</v>
      </c>
      <c r="C531" s="4">
        <v>0.56499999999999995</v>
      </c>
      <c r="D531" s="4">
        <v>0.44</v>
      </c>
      <c r="E531" s="4">
        <v>0.155</v>
      </c>
      <c r="F531" s="4">
        <v>0.86799999999999999</v>
      </c>
    </row>
    <row r="532" spans="1:6" x14ac:dyDescent="0.2">
      <c r="A532" s="9">
        <v>0.7996766666666667</v>
      </c>
      <c r="B532" s="4">
        <v>1</v>
      </c>
      <c r="C532" s="4">
        <v>0.58499999999999996</v>
      </c>
      <c r="D532" s="4">
        <v>0.45500000000000002</v>
      </c>
      <c r="E532" s="4">
        <v>0.125</v>
      </c>
      <c r="F532" s="4">
        <v>1.0269999999999999</v>
      </c>
    </row>
    <row r="533" spans="1:6" x14ac:dyDescent="0.2">
      <c r="A533" s="9">
        <v>0.79986666666666661</v>
      </c>
      <c r="B533" s="4">
        <v>1</v>
      </c>
      <c r="C533" s="4">
        <v>0.57999999999999996</v>
      </c>
      <c r="D533" s="4">
        <v>0.42499999999999999</v>
      </c>
      <c r="E533" s="4">
        <v>0.15</v>
      </c>
      <c r="F533" s="4">
        <v>0.84399999999999997</v>
      </c>
    </row>
    <row r="534" spans="1:6" x14ac:dyDescent="0.2">
      <c r="A534" s="9">
        <v>0.80005766666666678</v>
      </c>
      <c r="B534" s="4">
        <v>1</v>
      </c>
      <c r="C534" s="4">
        <v>0.56999999999999995</v>
      </c>
      <c r="D534" s="4">
        <v>0.46</v>
      </c>
      <c r="E534" s="4">
        <v>0.13500000000000001</v>
      </c>
      <c r="F534" s="4">
        <v>0.97950000000000004</v>
      </c>
    </row>
    <row r="535" spans="1:6" x14ac:dyDescent="0.2">
      <c r="A535" s="9">
        <v>0.80006966666666668</v>
      </c>
      <c r="B535" s="4">
        <v>1</v>
      </c>
      <c r="C535" s="4">
        <v>0.56499999999999995</v>
      </c>
      <c r="D535" s="4">
        <v>0.45</v>
      </c>
      <c r="E535" s="4">
        <v>0.16500000000000001</v>
      </c>
      <c r="F535" s="4">
        <v>0.97650000000000003</v>
      </c>
    </row>
    <row r="536" spans="1:6" x14ac:dyDescent="0.2">
      <c r="A536" s="9">
        <v>0.80016666666666669</v>
      </c>
      <c r="B536" s="4">
        <v>1</v>
      </c>
      <c r="C536" s="4">
        <v>0.55500000000000005</v>
      </c>
      <c r="D536" s="4">
        <v>0.44</v>
      </c>
      <c r="E536" s="4">
        <v>0.15</v>
      </c>
      <c r="F536" s="4">
        <v>0.755</v>
      </c>
    </row>
    <row r="537" spans="1:6" x14ac:dyDescent="0.2">
      <c r="A537" s="9">
        <v>0.80035200000000006</v>
      </c>
      <c r="B537" s="4">
        <v>1</v>
      </c>
      <c r="C537" s="4">
        <v>0.54</v>
      </c>
      <c r="D537" s="4">
        <v>0.47499999999999998</v>
      </c>
      <c r="E537" s="4">
        <v>0.155</v>
      </c>
      <c r="F537" s="4">
        <v>0.92800000000000005</v>
      </c>
    </row>
    <row r="538" spans="1:6" x14ac:dyDescent="0.2">
      <c r="A538" s="9">
        <v>0.80056266666666664</v>
      </c>
      <c r="B538" s="4">
        <v>1</v>
      </c>
      <c r="C538" s="4">
        <v>0.55000000000000004</v>
      </c>
      <c r="D538" s="4">
        <v>0.45</v>
      </c>
      <c r="E538" s="4">
        <v>0.14000000000000001</v>
      </c>
      <c r="F538" s="4">
        <v>0.753</v>
      </c>
    </row>
    <row r="539" spans="1:6" x14ac:dyDescent="0.2">
      <c r="A539" s="9">
        <v>0.80058333333333342</v>
      </c>
      <c r="B539" s="4">
        <v>1</v>
      </c>
      <c r="C539" s="4">
        <v>0.56000000000000005</v>
      </c>
      <c r="D539" s="4">
        <v>0.44500000000000001</v>
      </c>
      <c r="E539" s="4">
        <v>0.15</v>
      </c>
      <c r="F539" s="4">
        <v>0.82250000000000001</v>
      </c>
    </row>
    <row r="540" spans="1:6" x14ac:dyDescent="0.2">
      <c r="A540" s="9">
        <v>0.80060533333333339</v>
      </c>
      <c r="B540" s="4">
        <v>1</v>
      </c>
      <c r="C540" s="4">
        <v>0.57999999999999996</v>
      </c>
      <c r="D540" s="4">
        <v>0.43</v>
      </c>
      <c r="E540" s="4">
        <v>0.13</v>
      </c>
      <c r="F540" s="4">
        <v>0.79800000000000004</v>
      </c>
    </row>
    <row r="541" spans="1:6" x14ac:dyDescent="0.2">
      <c r="A541" s="9">
        <v>0.80080066666666649</v>
      </c>
      <c r="B541" s="4">
        <v>1</v>
      </c>
      <c r="C541" s="4">
        <v>0.57499999999999996</v>
      </c>
      <c r="D541" s="4">
        <v>0.44500000000000001</v>
      </c>
      <c r="E541" s="4">
        <v>0.13500000000000001</v>
      </c>
      <c r="F541" s="4">
        <v>0.88300000000000001</v>
      </c>
    </row>
    <row r="542" spans="1:6" x14ac:dyDescent="0.2">
      <c r="A542" s="9">
        <v>0.80086400000000024</v>
      </c>
      <c r="B542" s="4">
        <v>1</v>
      </c>
      <c r="C542" s="4">
        <v>0.56499999999999995</v>
      </c>
      <c r="D542" s="4">
        <v>0.44</v>
      </c>
      <c r="E542" s="4">
        <v>0.13500000000000001</v>
      </c>
      <c r="F542" s="4">
        <v>0.76800000000000002</v>
      </c>
    </row>
    <row r="543" spans="1:6" x14ac:dyDescent="0.2">
      <c r="A543" s="9">
        <v>0.80090666666666666</v>
      </c>
      <c r="B543" s="4">
        <v>1</v>
      </c>
      <c r="C543" s="4">
        <v>0.57999999999999996</v>
      </c>
      <c r="D543" s="4">
        <v>0.45500000000000002</v>
      </c>
      <c r="E543" s="4">
        <v>0.12</v>
      </c>
      <c r="F543" s="4">
        <v>0.94</v>
      </c>
    </row>
    <row r="544" spans="1:6" x14ac:dyDescent="0.2">
      <c r="A544" s="9">
        <v>0.80092500000000022</v>
      </c>
      <c r="B544" s="4">
        <v>1</v>
      </c>
      <c r="C544" s="4">
        <v>0.56499999999999995</v>
      </c>
      <c r="D544" s="4">
        <v>0.44</v>
      </c>
      <c r="E544" s="4">
        <v>0.17499999999999999</v>
      </c>
      <c r="F544" s="4">
        <v>0.90249999999999997</v>
      </c>
    </row>
    <row r="545" spans="1:6" x14ac:dyDescent="0.2">
      <c r="A545" s="9">
        <v>0.80108666666666672</v>
      </c>
      <c r="B545" s="4">
        <v>1</v>
      </c>
      <c r="C545" s="4">
        <v>0.57499999999999996</v>
      </c>
      <c r="D545" s="4">
        <v>0.44</v>
      </c>
      <c r="E545" s="4">
        <v>0.14499999999999999</v>
      </c>
      <c r="F545" s="4">
        <v>0.87</v>
      </c>
    </row>
    <row r="546" spans="1:6" x14ac:dyDescent="0.2">
      <c r="A546" s="9">
        <v>0.80133333333333345</v>
      </c>
      <c r="B546" s="4">
        <v>1</v>
      </c>
      <c r="C546" s="4">
        <v>0.56999999999999995</v>
      </c>
      <c r="D546" s="4">
        <v>0.45500000000000002</v>
      </c>
      <c r="E546" s="4">
        <v>0.15</v>
      </c>
      <c r="F546" s="4">
        <v>0.96</v>
      </c>
    </row>
    <row r="547" spans="1:6" x14ac:dyDescent="0.2">
      <c r="A547" s="9">
        <v>0.80160000000000009</v>
      </c>
      <c r="B547" s="4">
        <v>1</v>
      </c>
      <c r="C547" s="4">
        <v>0.56999999999999995</v>
      </c>
      <c r="D547" s="4">
        <v>0.45500000000000002</v>
      </c>
      <c r="E547" s="4">
        <v>0.15</v>
      </c>
      <c r="F547" s="4">
        <v>0.95199999999999996</v>
      </c>
    </row>
    <row r="548" spans="1:6" x14ac:dyDescent="0.2">
      <c r="A548" s="9">
        <v>0.80177999999999994</v>
      </c>
      <c r="B548" s="4">
        <v>1</v>
      </c>
      <c r="C548" s="4">
        <v>0.55500000000000005</v>
      </c>
      <c r="D548" s="4">
        <v>0.45</v>
      </c>
      <c r="E548" s="4">
        <v>0.17499999999999999</v>
      </c>
      <c r="F548" s="4">
        <v>0.874</v>
      </c>
    </row>
    <row r="549" spans="1:6" x14ac:dyDescent="0.2">
      <c r="A549" s="9">
        <v>0.80193066666666657</v>
      </c>
      <c r="B549" s="4">
        <v>1</v>
      </c>
      <c r="C549" s="4">
        <v>0.56000000000000005</v>
      </c>
      <c r="D549" s="4">
        <v>0.44500000000000001</v>
      </c>
      <c r="E549" s="4">
        <v>0.16500000000000001</v>
      </c>
      <c r="F549" s="4">
        <v>0.83199999999999996</v>
      </c>
    </row>
    <row r="550" spans="1:6" x14ac:dyDescent="0.2">
      <c r="A550" s="9">
        <v>0.80205333333333328</v>
      </c>
      <c r="B550" s="4">
        <v>1</v>
      </c>
      <c r="C550" s="4">
        <v>0.57499999999999996</v>
      </c>
      <c r="D550" s="4">
        <v>0.45</v>
      </c>
      <c r="E550" s="4">
        <v>0.16</v>
      </c>
      <c r="F550" s="4">
        <v>0.97750000000000004</v>
      </c>
    </row>
    <row r="551" spans="1:6" x14ac:dyDescent="0.2">
      <c r="A551" s="9">
        <v>0.80234466666666671</v>
      </c>
      <c r="B551" s="4">
        <v>1</v>
      </c>
      <c r="C551" s="4">
        <v>0.56999999999999995</v>
      </c>
      <c r="D551" s="4">
        <v>0.44500000000000001</v>
      </c>
      <c r="E551" s="4">
        <v>0.155</v>
      </c>
      <c r="F551" s="4">
        <v>0.86699999999999999</v>
      </c>
    </row>
    <row r="552" spans="1:6" x14ac:dyDescent="0.2">
      <c r="A552" s="9">
        <v>0.80287399999999998</v>
      </c>
      <c r="B552" s="4">
        <v>1</v>
      </c>
      <c r="C552" s="4">
        <v>0.56499999999999995</v>
      </c>
      <c r="D552" s="4">
        <v>0.45</v>
      </c>
      <c r="E552" s="4">
        <v>0.16500000000000001</v>
      </c>
      <c r="F552" s="4">
        <v>0.88700000000000001</v>
      </c>
    </row>
    <row r="553" spans="1:6" x14ac:dyDescent="0.2">
      <c r="A553" s="9">
        <v>0.80315333333333339</v>
      </c>
      <c r="B553" s="4">
        <v>1</v>
      </c>
      <c r="C553" s="4">
        <v>0.62</v>
      </c>
      <c r="D553" s="4">
        <v>0.495</v>
      </c>
      <c r="E553" s="4">
        <v>0.17499999999999999</v>
      </c>
      <c r="F553" s="4">
        <v>1.806</v>
      </c>
    </row>
    <row r="554" spans="1:6" x14ac:dyDescent="0.2">
      <c r="A554" s="9">
        <v>0.80317333333333341</v>
      </c>
      <c r="B554" s="4">
        <v>1</v>
      </c>
      <c r="C554" s="4">
        <v>0.59499999999999997</v>
      </c>
      <c r="D554" s="4">
        <v>0.47499999999999998</v>
      </c>
      <c r="E554" s="4">
        <v>0.16</v>
      </c>
      <c r="F554" s="4">
        <v>1.3174999999999999</v>
      </c>
    </row>
    <row r="555" spans="1:6" x14ac:dyDescent="0.2">
      <c r="A555" s="9">
        <v>0.80326333333333333</v>
      </c>
      <c r="B555" s="4">
        <v>1</v>
      </c>
      <c r="C555" s="4">
        <v>0.55000000000000004</v>
      </c>
      <c r="D555" s="4">
        <v>0.46</v>
      </c>
      <c r="E555" s="4">
        <v>0.17499999999999999</v>
      </c>
      <c r="F555" s="4">
        <v>0.86899999999999999</v>
      </c>
    </row>
    <row r="556" spans="1:6" x14ac:dyDescent="0.2">
      <c r="A556" s="9">
        <v>0.80333500000000013</v>
      </c>
      <c r="B556" s="4">
        <v>1</v>
      </c>
      <c r="C556" s="4">
        <v>0.56999999999999995</v>
      </c>
      <c r="D556" s="4">
        <v>0.45</v>
      </c>
      <c r="E556" s="4">
        <v>0.17499999999999999</v>
      </c>
      <c r="F556" s="4">
        <v>0.95550000000000002</v>
      </c>
    </row>
    <row r="557" spans="1:6" x14ac:dyDescent="0.2">
      <c r="A557" s="9">
        <v>0.80372533333333329</v>
      </c>
      <c r="B557" s="4">
        <v>1</v>
      </c>
      <c r="C557" s="4">
        <v>0.59</v>
      </c>
      <c r="D557" s="4">
        <v>0.44500000000000001</v>
      </c>
      <c r="E557" s="4">
        <v>0.14000000000000001</v>
      </c>
      <c r="F557" s="4">
        <v>0.93100000000000005</v>
      </c>
    </row>
    <row r="558" spans="1:6" x14ac:dyDescent="0.2">
      <c r="A558" s="9">
        <v>0.803844</v>
      </c>
      <c r="B558" s="4">
        <v>1</v>
      </c>
      <c r="C558" s="4">
        <v>0.59</v>
      </c>
      <c r="D558" s="4">
        <v>0.45500000000000002</v>
      </c>
      <c r="E558" s="4">
        <v>0.155</v>
      </c>
      <c r="F558" s="4">
        <v>1.0660000000000001</v>
      </c>
    </row>
    <row r="559" spans="1:6" x14ac:dyDescent="0.2">
      <c r="A559" s="9">
        <v>0.80420099999999994</v>
      </c>
      <c r="B559" s="4">
        <v>1</v>
      </c>
      <c r="C559" s="4">
        <v>0.57499999999999996</v>
      </c>
      <c r="D559" s="4">
        <v>0.45</v>
      </c>
      <c r="E559" s="4">
        <v>0.13500000000000001</v>
      </c>
      <c r="F559" s="4">
        <v>0.82450000000000001</v>
      </c>
    </row>
    <row r="560" spans="1:6" x14ac:dyDescent="0.2">
      <c r="A560" s="9">
        <v>0.80439066666666648</v>
      </c>
      <c r="B560" s="4">
        <v>1</v>
      </c>
      <c r="C560" s="4">
        <v>0.57499999999999996</v>
      </c>
      <c r="D560" s="4">
        <v>0.45</v>
      </c>
      <c r="E560" s="4">
        <v>0.155</v>
      </c>
      <c r="F560" s="4">
        <v>0.88600000000000001</v>
      </c>
    </row>
    <row r="561" spans="1:6" x14ac:dyDescent="0.2">
      <c r="A561" s="9">
        <v>0.80445966666666657</v>
      </c>
      <c r="B561" s="4">
        <v>1</v>
      </c>
      <c r="C561" s="4">
        <v>0.57499999999999996</v>
      </c>
      <c r="D561" s="4">
        <v>0.45</v>
      </c>
      <c r="E561" s="4">
        <v>0.16500000000000001</v>
      </c>
      <c r="F561" s="4">
        <v>0.92149999999999999</v>
      </c>
    </row>
    <row r="562" spans="1:6" x14ac:dyDescent="0.2">
      <c r="A562" s="9">
        <v>0.80486433333333351</v>
      </c>
      <c r="B562" s="4">
        <v>1</v>
      </c>
      <c r="C562" s="4">
        <v>0.56499999999999995</v>
      </c>
      <c r="D562" s="4">
        <v>0.46</v>
      </c>
      <c r="E562" s="4">
        <v>0.155</v>
      </c>
      <c r="F562" s="4">
        <v>0.87150000000000005</v>
      </c>
    </row>
    <row r="563" spans="1:6" x14ac:dyDescent="0.2">
      <c r="A563" s="9">
        <v>0.80548966666666666</v>
      </c>
      <c r="B563" s="4">
        <v>1</v>
      </c>
      <c r="C563" s="4">
        <v>0.56999999999999995</v>
      </c>
      <c r="D563" s="4">
        <v>0.44500000000000001</v>
      </c>
      <c r="E563" s="4">
        <v>0.14499999999999999</v>
      </c>
      <c r="F563" s="4">
        <v>0.74050000000000005</v>
      </c>
    </row>
    <row r="564" spans="1:6" x14ac:dyDescent="0.2">
      <c r="A564" s="9">
        <v>0.80558333333333343</v>
      </c>
      <c r="B564" s="4">
        <v>1</v>
      </c>
      <c r="C564" s="4">
        <v>0.59</v>
      </c>
      <c r="D564" s="4">
        <v>0.44</v>
      </c>
      <c r="E564" s="4">
        <v>0.15</v>
      </c>
      <c r="F564" s="4">
        <v>0.87250000000000005</v>
      </c>
    </row>
    <row r="565" spans="1:6" x14ac:dyDescent="0.2">
      <c r="A565" s="9">
        <v>0.80610133333333323</v>
      </c>
      <c r="B565" s="4">
        <v>1</v>
      </c>
      <c r="C565" s="4">
        <v>0.57999999999999996</v>
      </c>
      <c r="D565" s="4">
        <v>0.45</v>
      </c>
      <c r="E565" s="4">
        <v>0.14000000000000001</v>
      </c>
      <c r="F565" s="4">
        <v>0.82399999999999995</v>
      </c>
    </row>
    <row r="566" spans="1:6" x14ac:dyDescent="0.2">
      <c r="A566" s="9">
        <v>0.80651200000000012</v>
      </c>
      <c r="B566" s="4">
        <v>1</v>
      </c>
      <c r="C566" s="4">
        <v>0.57999999999999996</v>
      </c>
      <c r="D566" s="4">
        <v>0.45500000000000002</v>
      </c>
      <c r="E566" s="4">
        <v>0.16</v>
      </c>
      <c r="F566" s="4">
        <v>0.92149999999999999</v>
      </c>
    </row>
    <row r="567" spans="1:6" x14ac:dyDescent="0.2">
      <c r="A567" s="9">
        <v>0.80672200000000016</v>
      </c>
      <c r="B567" s="4">
        <v>1</v>
      </c>
      <c r="C567" s="4">
        <v>0.56999999999999995</v>
      </c>
      <c r="D567" s="4">
        <v>0.44500000000000001</v>
      </c>
      <c r="E567" s="4">
        <v>0.155</v>
      </c>
      <c r="F567" s="4">
        <v>0.73299999999999998</v>
      </c>
    </row>
    <row r="568" spans="1:6" x14ac:dyDescent="0.2">
      <c r="A568" s="9">
        <v>0.80681666666666652</v>
      </c>
      <c r="B568" s="4">
        <v>1</v>
      </c>
      <c r="C568" s="4">
        <v>0.57499999999999996</v>
      </c>
      <c r="D568" s="4">
        <v>0.45</v>
      </c>
      <c r="E568" s="4">
        <v>0.185</v>
      </c>
      <c r="F568" s="4">
        <v>0.92500000000000004</v>
      </c>
    </row>
    <row r="569" spans="1:6" x14ac:dyDescent="0.2">
      <c r="A569" s="9">
        <v>0.80690666666666666</v>
      </c>
      <c r="B569" s="4">
        <v>1</v>
      </c>
      <c r="C569" s="4">
        <v>0.57999999999999996</v>
      </c>
      <c r="D569" s="4">
        <v>0.45</v>
      </c>
      <c r="E569" s="4">
        <v>0.16</v>
      </c>
      <c r="F569" s="4">
        <v>0.86750000000000005</v>
      </c>
    </row>
    <row r="570" spans="1:6" x14ac:dyDescent="0.2">
      <c r="A570" s="9">
        <v>0.80694933333333341</v>
      </c>
      <c r="B570" s="4">
        <v>1</v>
      </c>
      <c r="C570" s="4">
        <v>0.57999999999999996</v>
      </c>
      <c r="D570" s="4">
        <v>0.44</v>
      </c>
      <c r="E570" s="4">
        <v>0.18</v>
      </c>
      <c r="F570" s="4">
        <v>0.85399999999999998</v>
      </c>
    </row>
    <row r="571" spans="1:6" x14ac:dyDescent="0.2">
      <c r="A571" s="9">
        <v>0.80740800000000013</v>
      </c>
      <c r="B571" s="4">
        <v>1</v>
      </c>
      <c r="C571" s="4">
        <v>0.56999999999999995</v>
      </c>
      <c r="D571" s="4">
        <v>0.46500000000000002</v>
      </c>
      <c r="E571" s="4">
        <v>0.16</v>
      </c>
      <c r="F571" s="4">
        <v>0.89349999999999996</v>
      </c>
    </row>
    <row r="572" spans="1:6" x14ac:dyDescent="0.2">
      <c r="A572" s="9">
        <v>0.80750066666666653</v>
      </c>
      <c r="B572" s="4">
        <v>1</v>
      </c>
      <c r="C572" s="4">
        <v>0.57499999999999996</v>
      </c>
      <c r="D572" s="4">
        <v>0.45500000000000002</v>
      </c>
      <c r="E572" s="4">
        <v>0.16500000000000001</v>
      </c>
      <c r="F572" s="4">
        <v>0.86699999999999999</v>
      </c>
    </row>
    <row r="573" spans="1:6" x14ac:dyDescent="0.2">
      <c r="A573" s="9">
        <v>0.80751466666666694</v>
      </c>
      <c r="B573" s="4">
        <v>1</v>
      </c>
      <c r="C573" s="4">
        <v>0.56999999999999995</v>
      </c>
      <c r="D573" s="4">
        <v>0.46500000000000002</v>
      </c>
      <c r="E573" s="4">
        <v>0.155</v>
      </c>
      <c r="F573" s="4">
        <v>0.872</v>
      </c>
    </row>
    <row r="574" spans="1:6" x14ac:dyDescent="0.2">
      <c r="A574" s="9">
        <v>0.80788933333333335</v>
      </c>
      <c r="B574" s="4">
        <v>1</v>
      </c>
      <c r="C574" s="4">
        <v>0.58499999999999996</v>
      </c>
      <c r="D574" s="4">
        <v>0.435</v>
      </c>
      <c r="E574" s="4">
        <v>0.14000000000000001</v>
      </c>
      <c r="F574" s="4">
        <v>0.69550000000000001</v>
      </c>
    </row>
    <row r="575" spans="1:6" x14ac:dyDescent="0.2">
      <c r="A575" s="9">
        <v>0.80841399999999997</v>
      </c>
      <c r="B575" s="4">
        <v>1</v>
      </c>
      <c r="C575" s="4">
        <v>0.59</v>
      </c>
      <c r="D575" s="4">
        <v>0.46</v>
      </c>
      <c r="E575" s="4">
        <v>0.14499999999999999</v>
      </c>
      <c r="F575" s="4">
        <v>0.92900000000000005</v>
      </c>
    </row>
    <row r="576" spans="1:6" x14ac:dyDescent="0.2">
      <c r="A576" s="9">
        <v>0.80864999999999998</v>
      </c>
      <c r="B576" s="4">
        <v>1</v>
      </c>
      <c r="C576" s="4">
        <v>0.57999999999999996</v>
      </c>
      <c r="D576" s="4">
        <v>0.47499999999999998</v>
      </c>
      <c r="E576" s="4">
        <v>0.13500000000000001</v>
      </c>
      <c r="F576" s="4">
        <v>0.92500000000000004</v>
      </c>
    </row>
    <row r="577" spans="1:6" x14ac:dyDescent="0.2">
      <c r="A577" s="9">
        <v>0.80874033333333328</v>
      </c>
      <c r="B577" s="4">
        <v>1</v>
      </c>
      <c r="C577" s="4">
        <v>0.59</v>
      </c>
      <c r="D577" s="4">
        <v>0.44500000000000001</v>
      </c>
      <c r="E577" s="4">
        <v>0.13500000000000001</v>
      </c>
      <c r="F577" s="4">
        <v>0.77149999999999996</v>
      </c>
    </row>
    <row r="578" spans="1:6" x14ac:dyDescent="0.2">
      <c r="A578" s="9">
        <v>0.80899999999999983</v>
      </c>
      <c r="B578" s="4">
        <v>1</v>
      </c>
      <c r="C578" s="4">
        <v>0.57999999999999996</v>
      </c>
      <c r="D578" s="4">
        <v>0.47499999999999998</v>
      </c>
      <c r="E578" s="4">
        <v>0.15</v>
      </c>
      <c r="F578" s="4">
        <v>0.97</v>
      </c>
    </row>
    <row r="579" spans="1:6" x14ac:dyDescent="0.2">
      <c r="A579" s="9">
        <v>0.80959199999999998</v>
      </c>
      <c r="B579" s="4">
        <v>1</v>
      </c>
      <c r="C579" s="4">
        <v>0.60499999999999998</v>
      </c>
      <c r="D579" s="4">
        <v>0.46</v>
      </c>
      <c r="E579" s="4">
        <v>0.17</v>
      </c>
      <c r="F579" s="4">
        <v>1.1220000000000001</v>
      </c>
    </row>
    <row r="580" spans="1:6" x14ac:dyDescent="0.2">
      <c r="A580" s="9">
        <v>0.80963333333333343</v>
      </c>
      <c r="B580" s="4">
        <v>1</v>
      </c>
      <c r="C580" s="4">
        <v>0.57499999999999996</v>
      </c>
      <c r="D580" s="4">
        <v>0.47</v>
      </c>
      <c r="E580" s="4">
        <v>0.14000000000000001</v>
      </c>
      <c r="F580" s="4">
        <v>0.83750000000000002</v>
      </c>
    </row>
    <row r="581" spans="1:6" x14ac:dyDescent="0.2">
      <c r="A581" s="9">
        <v>0.80968666666666678</v>
      </c>
      <c r="B581" s="4">
        <v>1</v>
      </c>
      <c r="C581" s="4">
        <v>0.59</v>
      </c>
      <c r="D581" s="4">
        <v>0.45500000000000002</v>
      </c>
      <c r="E581" s="4">
        <v>0.17499999999999999</v>
      </c>
      <c r="F581" s="4">
        <v>0.96599999999999997</v>
      </c>
    </row>
    <row r="582" spans="1:6" x14ac:dyDescent="0.2">
      <c r="A582" s="9">
        <v>0.80987466666666652</v>
      </c>
      <c r="B582" s="4">
        <v>1</v>
      </c>
      <c r="C582" s="4">
        <v>0.6</v>
      </c>
      <c r="D582" s="4">
        <v>0.45</v>
      </c>
      <c r="E582" s="4">
        <v>0.14000000000000001</v>
      </c>
      <c r="F582" s="4">
        <v>0.86899999999999999</v>
      </c>
    </row>
    <row r="583" spans="1:6" x14ac:dyDescent="0.2">
      <c r="A583" s="9">
        <v>0.80995666666666666</v>
      </c>
      <c r="B583" s="4">
        <v>1</v>
      </c>
      <c r="C583" s="4">
        <v>0.56499999999999995</v>
      </c>
      <c r="D583" s="4">
        <v>0.48</v>
      </c>
      <c r="E583" s="4">
        <v>0.17499999999999999</v>
      </c>
      <c r="F583" s="4">
        <v>0.95699999999999996</v>
      </c>
    </row>
    <row r="584" spans="1:6" x14ac:dyDescent="0.2">
      <c r="A584" s="9">
        <v>0.81040400000000012</v>
      </c>
      <c r="B584" s="4">
        <v>1</v>
      </c>
      <c r="C584" s="4">
        <v>0.59</v>
      </c>
      <c r="D584" s="4">
        <v>0.46</v>
      </c>
      <c r="E584" s="4">
        <v>0.155</v>
      </c>
      <c r="F584" s="4">
        <v>0.90600000000000003</v>
      </c>
    </row>
    <row r="585" spans="1:6" x14ac:dyDescent="0.2">
      <c r="A585" s="9">
        <v>0.81086199999999986</v>
      </c>
      <c r="B585" s="4">
        <v>1</v>
      </c>
      <c r="C585" s="4">
        <v>0.57499999999999996</v>
      </c>
      <c r="D585" s="4">
        <v>0.47499999999999998</v>
      </c>
      <c r="E585" s="4">
        <v>0.14499999999999999</v>
      </c>
      <c r="F585" s="4">
        <v>0.85699999999999998</v>
      </c>
    </row>
    <row r="586" spans="1:6" x14ac:dyDescent="0.2">
      <c r="A586" s="9">
        <v>0.81095399999999995</v>
      </c>
      <c r="B586" s="4">
        <v>1</v>
      </c>
      <c r="C586" s="4">
        <v>0.57999999999999996</v>
      </c>
      <c r="D586" s="4">
        <v>0.47</v>
      </c>
      <c r="E586" s="4">
        <v>0.16500000000000001</v>
      </c>
      <c r="F586" s="4">
        <v>0.92700000000000005</v>
      </c>
    </row>
    <row r="587" spans="1:6" x14ac:dyDescent="0.2">
      <c r="A587" s="9">
        <v>0.81098399999999993</v>
      </c>
      <c r="B587" s="4">
        <v>1</v>
      </c>
      <c r="C587" s="4">
        <v>0.6</v>
      </c>
      <c r="D587" s="4">
        <v>0.45</v>
      </c>
      <c r="E587" s="4">
        <v>0.14000000000000001</v>
      </c>
      <c r="F587" s="4">
        <v>0.83699999999999997</v>
      </c>
    </row>
    <row r="588" spans="1:6" x14ac:dyDescent="0.2">
      <c r="A588" s="9">
        <v>0.8111166666666666</v>
      </c>
      <c r="B588" s="4">
        <v>1</v>
      </c>
      <c r="C588" s="4">
        <v>0.6</v>
      </c>
      <c r="D588" s="4">
        <v>0.45</v>
      </c>
      <c r="E588" s="4">
        <v>0.15</v>
      </c>
      <c r="F588" s="4">
        <v>0.86650000000000005</v>
      </c>
    </row>
    <row r="589" spans="1:6" x14ac:dyDescent="0.2">
      <c r="A589" s="9">
        <v>0.81112666666666677</v>
      </c>
      <c r="B589" s="4">
        <v>1</v>
      </c>
      <c r="C589" s="4">
        <v>0.58499999999999996</v>
      </c>
      <c r="D589" s="4">
        <v>0.47</v>
      </c>
      <c r="E589" s="4">
        <v>0.17</v>
      </c>
      <c r="F589" s="4">
        <v>0.98499999999999999</v>
      </c>
    </row>
    <row r="590" spans="1:6" x14ac:dyDescent="0.2">
      <c r="A590" s="9">
        <v>0.81125666666666663</v>
      </c>
      <c r="B590" s="4">
        <v>1</v>
      </c>
      <c r="C590" s="4">
        <v>0.61</v>
      </c>
      <c r="D590" s="4">
        <v>0.45</v>
      </c>
      <c r="E590" s="4">
        <v>0.13</v>
      </c>
      <c r="F590" s="4">
        <v>0.87250000000000005</v>
      </c>
    </row>
    <row r="591" spans="1:6" x14ac:dyDescent="0.2">
      <c r="A591" s="9">
        <v>0.81193933333333335</v>
      </c>
      <c r="B591" s="4">
        <v>1</v>
      </c>
      <c r="C591" s="4">
        <v>0.57499999999999996</v>
      </c>
      <c r="D591" s="4">
        <v>0.47</v>
      </c>
      <c r="E591" s="4">
        <v>0.16500000000000001</v>
      </c>
      <c r="F591" s="4">
        <v>0.85299999999999998</v>
      </c>
    </row>
    <row r="592" spans="1:6" x14ac:dyDescent="0.2">
      <c r="A592" s="9">
        <v>0.81226433333333325</v>
      </c>
      <c r="B592" s="4">
        <v>1</v>
      </c>
      <c r="C592" s="4">
        <v>0.59</v>
      </c>
      <c r="D592" s="4">
        <v>0.47499999999999998</v>
      </c>
      <c r="E592" s="4">
        <v>0.155</v>
      </c>
      <c r="F592" s="4">
        <v>0.97150000000000003</v>
      </c>
    </row>
    <row r="593" spans="1:6" x14ac:dyDescent="0.2">
      <c r="A593" s="9">
        <v>0.81321199999999993</v>
      </c>
      <c r="B593" s="4">
        <v>1</v>
      </c>
      <c r="C593" s="4">
        <v>0.60499999999999998</v>
      </c>
      <c r="D593" s="4">
        <v>0.47</v>
      </c>
      <c r="E593" s="4">
        <v>0.18</v>
      </c>
      <c r="F593" s="4">
        <v>1.1405000000000001</v>
      </c>
    </row>
    <row r="594" spans="1:6" x14ac:dyDescent="0.2">
      <c r="A594" s="9">
        <v>0.81353100000000012</v>
      </c>
      <c r="B594" s="4">
        <v>1</v>
      </c>
      <c r="C594" s="4">
        <v>0.56000000000000005</v>
      </c>
      <c r="D594" s="4">
        <v>0.46</v>
      </c>
      <c r="E594" s="4">
        <v>0.23499999999999999</v>
      </c>
      <c r="F594" s="4">
        <v>0.83950000000000002</v>
      </c>
    </row>
    <row r="595" spans="1:6" x14ac:dyDescent="0.2">
      <c r="A595" s="9">
        <v>0.8142166666666667</v>
      </c>
      <c r="B595" s="4">
        <v>1</v>
      </c>
      <c r="C595" s="4">
        <v>0.61499999999999999</v>
      </c>
      <c r="D595" s="4">
        <v>0.45500000000000002</v>
      </c>
      <c r="E595" s="4">
        <v>0.15</v>
      </c>
      <c r="F595" s="4">
        <v>0.9335</v>
      </c>
    </row>
    <row r="596" spans="1:6" x14ac:dyDescent="0.2">
      <c r="A596" s="9">
        <v>0.81428333333333347</v>
      </c>
      <c r="B596" s="4">
        <v>1</v>
      </c>
      <c r="C596" s="4">
        <v>0.59499999999999997</v>
      </c>
      <c r="D596" s="4">
        <v>0.47</v>
      </c>
      <c r="E596" s="4">
        <v>0.15</v>
      </c>
      <c r="F596" s="4">
        <v>0.89149999999999996</v>
      </c>
    </row>
    <row r="597" spans="1:6" x14ac:dyDescent="0.2">
      <c r="A597" s="9">
        <v>0.81656666666666666</v>
      </c>
      <c r="B597" s="4">
        <v>1</v>
      </c>
      <c r="C597" s="4">
        <v>0.61</v>
      </c>
      <c r="D597" s="4">
        <v>0.49</v>
      </c>
      <c r="E597" s="4">
        <v>0.15</v>
      </c>
      <c r="F597" s="4">
        <v>1.103</v>
      </c>
    </row>
    <row r="598" spans="1:6" x14ac:dyDescent="0.2">
      <c r="A598" s="9">
        <v>0.81784000000000001</v>
      </c>
      <c r="B598" s="4">
        <v>1</v>
      </c>
      <c r="C598" s="4">
        <v>0.6</v>
      </c>
      <c r="D598" s="4">
        <v>0.47</v>
      </c>
      <c r="E598" s="4">
        <v>0.2</v>
      </c>
      <c r="F598" s="4">
        <v>1.0309999999999999</v>
      </c>
    </row>
    <row r="599" spans="1:6" x14ac:dyDescent="0.2">
      <c r="A599" s="9">
        <v>0.81793933333333335</v>
      </c>
      <c r="B599" s="4">
        <v>1</v>
      </c>
      <c r="C599" s="4">
        <v>0.61</v>
      </c>
      <c r="D599" s="4">
        <v>0.48499999999999999</v>
      </c>
      <c r="E599" s="4">
        <v>0.21</v>
      </c>
      <c r="F599" s="4">
        <v>1.3445</v>
      </c>
    </row>
    <row r="600" spans="1:6" x14ac:dyDescent="0.2">
      <c r="A600" s="9">
        <v>0.81840666666666673</v>
      </c>
      <c r="B600" s="4">
        <v>1</v>
      </c>
      <c r="C600" s="4">
        <v>0.66500000000000004</v>
      </c>
      <c r="D600" s="4">
        <v>0.5</v>
      </c>
      <c r="E600" s="4">
        <v>0.17499999999999999</v>
      </c>
      <c r="F600" s="4">
        <v>1.742</v>
      </c>
    </row>
    <row r="601" spans="1:6" x14ac:dyDescent="0.2">
      <c r="A601" s="9">
        <v>0.81901666666666673</v>
      </c>
      <c r="B601" s="4">
        <v>1</v>
      </c>
      <c r="C601" s="4">
        <v>0.57999999999999996</v>
      </c>
      <c r="D601" s="4">
        <v>0.5</v>
      </c>
      <c r="E601" s="4">
        <v>0.16500000000000001</v>
      </c>
      <c r="F601" s="4">
        <v>0.92500000000000004</v>
      </c>
    </row>
    <row r="602" spans="1:6" x14ac:dyDescent="0.2">
      <c r="A602" s="9">
        <v>0.81972000000000012</v>
      </c>
      <c r="B602" s="4">
        <v>1</v>
      </c>
      <c r="C602" s="4">
        <v>0.65500000000000003</v>
      </c>
      <c r="D602" s="4">
        <v>0.48499999999999999</v>
      </c>
      <c r="E602" s="4">
        <v>0.19500000000000001</v>
      </c>
      <c r="F602" s="4">
        <v>1.62</v>
      </c>
    </row>
    <row r="603" spans="1:6" x14ac:dyDescent="0.2">
      <c r="A603" s="9">
        <v>0.82010366666666656</v>
      </c>
      <c r="B603" s="4">
        <v>1</v>
      </c>
      <c r="C603" s="4">
        <v>0.64</v>
      </c>
      <c r="D603" s="4">
        <v>0.505</v>
      </c>
      <c r="E603" s="4">
        <v>0.16500000000000001</v>
      </c>
      <c r="F603" s="4">
        <v>1.4435</v>
      </c>
    </row>
    <row r="604" spans="1:6" x14ac:dyDescent="0.2">
      <c r="A604" s="9">
        <v>0.82066666666666677</v>
      </c>
      <c r="B604" s="4">
        <v>1</v>
      </c>
      <c r="C604" s="4">
        <v>0.59499999999999997</v>
      </c>
      <c r="D604" s="4">
        <v>0.48</v>
      </c>
      <c r="E604" s="4">
        <v>0.2</v>
      </c>
      <c r="F604" s="4">
        <v>0.97499999999999998</v>
      </c>
    </row>
    <row r="605" spans="1:6" x14ac:dyDescent="0.2">
      <c r="A605" s="9">
        <v>0.82097466666666685</v>
      </c>
      <c r="B605" s="4">
        <v>1</v>
      </c>
      <c r="C605" s="4">
        <v>0.62</v>
      </c>
      <c r="D605" s="4">
        <v>0.47</v>
      </c>
      <c r="E605" s="4">
        <v>0.14000000000000001</v>
      </c>
      <c r="F605" s="4">
        <v>0.85650000000000004</v>
      </c>
    </row>
    <row r="606" spans="1:6" x14ac:dyDescent="0.2">
      <c r="A606" s="9">
        <v>0.82204200000000016</v>
      </c>
      <c r="B606" s="4">
        <v>1</v>
      </c>
      <c r="C606" s="4">
        <v>0.63</v>
      </c>
      <c r="D606" s="4">
        <v>0.51</v>
      </c>
      <c r="E606" s="4">
        <v>0.19</v>
      </c>
      <c r="F606" s="4">
        <v>1.4984999999999999</v>
      </c>
    </row>
    <row r="607" spans="1:6" x14ac:dyDescent="0.2">
      <c r="A607" s="9">
        <v>0.82239133333333347</v>
      </c>
      <c r="B607" s="4">
        <v>1</v>
      </c>
      <c r="C607" s="4">
        <v>0.625</v>
      </c>
      <c r="D607" s="4">
        <v>0.47499999999999998</v>
      </c>
      <c r="E607" s="4">
        <v>0.13</v>
      </c>
      <c r="F607" s="4">
        <v>0.85950000000000004</v>
      </c>
    </row>
    <row r="608" spans="1:6" x14ac:dyDescent="0.2">
      <c r="A608" s="9">
        <v>0.82288966666666674</v>
      </c>
      <c r="B608" s="4">
        <v>1</v>
      </c>
      <c r="C608" s="4">
        <v>0.61</v>
      </c>
      <c r="D608" s="4">
        <v>0.495</v>
      </c>
      <c r="E608" s="4">
        <v>0.185</v>
      </c>
      <c r="F608" s="4">
        <v>1.1085</v>
      </c>
    </row>
    <row r="609" spans="1:6" x14ac:dyDescent="0.2">
      <c r="A609" s="9">
        <v>0.82294933333333331</v>
      </c>
      <c r="B609" s="4">
        <v>1</v>
      </c>
      <c r="C609" s="4">
        <v>0.6</v>
      </c>
      <c r="D609" s="4">
        <v>0.48499999999999999</v>
      </c>
      <c r="E609" s="4">
        <v>0.14499999999999999</v>
      </c>
      <c r="F609" s="4">
        <v>0.77600000000000002</v>
      </c>
    </row>
    <row r="610" spans="1:6" x14ac:dyDescent="0.2">
      <c r="A610" s="9">
        <v>0.82465000000000011</v>
      </c>
      <c r="B610" s="4">
        <v>1</v>
      </c>
      <c r="C610" s="4">
        <v>0.62</v>
      </c>
      <c r="D610" s="4">
        <v>0.47</v>
      </c>
      <c r="E610" s="4">
        <v>0.22500000000000001</v>
      </c>
      <c r="F610" s="4">
        <v>1.115</v>
      </c>
    </row>
    <row r="611" spans="1:6" x14ac:dyDescent="0.2">
      <c r="A611" s="9">
        <v>0.82476533333333346</v>
      </c>
      <c r="B611" s="4">
        <v>1</v>
      </c>
      <c r="C611" s="4">
        <v>0.62</v>
      </c>
      <c r="D611" s="4">
        <v>0.495</v>
      </c>
      <c r="E611" s="4">
        <v>0.17</v>
      </c>
      <c r="F611" s="4">
        <v>1.0620000000000001</v>
      </c>
    </row>
    <row r="612" spans="1:6" x14ac:dyDescent="0.2">
      <c r="A612" s="9">
        <v>0.82663300000000006</v>
      </c>
      <c r="B612" s="4">
        <v>1</v>
      </c>
      <c r="C612" s="4">
        <v>0.64</v>
      </c>
      <c r="D612" s="4">
        <v>0.5</v>
      </c>
      <c r="E612" s="4">
        <v>0.185</v>
      </c>
      <c r="F612" s="4">
        <v>1.3035000000000001</v>
      </c>
    </row>
    <row r="613" spans="1:6" x14ac:dyDescent="0.2">
      <c r="A613" s="9">
        <v>0.82678466666666672</v>
      </c>
      <c r="B613" s="4">
        <v>1</v>
      </c>
      <c r="C613" s="4">
        <v>0.64</v>
      </c>
      <c r="D613" s="4">
        <v>0.52500000000000002</v>
      </c>
      <c r="E613" s="4">
        <v>0.215</v>
      </c>
      <c r="F613" s="4">
        <v>1.7789999999999999</v>
      </c>
    </row>
    <row r="614" spans="1:6" x14ac:dyDescent="0.2">
      <c r="A614" s="9">
        <v>0.8282333333333336</v>
      </c>
      <c r="B614" s="4">
        <v>1</v>
      </c>
      <c r="C614" s="4">
        <v>0.625</v>
      </c>
      <c r="D614" s="4">
        <v>0.5</v>
      </c>
      <c r="E614" s="4">
        <v>0.15</v>
      </c>
      <c r="F614" s="4">
        <v>0.95299999999999996</v>
      </c>
    </row>
    <row r="615" spans="1:6" x14ac:dyDescent="0.2">
      <c r="A615" s="9">
        <v>0.82850333333333337</v>
      </c>
      <c r="B615" s="4">
        <v>1</v>
      </c>
      <c r="C615" s="4">
        <v>0.63</v>
      </c>
      <c r="D615" s="4">
        <v>0.5</v>
      </c>
      <c r="E615" s="4">
        <v>0.155</v>
      </c>
      <c r="F615" s="4">
        <v>1.0049999999999999</v>
      </c>
    </row>
    <row r="616" spans="1:6" x14ac:dyDescent="0.2">
      <c r="A616" s="9">
        <v>0.83025599999999999</v>
      </c>
      <c r="B616" s="4">
        <v>1</v>
      </c>
      <c r="C616" s="4">
        <v>0.66</v>
      </c>
      <c r="D616" s="4">
        <v>0.52</v>
      </c>
      <c r="E616" s="4">
        <v>0.18</v>
      </c>
      <c r="F616" s="4">
        <v>1.514</v>
      </c>
    </row>
    <row r="617" spans="1:6" x14ac:dyDescent="0.2">
      <c r="A617" s="9">
        <v>0.83092133333333329</v>
      </c>
      <c r="B617" s="4">
        <v>1</v>
      </c>
      <c r="C617" s="4">
        <v>0.64500000000000002</v>
      </c>
      <c r="D617" s="4">
        <v>0.5</v>
      </c>
      <c r="E617" s="4">
        <v>0.19</v>
      </c>
      <c r="F617" s="4">
        <v>1.2290000000000001</v>
      </c>
    </row>
    <row r="618" spans="1:6" x14ac:dyDescent="0.2">
      <c r="A618" s="9">
        <v>0.83282133333333341</v>
      </c>
      <c r="B618" s="4">
        <v>1</v>
      </c>
      <c r="C618" s="4">
        <v>0.63</v>
      </c>
      <c r="D618" s="4">
        <v>0.51500000000000001</v>
      </c>
      <c r="E618" s="4">
        <v>0.16</v>
      </c>
      <c r="F618" s="4">
        <v>1.016</v>
      </c>
    </row>
    <row r="619" spans="1:6" x14ac:dyDescent="0.2">
      <c r="A619" s="9">
        <v>0.83318133333333333</v>
      </c>
      <c r="B619" s="4">
        <v>1</v>
      </c>
      <c r="C619" s="4">
        <v>0.65500000000000003</v>
      </c>
      <c r="D619" s="4">
        <v>0.54</v>
      </c>
      <c r="E619" s="4">
        <v>0.215</v>
      </c>
      <c r="F619" s="4">
        <v>1.8440000000000001</v>
      </c>
    </row>
    <row r="620" spans="1:6" x14ac:dyDescent="0.2">
      <c r="A620" s="9">
        <v>0.83572266666666684</v>
      </c>
      <c r="B620" s="4">
        <v>1</v>
      </c>
      <c r="C620" s="4">
        <v>0.65500000000000003</v>
      </c>
      <c r="D620" s="4">
        <v>0.51</v>
      </c>
      <c r="E620" s="4">
        <v>0.16</v>
      </c>
      <c r="F620" s="4">
        <v>1.0920000000000001</v>
      </c>
    </row>
    <row r="621" spans="1:6" x14ac:dyDescent="0.2">
      <c r="A621" s="9">
        <v>0.83792366666666673</v>
      </c>
      <c r="B621" s="4">
        <v>1</v>
      </c>
      <c r="C621" s="4">
        <v>0.67500000000000004</v>
      </c>
      <c r="D621" s="4">
        <v>0.54500000000000004</v>
      </c>
      <c r="E621" s="4">
        <v>0.19500000000000001</v>
      </c>
      <c r="F621" s="4">
        <v>1.7344999999999999</v>
      </c>
    </row>
    <row r="622" spans="1:6" x14ac:dyDescent="0.2">
      <c r="A622" s="9">
        <v>0.83794000000000013</v>
      </c>
      <c r="B622" s="4">
        <v>1</v>
      </c>
      <c r="C622" s="4">
        <v>0.67500000000000004</v>
      </c>
      <c r="D622" s="4">
        <v>0.52500000000000002</v>
      </c>
      <c r="E622" s="4">
        <v>0.17499999999999999</v>
      </c>
      <c r="F622" s="4">
        <v>1.4019999999999999</v>
      </c>
    </row>
    <row r="623" spans="1:6" x14ac:dyDescent="0.2">
      <c r="A623" s="9">
        <v>0.84092333333333336</v>
      </c>
      <c r="B623" s="4">
        <v>1</v>
      </c>
      <c r="C623" s="4">
        <v>0.66500000000000004</v>
      </c>
      <c r="D623" s="4">
        <v>0.54</v>
      </c>
      <c r="E623" s="4">
        <v>0.17499999999999999</v>
      </c>
      <c r="F623" s="4">
        <v>1.347</v>
      </c>
    </row>
    <row r="624" spans="1:6" x14ac:dyDescent="0.2">
      <c r="A624" s="9">
        <v>0.8415743333333332</v>
      </c>
      <c r="B624" s="4">
        <v>1</v>
      </c>
      <c r="C624" s="4">
        <v>0.69</v>
      </c>
      <c r="D624" s="4">
        <v>0.54</v>
      </c>
      <c r="E624" s="4">
        <v>0.185</v>
      </c>
      <c r="F624" s="4">
        <v>1.6194999999999999</v>
      </c>
    </row>
    <row r="625" spans="1:6" x14ac:dyDescent="0.2">
      <c r="A625" s="9">
        <v>0.84187599999999996</v>
      </c>
      <c r="B625" s="4">
        <v>1</v>
      </c>
      <c r="C625" s="4">
        <v>0.7</v>
      </c>
      <c r="D625" s="4">
        <v>0.54</v>
      </c>
      <c r="E625" s="4">
        <v>0.215</v>
      </c>
      <c r="F625" s="4">
        <v>1.978</v>
      </c>
    </row>
    <row r="626" spans="1:6" x14ac:dyDescent="0.2">
      <c r="A626" s="9">
        <v>0.84964000000000017</v>
      </c>
      <c r="B626" s="4">
        <v>1</v>
      </c>
      <c r="C626" s="4">
        <v>0.67500000000000004</v>
      </c>
      <c r="D626" s="4">
        <v>0.55500000000000005</v>
      </c>
      <c r="E626" s="4">
        <v>0.2</v>
      </c>
      <c r="F626" s="4">
        <v>1.4384999999999999</v>
      </c>
    </row>
    <row r="627" spans="1:6" x14ac:dyDescent="0.2">
      <c r="A627" s="9">
        <v>0.85085166666666678</v>
      </c>
      <c r="B627" s="4">
        <v>1</v>
      </c>
      <c r="C627" s="4">
        <v>0.7</v>
      </c>
      <c r="D627" s="4">
        <v>0.58499999999999996</v>
      </c>
      <c r="E627" s="4">
        <v>0.185</v>
      </c>
      <c r="F627" s="4">
        <v>1.8075000000000001</v>
      </c>
    </row>
    <row r="628" spans="1:6" x14ac:dyDescent="0.2">
      <c r="A628" s="9">
        <v>0.85684000000000005</v>
      </c>
      <c r="B628" s="4">
        <v>1</v>
      </c>
      <c r="C628" s="4">
        <v>0.70499999999999996</v>
      </c>
      <c r="D628" s="4">
        <v>0.55500000000000005</v>
      </c>
      <c r="E628" s="4">
        <v>0.2</v>
      </c>
      <c r="F628" s="4">
        <v>1.4684999999999999</v>
      </c>
    </row>
    <row r="629" spans="1:6" x14ac:dyDescent="0.2">
      <c r="A629" s="9">
        <v>0.87228933333333336</v>
      </c>
      <c r="B629" s="4">
        <v>1</v>
      </c>
      <c r="C629" s="4">
        <v>0.8</v>
      </c>
      <c r="D629" s="4">
        <v>0.63</v>
      </c>
      <c r="E629" s="4">
        <v>0.19500000000000001</v>
      </c>
      <c r="F629" s="4">
        <v>2.5259999999999998</v>
      </c>
    </row>
    <row r="630" spans="1:6" x14ac:dyDescent="0.2">
      <c r="A630" s="12">
        <v>0.87236000000000002</v>
      </c>
      <c r="B630" s="13">
        <v>1</v>
      </c>
      <c r="C630" s="13">
        <v>0.73499999999999999</v>
      </c>
      <c r="D630" s="13">
        <v>0.59</v>
      </c>
      <c r="E630" s="13">
        <v>0.22500000000000001</v>
      </c>
      <c r="F630" s="13">
        <v>1.756</v>
      </c>
    </row>
    <row r="631" spans="1:6" x14ac:dyDescent="0.2">
      <c r="A631" s="3" t="s">
        <v>64</v>
      </c>
      <c r="B631" s="4">
        <v>607</v>
      </c>
      <c r="C631" s="4">
        <v>285.78999999999996</v>
      </c>
      <c r="D631" s="4">
        <v>221.08500000000015</v>
      </c>
      <c r="E631" s="4">
        <v>74.920000000000016</v>
      </c>
      <c r="F631" s="4">
        <v>349.21100000000001</v>
      </c>
    </row>
  </sheetData>
  <pageMargins left="0.7" right="0.7" top="0.75" bottom="0.75" header="0.3" footer="0.3"/>
  <pageSetup orientation="portrait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D6EAB-5C9D-4CA5-82D0-C813ED8E3055}">
  <dimension ref="A1:I5"/>
  <sheetViews>
    <sheetView topLeftCell="A6" zoomScale="94" zoomScaleNormal="115" workbookViewId="0">
      <selection activeCell="O18" sqref="O18"/>
    </sheetView>
    <sheetView workbookViewId="1"/>
  </sheetViews>
  <sheetFormatPr baseColWidth="10" defaultColWidth="8.83203125" defaultRowHeight="15" x14ac:dyDescent="0.2"/>
  <cols>
    <col min="1" max="1" width="10.5" customWidth="1"/>
    <col min="3" max="3" width="10.33203125" customWidth="1"/>
    <col min="4" max="4" width="10.6640625" customWidth="1"/>
    <col min="5" max="5" width="11.33203125" customWidth="1"/>
  </cols>
  <sheetData>
    <row r="1" spans="1:9" x14ac:dyDescent="0.2">
      <c r="A1" s="23" t="s">
        <v>101</v>
      </c>
      <c r="B1" s="26" t="s">
        <v>73</v>
      </c>
      <c r="C1" s="29" t="s">
        <v>74</v>
      </c>
      <c r="D1" s="26" t="s">
        <v>75</v>
      </c>
      <c r="E1" s="29" t="s">
        <v>98</v>
      </c>
      <c r="F1" s="26" t="s">
        <v>99</v>
      </c>
      <c r="G1" s="29" t="s">
        <v>100</v>
      </c>
      <c r="H1" s="26" t="s">
        <v>79</v>
      </c>
      <c r="I1" s="8" t="s">
        <v>80</v>
      </c>
    </row>
    <row r="2" spans="1:9" x14ac:dyDescent="0.2">
      <c r="A2" s="24" t="s">
        <v>94</v>
      </c>
      <c r="B2" s="27">
        <f>MEDIAN((Table13[Length]))</f>
        <v>0.54</v>
      </c>
      <c r="C2">
        <f>MEDIAN((Table13[Diameter]))</f>
        <v>0.42499999999999999</v>
      </c>
      <c r="D2" s="27">
        <f>MEDIAN((Table13[Height]))</f>
        <v>0.14000000000000001</v>
      </c>
      <c r="E2">
        <f>MEDIAN((Table13[Whole_weight]))</f>
        <v>0.78574999999999995</v>
      </c>
      <c r="F2" s="27">
        <f>MEDIAN(Table13[Shucked_weight])</f>
        <v>0.33700000000000002</v>
      </c>
      <c r="G2">
        <f>MEDIAN(Table13[Viscera_weight])</f>
        <v>0.17</v>
      </c>
      <c r="H2" s="27">
        <f>MEDIAN(Table13[Shell_weight])</f>
        <v>0.23375000000000001</v>
      </c>
      <c r="I2" s="7">
        <f>MEDIAN(Table13[Rings])</f>
        <v>10</v>
      </c>
    </row>
    <row r="3" spans="1:9" x14ac:dyDescent="0.2">
      <c r="A3" s="24" t="s">
        <v>95</v>
      </c>
      <c r="B3" s="27">
        <f>VAR(Table13[Length])</f>
        <v>1.4036301076076016E-2</v>
      </c>
      <c r="C3" s="30">
        <f>VAR(Table13[Diameter])</f>
        <v>9.7153017017016612E-3</v>
      </c>
      <c r="D3" s="27">
        <f>VAR(Table13[Height])</f>
        <v>1.4243802802802569E-3</v>
      </c>
      <c r="E3" s="30">
        <f>VAR(Table13[Whole_weight])</f>
        <v>0.23692677572547555</v>
      </c>
      <c r="F3" s="27">
        <f>VAR(Table13[Shucked_weight])</f>
        <v>4.8070727287037353E-2</v>
      </c>
      <c r="G3" s="30">
        <f>VAR(Table13[Viscera_weight])</f>
        <v>1.150629385785785E-2</v>
      </c>
      <c r="H3" s="27">
        <f>VAR(Table13[Shell_weight])</f>
        <v>1.9598544660660664E-2</v>
      </c>
      <c r="I3" s="7">
        <f>VAR(Table13[Rings])</f>
        <v>10.638117117117124</v>
      </c>
    </row>
    <row r="4" spans="1:9" x14ac:dyDescent="0.2">
      <c r="A4" s="24" t="s">
        <v>96</v>
      </c>
      <c r="B4" s="27">
        <f>MIN(Table13[Length])</f>
        <v>0.13</v>
      </c>
      <c r="C4" s="30">
        <f>MIN(Table13[Diameter])</f>
        <v>9.5000000000000001E-2</v>
      </c>
      <c r="D4" s="27">
        <f>MIN(Table13[Height])</f>
        <v>0</v>
      </c>
      <c r="E4" s="30">
        <f>MIN(Table13[Whole_weight])</f>
        <v>1.0500000000000001E-2</v>
      </c>
      <c r="F4" s="27">
        <f>MIN(Table13[Shucked_weight])</f>
        <v>4.4999999999999997E-3</v>
      </c>
      <c r="G4" s="30">
        <f>MIN(Table13[Viscera_weight])</f>
        <v>3.0000000000000001E-3</v>
      </c>
      <c r="H4" s="27">
        <f>MIN(Table13[Shell_weight])</f>
        <v>3.5000000000000001E-3</v>
      </c>
      <c r="I4" s="7">
        <f>MIN(Table13[Rings])</f>
        <v>3</v>
      </c>
    </row>
    <row r="5" spans="1:9" x14ac:dyDescent="0.2">
      <c r="A5" s="25" t="s">
        <v>97</v>
      </c>
      <c r="B5" s="28">
        <f>MAX(Table13[Length])</f>
        <v>0.81499999999999995</v>
      </c>
      <c r="C5" s="31">
        <f>MAX(Table13[Diameter])</f>
        <v>0.65</v>
      </c>
      <c r="D5" s="28">
        <f>MAX(Table13[Height])</f>
        <v>0.25</v>
      </c>
      <c r="E5" s="31">
        <f>MAX(Table13[Whole_weight])</f>
        <v>2.8254999999999999</v>
      </c>
      <c r="F5" s="28">
        <f>MAX(Table13[Shucked_weight])</f>
        <v>1.2529999999999999</v>
      </c>
      <c r="G5" s="31">
        <f>MAX(Table13[Viscera_weight])</f>
        <v>0.59</v>
      </c>
      <c r="H5" s="28">
        <f>MAX(Table13[Shell_weight])</f>
        <v>0.89700000000000002</v>
      </c>
      <c r="I5" s="22">
        <f>MAX(Table13[Rings])</f>
        <v>29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45CF8-EB07-2547-A28A-4A85E36FD618}">
  <dimension ref="A1:Q21"/>
  <sheetViews>
    <sheetView view="pageLayout" zoomScaleNormal="81" workbookViewId="0">
      <pane ySplit="3860" topLeftCell="A5" activePane="bottomLeft"/>
      <selection pane="bottomLeft" activeCell="A5" sqref="A5"/>
    </sheetView>
    <sheetView tabSelected="1" workbookViewId="1">
      <selection activeCell="A5" sqref="A5"/>
    </sheetView>
  </sheetViews>
  <sheetFormatPr baseColWidth="10" defaultRowHeight="15" x14ac:dyDescent="0.2"/>
  <cols>
    <col min="1" max="1" width="17.6640625" bestFit="1" customWidth="1"/>
    <col min="2" max="2" width="23.1640625" bestFit="1" customWidth="1"/>
    <col min="3" max="3" width="19.1640625" bestFit="1" customWidth="1"/>
    <col min="4" max="4" width="17" bestFit="1" customWidth="1"/>
    <col min="5" max="30" width="23.1640625" bestFit="1" customWidth="1"/>
    <col min="31" max="31" width="27.33203125" bestFit="1" customWidth="1"/>
    <col min="32" max="32" width="23.5" bestFit="1" customWidth="1"/>
    <col min="33" max="33" width="21.1640625" bestFit="1" customWidth="1"/>
  </cols>
  <sheetData>
    <row r="1" spans="1:17" x14ac:dyDescent="0.2">
      <c r="A1" s="33" t="s">
        <v>112</v>
      </c>
      <c r="B1" s="33" t="s">
        <v>72</v>
      </c>
      <c r="C1" s="21" t="s">
        <v>73</v>
      </c>
      <c r="D1" s="21" t="s">
        <v>74</v>
      </c>
      <c r="E1" s="21" t="s">
        <v>75</v>
      </c>
      <c r="F1" s="21" t="s">
        <v>76</v>
      </c>
      <c r="G1" s="21" t="s">
        <v>77</v>
      </c>
      <c r="H1" s="21" t="s">
        <v>78</v>
      </c>
      <c r="I1" s="21" t="s">
        <v>79</v>
      </c>
      <c r="J1" s="21" t="s">
        <v>80</v>
      </c>
      <c r="K1" s="32" t="s">
        <v>81</v>
      </c>
      <c r="L1" s="21" t="s">
        <v>82</v>
      </c>
      <c r="M1" s="21" t="s">
        <v>83</v>
      </c>
      <c r="N1" s="21" t="s">
        <v>84</v>
      </c>
      <c r="O1" s="21" t="s">
        <v>85</v>
      </c>
      <c r="P1" s="21" t="s">
        <v>86</v>
      </c>
      <c r="Q1" s="21" t="s">
        <v>87</v>
      </c>
    </row>
    <row r="2" spans="1:17" x14ac:dyDescent="0.2">
      <c r="A2" s="19">
        <v>103</v>
      </c>
      <c r="B2" s="20" t="str">
        <f>VLOOKUP('Search Functions'!A2,Table13[[Abalone_id]:[Rings]],2,FALSE)</f>
        <v>M</v>
      </c>
      <c r="C2" s="20">
        <f>VLOOKUP('Search Functions'!A2,Table13[[Abalone_id]:[Rings]],3,FALSE)</f>
        <v>0.53</v>
      </c>
      <c r="D2" s="20">
        <f>VLOOKUP('Search Functions'!A2,Table13[[Abalone_id]:[Rings]],4,FALSE)</f>
        <v>0.435</v>
      </c>
      <c r="E2" s="20">
        <f>VLOOKUP('Search Functions'!A2,Table13[[Abalone_id]:[Rings]],5,FALSE)</f>
        <v>0.16</v>
      </c>
      <c r="F2" s="20">
        <f>VLOOKUP('Search Functions'!A2,Table13[[Abalone_id]:[Rings]],6,FALSE)</f>
        <v>0.88300000000000001</v>
      </c>
      <c r="G2" s="20">
        <f>VLOOKUP('Search Functions'!A2,Table13[[Abalone_id]:[Rings]],7,FALSE)</f>
        <v>0.316</v>
      </c>
      <c r="H2" s="20">
        <f>VLOOKUP('Search Functions'!A2,Table13[[Abalone_id]:[Rings]],8,FALSE)</f>
        <v>0.16400000000000001</v>
      </c>
      <c r="I2" s="20">
        <f>VLOOKUP('Search Functions'!A2,Table13[[Abalone_id]:[Rings]],9,FALSE)</f>
        <v>0.33500000000000002</v>
      </c>
      <c r="J2" s="20">
        <f>VLOOKUP('Search Functions'!A2,Table13[[Abalone_id]:[Rings]],10,FALSE)</f>
        <v>15</v>
      </c>
      <c r="K2" s="20">
        <f>VLOOKUP('Search Functions'!A2,Table13[[Abalone_id]:[Feb_temp]],11,FALSE)</f>
        <v>10</v>
      </c>
      <c r="L2" s="20" t="str">
        <f>VLOOKUP('Search Functions'!A2,Table13[[Abalone_id]:[Feb_temp]],12,FALSE)</f>
        <v>Hazel</v>
      </c>
      <c r="M2" s="20" t="str">
        <f>VLOOKUP('Search Functions'!A2,Table13[[Abalone_id]:[Feb_temp]],13,FALSE)</f>
        <v>Villa</v>
      </c>
      <c r="N2" s="20" t="str">
        <f>VLOOKUP('Search Functions'!A2,Table13[[Abalone_id]:[Feb_temp]],14,FALSE)</f>
        <v>University of Minnesota</v>
      </c>
      <c r="O2" s="20">
        <f>VLOOKUP('Search Functions'!A2,Table13[[Abalone_id]:[Feb_temp]],15,FALSE)</f>
        <v>3</v>
      </c>
      <c r="P2" s="20" t="str">
        <f>VLOOKUP('Search Functions'!A2,Table13[[Abalone_id]:[Feb_temp]],16,FALSE)</f>
        <v>Northeast</v>
      </c>
      <c r="Q2" s="20">
        <f>VLOOKUP('Search Functions'!A2,Table13[[Abalone_id]:[Feb_temp]],17,FALSE)</f>
        <v>3.6</v>
      </c>
    </row>
    <row r="4" spans="1:17" x14ac:dyDescent="0.2">
      <c r="A4" s="33" t="s">
        <v>112</v>
      </c>
      <c r="B4" s="33" t="s">
        <v>72</v>
      </c>
      <c r="C4" s="33" t="s">
        <v>73</v>
      </c>
      <c r="D4" s="21" t="s">
        <v>74</v>
      </c>
      <c r="E4" s="21" t="s">
        <v>75</v>
      </c>
      <c r="F4" s="21" t="s">
        <v>76</v>
      </c>
      <c r="G4" s="21" t="s">
        <v>77</v>
      </c>
      <c r="H4" s="21" t="s">
        <v>78</v>
      </c>
      <c r="I4" s="21" t="s">
        <v>79</v>
      </c>
      <c r="J4" s="21" t="s">
        <v>80</v>
      </c>
    </row>
    <row r="5" spans="1:17" x14ac:dyDescent="0.2">
      <c r="A5" s="20" cm="1">
        <f t="array" aca="1" ref="A5" ca="1">INDEX(Table13[Abalone_id],MATCH(Table13[Abalone_id],(COUNTIFS(B5,Table13[Gender],C5,Table13[Length],D5,Table13[Diameter],E5,Table13[Height],F5,Table13[Whole_weight],G5,Table13[Shucked_weight],H5,Table13[Viscera_weight],'Personal Data'!F19,Table13[Shell_weight],J5,Table13[Rings])),0),1)</f>
        <v>0</v>
      </c>
      <c r="B5" s="20" t="str">
        <f ca="1">VLOOKUP('Search Functions'!A5,Table13[[Abalone_id]:[Rings]],2,FALSE)</f>
        <v>M</v>
      </c>
      <c r="C5" s="20">
        <f ca="1">VLOOKUP('Search Functions'!A5,Table13[[Abalone_id]:[Rings]],3,FALSE)</f>
        <v>0.53</v>
      </c>
      <c r="D5" s="20">
        <f ca="1">VLOOKUP('Search Functions'!A5,Table13[[Abalone_id]:[Rings]],4,FALSE)</f>
        <v>0.435</v>
      </c>
      <c r="E5" s="20">
        <f ca="1">VLOOKUP('Search Functions'!A5,Table13[[Abalone_id]:[Rings]],5,FALSE)</f>
        <v>0.16</v>
      </c>
      <c r="F5" s="20">
        <f ca="1">VLOOKUP('Search Functions'!A5,Table13[[Abalone_id]:[Rings]],6,FALSE)</f>
        <v>0.88300000000000001</v>
      </c>
      <c r="G5" s="20">
        <f ca="1">VLOOKUP('Search Functions'!A5,Table13[[Abalone_id]:[Rings]],7,FALSE)</f>
        <v>0.316</v>
      </c>
      <c r="H5" s="20">
        <f ca="1">VLOOKUP('Search Functions'!A5,Table13[[Abalone_id]:[Rings]],8,FALSE)</f>
        <v>0.16400000000000001</v>
      </c>
      <c r="I5" s="20">
        <f ca="1">VLOOKUP('Search Functions'!A5,Table13[[Abalone_id]:[Rings]],9,FALSE)</f>
        <v>0.33500000000000002</v>
      </c>
      <c r="J5" s="20">
        <f ca="1">VLOOKUP('Search Functions'!A5,Table13[[Abalone_id]:[Rings]],10,FALSE)</f>
        <v>15</v>
      </c>
    </row>
    <row r="7" spans="1:17" x14ac:dyDescent="0.2">
      <c r="A7" s="1" t="s">
        <v>63</v>
      </c>
      <c r="B7" t="s">
        <v>118</v>
      </c>
      <c r="C7" t="s">
        <v>119</v>
      </c>
      <c r="D7" t="s">
        <v>120</v>
      </c>
    </row>
    <row r="8" spans="1:17" x14ac:dyDescent="0.2">
      <c r="A8" s="3" t="s">
        <v>4</v>
      </c>
      <c r="B8" s="2">
        <v>0.40194329896907216</v>
      </c>
      <c r="C8" s="2">
        <v>0.54100000000000004</v>
      </c>
      <c r="D8" s="2">
        <v>5.0000000000000001E-3</v>
      </c>
    </row>
    <row r="9" spans="1:17" x14ac:dyDescent="0.2">
      <c r="A9" s="3" t="s">
        <v>7</v>
      </c>
      <c r="B9" s="2">
        <v>0.34161578947368426</v>
      </c>
      <c r="C9" s="2">
        <v>0.42549999999999999</v>
      </c>
      <c r="D9" s="2">
        <v>8.9999999999999993E-3</v>
      </c>
    </row>
    <row r="10" spans="1:17" x14ac:dyDescent="0.2">
      <c r="A10" s="3" t="s">
        <v>42</v>
      </c>
      <c r="B10" s="2">
        <v>0.32215934065934065</v>
      </c>
      <c r="C10" s="2">
        <v>0.59</v>
      </c>
      <c r="D10" s="2">
        <v>5.0000000000000001E-3</v>
      </c>
    </row>
    <row r="11" spans="1:17" x14ac:dyDescent="0.2">
      <c r="A11" s="3" t="s">
        <v>47</v>
      </c>
      <c r="B11" s="2">
        <v>0.33537383177570079</v>
      </c>
      <c r="C11" s="2">
        <v>0.40949999999999998</v>
      </c>
      <c r="D11" s="2">
        <v>3.5000000000000001E-3</v>
      </c>
    </row>
    <row r="12" spans="1:17" x14ac:dyDescent="0.2">
      <c r="A12" s="3" t="s">
        <v>10</v>
      </c>
      <c r="B12" s="2">
        <v>0.39577499999999999</v>
      </c>
      <c r="C12" s="2">
        <v>0.51200000000000001</v>
      </c>
      <c r="D12" s="2">
        <v>0.01</v>
      </c>
    </row>
    <row r="13" spans="1:17" x14ac:dyDescent="0.2">
      <c r="A13" s="3" t="s">
        <v>46</v>
      </c>
      <c r="B13" s="2">
        <v>0.36348198198198195</v>
      </c>
      <c r="C13" s="2">
        <v>0.49249999999999999</v>
      </c>
      <c r="D13" s="2">
        <v>7.4999999999999997E-3</v>
      </c>
    </row>
    <row r="14" spans="1:17" x14ac:dyDescent="0.2">
      <c r="A14" s="3" t="s">
        <v>48</v>
      </c>
      <c r="B14" s="2">
        <v>0.34028804347826075</v>
      </c>
      <c r="C14" s="2">
        <v>0.47549999999999998</v>
      </c>
      <c r="D14" s="2">
        <v>0.03</v>
      </c>
    </row>
    <row r="15" spans="1:17" x14ac:dyDescent="0.2">
      <c r="A15" s="3" t="s">
        <v>38</v>
      </c>
      <c r="B15" s="2">
        <v>0.35864485981308419</v>
      </c>
      <c r="C15" s="2">
        <v>0.51949999999999996</v>
      </c>
      <c r="D15" s="2">
        <v>5.0000000000000001E-3</v>
      </c>
    </row>
    <row r="16" spans="1:17" x14ac:dyDescent="0.2">
      <c r="A16" s="3" t="s">
        <v>14</v>
      </c>
      <c r="B16" s="2">
        <v>0.36988461538461537</v>
      </c>
      <c r="C16" s="2">
        <v>0.46300000000000002</v>
      </c>
      <c r="D16" s="2">
        <v>8.9999999999999993E-3</v>
      </c>
    </row>
    <row r="17" spans="1:4" x14ac:dyDescent="0.2">
      <c r="A17" s="3" t="s">
        <v>19</v>
      </c>
      <c r="B17" s="2">
        <v>0.36138020833333345</v>
      </c>
      <c r="C17" s="2">
        <v>0.45650000000000002</v>
      </c>
      <c r="D17" s="2">
        <v>3.4000000000000002E-2</v>
      </c>
    </row>
    <row r="18" spans="1:4" x14ac:dyDescent="0.2">
      <c r="A18" s="3" t="s">
        <v>64</v>
      </c>
      <c r="B18" s="2">
        <v>0.35940949999999988</v>
      </c>
      <c r="C18" s="2">
        <v>0.59</v>
      </c>
      <c r="D18" s="2">
        <v>3.5000000000000001E-3</v>
      </c>
    </row>
    <row r="21" spans="1:4" x14ac:dyDescent="0.2">
      <c r="A21" cm="1">
        <f t="array" aca="1" ref="A21" ca="1">COUNTIFS(B5,Table13[Gender],C5,Table13[Length],D5,Table13[Diameter],E5,Table13[Height],F5,Table13[Whole_weight],G5,Table13[Shucked_weight],H5,Table13[Viscera_weight],'Personal Data'!F19,Table13[Shell_weight],J5,Table13[Rings])</f>
        <v>0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020AB-1F30-F541-BEA3-50B26D862C31}">
  <dimension ref="A1:L22"/>
  <sheetViews>
    <sheetView workbookViewId="0">
      <selection activeCell="I19" sqref="I19"/>
    </sheetView>
    <sheetView workbookViewId="1"/>
  </sheetViews>
  <sheetFormatPr baseColWidth="10" defaultRowHeight="15" x14ac:dyDescent="0.2"/>
  <cols>
    <col min="1" max="1" width="13.5" bestFit="1" customWidth="1"/>
    <col min="2" max="2" width="19.6640625" customWidth="1"/>
    <col min="3" max="3" width="16.83203125" customWidth="1"/>
    <col min="4" max="4" width="11.33203125" customWidth="1"/>
    <col min="5" max="5" width="12.83203125" customWidth="1"/>
    <col min="6" max="6" width="11.33203125" customWidth="1"/>
    <col min="7" max="7" width="14.33203125" customWidth="1"/>
    <col min="8" max="8" width="12" customWidth="1"/>
    <col min="9" max="9" width="11.83203125" customWidth="1"/>
    <col min="10" max="10" width="13.33203125" customWidth="1"/>
    <col min="11" max="12" width="11.5" customWidth="1"/>
  </cols>
  <sheetData>
    <row r="1" spans="1:12" x14ac:dyDescent="0.2">
      <c r="A1" t="s">
        <v>101</v>
      </c>
      <c r="B1" t="s">
        <v>4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42</v>
      </c>
      <c r="I1" t="s">
        <v>19</v>
      </c>
      <c r="J1" t="s">
        <v>46</v>
      </c>
      <c r="K1" t="s">
        <v>38</v>
      </c>
    </row>
    <row r="2" spans="1:12" x14ac:dyDescent="0.2">
      <c r="A2" t="s">
        <v>126</v>
      </c>
      <c r="B2">
        <v>7</v>
      </c>
      <c r="C2">
        <v>4</v>
      </c>
      <c r="D2">
        <v>4</v>
      </c>
      <c r="E2">
        <v>7</v>
      </c>
      <c r="F2">
        <v>8</v>
      </c>
      <c r="G2">
        <v>3</v>
      </c>
      <c r="H2">
        <v>9</v>
      </c>
      <c r="I2">
        <v>6</v>
      </c>
      <c r="J2">
        <v>8</v>
      </c>
      <c r="K2">
        <v>4</v>
      </c>
    </row>
    <row r="3" spans="1:12" x14ac:dyDescent="0.2">
      <c r="A3" t="s">
        <v>127</v>
      </c>
      <c r="B3">
        <v>7</v>
      </c>
      <c r="C3">
        <v>3</v>
      </c>
      <c r="D3">
        <v>6</v>
      </c>
      <c r="E3">
        <v>4</v>
      </c>
      <c r="F3">
        <v>5</v>
      </c>
      <c r="G3">
        <v>7</v>
      </c>
      <c r="H3">
        <v>4</v>
      </c>
      <c r="I3">
        <v>3</v>
      </c>
      <c r="J3">
        <v>3</v>
      </c>
      <c r="K3">
        <v>7</v>
      </c>
    </row>
    <row r="4" spans="1:12" x14ac:dyDescent="0.2">
      <c r="A4" t="s">
        <v>128</v>
      </c>
      <c r="B4">
        <v>4</v>
      </c>
      <c r="C4">
        <v>4</v>
      </c>
      <c r="D4">
        <v>2</v>
      </c>
      <c r="E4">
        <v>10</v>
      </c>
      <c r="F4">
        <v>7</v>
      </c>
      <c r="G4">
        <v>3</v>
      </c>
      <c r="H4">
        <v>2</v>
      </c>
      <c r="I4">
        <v>9</v>
      </c>
      <c r="J4">
        <v>2</v>
      </c>
      <c r="K4">
        <v>5</v>
      </c>
    </row>
    <row r="5" spans="1:12" x14ac:dyDescent="0.2">
      <c r="A5" t="s">
        <v>129</v>
      </c>
      <c r="B5">
        <v>4</v>
      </c>
      <c r="C5">
        <v>8</v>
      </c>
      <c r="D5">
        <v>5</v>
      </c>
      <c r="E5">
        <v>6</v>
      </c>
      <c r="F5">
        <v>9</v>
      </c>
      <c r="G5">
        <v>4</v>
      </c>
      <c r="H5">
        <v>3</v>
      </c>
      <c r="I5">
        <v>2</v>
      </c>
      <c r="J5">
        <v>3</v>
      </c>
      <c r="K5">
        <v>7</v>
      </c>
    </row>
    <row r="6" spans="1:12" x14ac:dyDescent="0.2">
      <c r="A6" t="s">
        <v>130</v>
      </c>
      <c r="B6">
        <v>8</v>
      </c>
      <c r="C6">
        <v>10</v>
      </c>
      <c r="D6">
        <v>4</v>
      </c>
      <c r="E6">
        <v>8</v>
      </c>
      <c r="F6">
        <v>8</v>
      </c>
      <c r="G6">
        <v>6</v>
      </c>
      <c r="H6">
        <v>4</v>
      </c>
      <c r="I6">
        <v>5</v>
      </c>
      <c r="J6">
        <v>9</v>
      </c>
      <c r="K6">
        <v>10</v>
      </c>
    </row>
    <row r="8" spans="1:12" x14ac:dyDescent="0.2">
      <c r="A8" t="s">
        <v>101</v>
      </c>
      <c r="B8" t="s">
        <v>102</v>
      </c>
      <c r="C8" t="s">
        <v>103</v>
      </c>
      <c r="D8" t="s">
        <v>104</v>
      </c>
      <c r="E8" t="s">
        <v>105</v>
      </c>
      <c r="F8" t="s">
        <v>113</v>
      </c>
      <c r="G8" t="s">
        <v>114</v>
      </c>
      <c r="H8" t="s">
        <v>115</v>
      </c>
      <c r="I8" t="s">
        <v>116</v>
      </c>
      <c r="J8" t="s">
        <v>117</v>
      </c>
      <c r="K8" t="s">
        <v>133</v>
      </c>
      <c r="L8" t="s">
        <v>134</v>
      </c>
    </row>
    <row r="9" spans="1:12" x14ac:dyDescent="0.2">
      <c r="B9" t="s">
        <v>4</v>
      </c>
      <c r="C9" t="s">
        <v>121</v>
      </c>
      <c r="D9" t="s">
        <v>122</v>
      </c>
      <c r="E9" t="s">
        <v>123</v>
      </c>
      <c r="F9" t="s">
        <v>124</v>
      </c>
      <c r="G9" t="s">
        <v>125</v>
      </c>
      <c r="H9" t="s">
        <v>42</v>
      </c>
      <c r="I9" t="s">
        <v>19</v>
      </c>
      <c r="J9" t="s">
        <v>46</v>
      </c>
      <c r="K9" t="s">
        <v>38</v>
      </c>
      <c r="L9" t="s">
        <v>131</v>
      </c>
    </row>
    <row r="10" spans="1:12" x14ac:dyDescent="0.2">
      <c r="A10" t="s">
        <v>126</v>
      </c>
      <c r="G10">
        <v>1</v>
      </c>
      <c r="K10">
        <v>1</v>
      </c>
      <c r="L10">
        <f>SUM(Table6[[#This Row],[Column2]:[Column11]])</f>
        <v>2</v>
      </c>
    </row>
    <row r="11" spans="1:12" x14ac:dyDescent="0.2">
      <c r="A11" t="s">
        <v>127</v>
      </c>
      <c r="C11">
        <v>1</v>
      </c>
      <c r="E11">
        <v>1</v>
      </c>
      <c r="L11">
        <f>SUM(Table6[[#This Row],[Column2]:[Column11]])</f>
        <v>2</v>
      </c>
    </row>
    <row r="12" spans="1:12" x14ac:dyDescent="0.2">
      <c r="A12" t="s">
        <v>128</v>
      </c>
      <c r="D12">
        <v>1</v>
      </c>
      <c r="J12">
        <v>1</v>
      </c>
      <c r="L12">
        <f>SUM(Table6[[#This Row],[Column2]:[Column11]])</f>
        <v>2</v>
      </c>
    </row>
    <row r="13" spans="1:12" x14ac:dyDescent="0.2">
      <c r="A13" t="s">
        <v>129</v>
      </c>
      <c r="H13">
        <v>1</v>
      </c>
      <c r="I13">
        <v>1</v>
      </c>
      <c r="L13">
        <f>SUM(Table6[[#This Row],[Column2]:[Column11]])</f>
        <v>2</v>
      </c>
    </row>
    <row r="14" spans="1:12" x14ac:dyDescent="0.2">
      <c r="A14" t="s">
        <v>130</v>
      </c>
      <c r="B14">
        <v>1</v>
      </c>
      <c r="F14">
        <v>1</v>
      </c>
      <c r="L14">
        <f>SUM(Table6[[#This Row],[Column2]:[Column11]])</f>
        <v>2</v>
      </c>
    </row>
    <row r="15" spans="1:12" x14ac:dyDescent="0.2">
      <c r="A15" t="s">
        <v>132</v>
      </c>
      <c r="B15" cm="1">
        <f t="array" ref="B15">SUM(B10:B14*Table5[Florida Atlantic Coast])</f>
        <v>8</v>
      </c>
      <c r="C15" cm="1">
        <f t="array" ref="C15">SUM(C10:C14*Table5[Flordia Gulf Coast])</f>
        <v>3</v>
      </c>
      <c r="D15" cm="1">
        <f t="array" ref="D15">SUM(D10:D14*Table5[North East])</f>
        <v>2</v>
      </c>
      <c r="E15" cm="1">
        <f t="array" ref="E15">SUM(E10:E14*Table5[Mid Atlantic])</f>
        <v>4</v>
      </c>
      <c r="F15" cm="1">
        <f t="array" ref="F15">SUM(F10:F14*Table5[South East])</f>
        <v>8</v>
      </c>
      <c r="G15" cm="1">
        <f t="array" ref="G15">SUM(G10:G14*Table5[Gulf of Mexico])</f>
        <v>3</v>
      </c>
      <c r="H15" cm="1">
        <f t="array" ref="H15">SUM(H10:H14*Table5[Great Lakes])</f>
        <v>3</v>
      </c>
      <c r="I15" cm="1">
        <f t="array" ref="I15">SUM(I10:I14*Table5[West Coast])</f>
        <v>2</v>
      </c>
      <c r="J15" cm="1">
        <f t="array" ref="J15">SUM(J10:J14*Table5[North Pacific])</f>
        <v>2</v>
      </c>
      <c r="K15" cm="1">
        <f t="array" ref="K15">SUM(K10:K14*Table5[Pacific])</f>
        <v>4</v>
      </c>
      <c r="L15" s="19">
        <f>SUM(Table6[[#This Row],[Column2]:[Column11]])</f>
        <v>39</v>
      </c>
    </row>
    <row r="17" spans="1:4" x14ac:dyDescent="0.2">
      <c r="B17" t="s">
        <v>135</v>
      </c>
      <c r="C17" t="s">
        <v>136</v>
      </c>
      <c r="D17" t="s">
        <v>137</v>
      </c>
    </row>
    <row r="18" spans="1:4" x14ac:dyDescent="0.2">
      <c r="A18" s="34" t="s">
        <v>126</v>
      </c>
      <c r="B18" s="18">
        <f>MIN(B2:K2)</f>
        <v>3</v>
      </c>
      <c r="C18" s="18">
        <f>SMALL(B2:K2,2)</f>
        <v>4</v>
      </c>
      <c r="D18" s="18">
        <f>SMALL(B2:K2,3)</f>
        <v>4</v>
      </c>
    </row>
    <row r="19" spans="1:4" x14ac:dyDescent="0.2">
      <c r="A19" s="34" t="s">
        <v>127</v>
      </c>
      <c r="B19" s="18">
        <f>MIN(B3:K3)</f>
        <v>3</v>
      </c>
      <c r="C19" s="18">
        <f>SMALL(B3:K3,2)</f>
        <v>3</v>
      </c>
      <c r="D19" s="18">
        <f>SMALL(B3:K3,3)</f>
        <v>3</v>
      </c>
    </row>
    <row r="20" spans="1:4" x14ac:dyDescent="0.2">
      <c r="A20" s="34" t="s">
        <v>128</v>
      </c>
      <c r="B20" s="18">
        <f>MIN(B4:K4)</f>
        <v>2</v>
      </c>
      <c r="C20" s="18">
        <f>SMALL(B4:K4,2)</f>
        <v>2</v>
      </c>
      <c r="D20" s="18">
        <f>SMALL(B4:K4,3)</f>
        <v>2</v>
      </c>
    </row>
    <row r="21" spans="1:4" x14ac:dyDescent="0.2">
      <c r="A21" s="34" t="s">
        <v>129</v>
      </c>
      <c r="B21" s="18">
        <f>MIN(B5:K5)</f>
        <v>2</v>
      </c>
      <c r="C21" s="18">
        <f>SMALL(B5:K5,2)</f>
        <v>3</v>
      </c>
      <c r="D21" s="18">
        <f>SMALL(B5:K5,3)</f>
        <v>3</v>
      </c>
    </row>
    <row r="22" spans="1:4" x14ac:dyDescent="0.2">
      <c r="A22" s="34" t="s">
        <v>130</v>
      </c>
      <c r="B22" s="18">
        <f>MIN(B6:K6)</f>
        <v>4</v>
      </c>
      <c r="C22" s="18">
        <f>SMALL(B6:K6,2)</f>
        <v>4</v>
      </c>
      <c r="D22" s="18">
        <f>SMALL(B6:K6,3)</f>
        <v>5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Personal Data</vt:lpstr>
      <vt:lpstr>Categorization</vt:lpstr>
      <vt:lpstr>Ecomonic Values</vt:lpstr>
      <vt:lpstr>Statistics</vt:lpstr>
      <vt:lpstr>Search Functions</vt:lpstr>
      <vt:lpstr>Optimal 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Mathew, Ebin</cp:lastModifiedBy>
  <dcterms:created xsi:type="dcterms:W3CDTF">2022-03-20T03:56:44Z</dcterms:created>
  <dcterms:modified xsi:type="dcterms:W3CDTF">2022-03-25T19:07:00Z</dcterms:modified>
</cp:coreProperties>
</file>