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kuser\Desktop\"/>
    </mc:Choice>
  </mc:AlternateContent>
  <bookViews>
    <workbookView xWindow="0" yWindow="0" windowWidth="28800" windowHeight="13605" tabRatio="722" activeTab="5"/>
  </bookViews>
  <sheets>
    <sheet name="GENEL HASILAT" sheetId="1" r:id="rId1"/>
    <sheet name="SAAT BAZLI ARAÇ DAĞILIMI" sheetId="15" r:id="rId2"/>
    <sheet name="ÜCRET GRUP ANALİZİ" sheetId="16" r:id="rId3"/>
    <sheet name="OTOPARK GİRİŞ-ÇIKIŞ" sheetId="17" r:id="rId4"/>
    <sheet name="ARAÇ SAYISI" sheetId="18" r:id="rId5"/>
    <sheet name="ABONE DURUMU" sheetId="9" r:id="rId6"/>
    <sheet name="KAYIP-ZORUNLU" sheetId="14" r:id="rId7"/>
  </sheets>
  <externalReferences>
    <externalReference r:id="rId8"/>
  </externalReferences>
  <definedNames>
    <definedName name="_xlnm._FilterDatabase" localSheetId="6" hidden="1">'KAYIP-ZORUNLU'!$A$3:$J$3</definedName>
    <definedName name="Z_B3F40701_2DC5_4D63_BF75_47A2E97895C7_.wvu.Cols" localSheetId="0" hidden="1">'GENEL HASILAT'!#REF!</definedName>
  </definedNames>
  <calcPr calcId="162913"/>
  <customWorkbookViews>
    <customWorkbookView name="obi - Kişisel Görünüm" guid="{B3F40701-2DC5-4D63-BF75-47A2E97895C7}" mergeInterval="0" personalView="1" maximized="1" windowWidth="1020" windowHeight="578" tabRatio="722" activeSheetId="5"/>
  </customWorkbookViews>
</workbook>
</file>

<file path=xl/calcChain.xml><?xml version="1.0" encoding="utf-8"?>
<calcChain xmlns="http://schemas.openxmlformats.org/spreadsheetml/2006/main">
  <c r="G39" i="16" l="1"/>
  <c r="C22" i="15"/>
  <c r="B22" i="15"/>
  <c r="G27" i="16" l="1"/>
  <c r="J26" i="16"/>
  <c r="I26" i="16"/>
  <c r="B26" i="16"/>
  <c r="D14" i="15"/>
  <c r="C14" i="15"/>
  <c r="B14" i="15"/>
  <c r="R14" i="9" l="1"/>
  <c r="Q14" i="9"/>
  <c r="P14" i="9"/>
  <c r="O14" i="9"/>
  <c r="N14" i="9"/>
  <c r="M14" i="9"/>
  <c r="L14" i="9"/>
  <c r="K14" i="9"/>
  <c r="J14" i="9"/>
  <c r="I14" i="9"/>
  <c r="H15" i="9"/>
  <c r="G14" i="9"/>
  <c r="F14" i="9"/>
  <c r="E14" i="9"/>
  <c r="D14" i="9"/>
  <c r="C14" i="9"/>
  <c r="B14" i="9"/>
  <c r="O15" i="9" l="1"/>
  <c r="R15" i="9" l="1"/>
  <c r="I15" i="9" l="1"/>
  <c r="H102" i="16" l="1"/>
  <c r="I102" i="16"/>
  <c r="J102" i="16"/>
  <c r="K102" i="16"/>
  <c r="L102" i="16"/>
  <c r="M105" i="16" l="1"/>
  <c r="M106" i="16" s="1"/>
  <c r="M104" i="16"/>
  <c r="L104" i="16"/>
  <c r="K104" i="16"/>
  <c r="J104" i="16"/>
  <c r="I104" i="16"/>
  <c r="H104" i="16"/>
  <c r="M100" i="16"/>
  <c r="M97" i="16"/>
  <c r="L99" i="16"/>
  <c r="K99" i="16"/>
  <c r="J99" i="16"/>
  <c r="I99" i="16"/>
  <c r="H99" i="16"/>
  <c r="L96" i="16"/>
  <c r="K96" i="16"/>
  <c r="I96" i="16"/>
  <c r="M94" i="16"/>
  <c r="J96" i="16"/>
  <c r="H96" i="16"/>
  <c r="M91" i="16"/>
  <c r="L93" i="16"/>
  <c r="K93" i="16"/>
  <c r="J93" i="16"/>
  <c r="I93" i="16"/>
  <c r="H93" i="16"/>
  <c r="K90" i="16"/>
  <c r="I90" i="16"/>
  <c r="H90" i="16"/>
  <c r="M88" i="16"/>
  <c r="L90" i="16"/>
  <c r="J90" i="16"/>
  <c r="I87" i="16"/>
  <c r="H87" i="16"/>
  <c r="M85" i="16"/>
  <c r="L87" i="16"/>
  <c r="K87" i="16"/>
  <c r="J87" i="16"/>
  <c r="K84" i="16"/>
  <c r="J84" i="16"/>
  <c r="I84" i="16"/>
  <c r="H84" i="16"/>
  <c r="M82" i="16"/>
  <c r="L84" i="16"/>
  <c r="K81" i="16"/>
  <c r="J81" i="16"/>
  <c r="I81" i="16"/>
  <c r="H81" i="16"/>
  <c r="M79" i="16"/>
  <c r="L81" i="16"/>
  <c r="L78" i="16"/>
  <c r="K78" i="16"/>
  <c r="J78" i="16"/>
  <c r="M76" i="16"/>
  <c r="I78" i="16"/>
  <c r="H78" i="16"/>
  <c r="L75" i="16"/>
  <c r="K75" i="16"/>
  <c r="J75" i="16"/>
  <c r="I75" i="16"/>
  <c r="H75" i="16"/>
  <c r="M73" i="16"/>
  <c r="L72" i="16"/>
  <c r="M70" i="16"/>
  <c r="K72" i="16"/>
  <c r="J72" i="16"/>
  <c r="I72" i="16"/>
  <c r="H72" i="16"/>
  <c r="L69" i="16"/>
  <c r="K69" i="16"/>
  <c r="J69" i="16"/>
  <c r="H69" i="16"/>
  <c r="M67" i="16"/>
  <c r="I69" i="16"/>
  <c r="M64" i="16"/>
  <c r="L66" i="16"/>
  <c r="K66" i="16"/>
  <c r="J66" i="16"/>
  <c r="I66" i="16"/>
  <c r="H66" i="16"/>
  <c r="L63" i="16"/>
  <c r="J63" i="16"/>
  <c r="I63" i="16"/>
  <c r="H63" i="16"/>
  <c r="M61" i="16"/>
  <c r="K63" i="16"/>
  <c r="H60" i="16"/>
  <c r="M58" i="16"/>
  <c r="L60" i="16"/>
  <c r="K60" i="16"/>
  <c r="J60" i="16"/>
  <c r="I60" i="16"/>
  <c r="L57" i="16"/>
  <c r="K57" i="16"/>
  <c r="J57" i="16"/>
  <c r="I57" i="16"/>
  <c r="H57" i="16"/>
  <c r="M55" i="16"/>
  <c r="J54" i="16"/>
  <c r="I54" i="16"/>
  <c r="H54" i="16"/>
  <c r="M52" i="16"/>
  <c r="L54" i="16"/>
  <c r="K54" i="16"/>
  <c r="L51" i="16"/>
  <c r="K51" i="16"/>
  <c r="J51" i="16"/>
  <c r="I51" i="16"/>
  <c r="M49" i="16"/>
  <c r="H51" i="16"/>
  <c r="L48" i="16"/>
  <c r="K48" i="16"/>
  <c r="J48" i="16"/>
  <c r="I48" i="16"/>
  <c r="H48" i="16"/>
  <c r="M46" i="16"/>
  <c r="L45" i="16"/>
  <c r="K45" i="16"/>
  <c r="M43" i="16"/>
  <c r="J45" i="16"/>
  <c r="I45" i="16"/>
  <c r="H45" i="16"/>
  <c r="L42" i="16"/>
  <c r="K42" i="16"/>
  <c r="J42" i="16"/>
  <c r="I42" i="16"/>
  <c r="M40" i="16"/>
  <c r="H42" i="16"/>
  <c r="M37" i="16"/>
  <c r="L39" i="16"/>
  <c r="K39" i="16"/>
  <c r="J39" i="16"/>
  <c r="I39" i="16"/>
  <c r="H39" i="16"/>
  <c r="L36" i="16"/>
  <c r="K36" i="16"/>
  <c r="I36" i="16"/>
  <c r="H36" i="16"/>
  <c r="M34" i="16"/>
  <c r="J36" i="16"/>
  <c r="M31" i="16"/>
  <c r="L33" i="16"/>
  <c r="K33" i="16"/>
  <c r="J33" i="16"/>
  <c r="I33" i="16"/>
  <c r="H33" i="16"/>
  <c r="K30" i="16"/>
  <c r="J30" i="16"/>
  <c r="I30" i="16"/>
  <c r="H30" i="16"/>
  <c r="M28" i="16"/>
  <c r="L30" i="16"/>
  <c r="I27" i="16"/>
  <c r="H27" i="16"/>
  <c r="M25" i="16"/>
  <c r="L27" i="16"/>
  <c r="K27" i="16"/>
  <c r="J27" i="16"/>
  <c r="L24" i="16"/>
  <c r="K24" i="16"/>
  <c r="J24" i="16"/>
  <c r="I24" i="16"/>
  <c r="H24" i="16"/>
  <c r="M22" i="16"/>
  <c r="K21" i="16"/>
  <c r="J21" i="16"/>
  <c r="I21" i="16"/>
  <c r="H21" i="16"/>
  <c r="M19" i="16"/>
  <c r="L21" i="16"/>
  <c r="L18" i="16"/>
  <c r="K18" i="16"/>
  <c r="J18" i="16"/>
  <c r="M16" i="16"/>
  <c r="I18" i="16"/>
  <c r="H18" i="16"/>
  <c r="L15" i="16"/>
  <c r="K15" i="16"/>
  <c r="J15" i="16"/>
  <c r="I15" i="16"/>
  <c r="H15" i="16"/>
  <c r="M13" i="16"/>
  <c r="L12" i="16"/>
  <c r="M10" i="16"/>
  <c r="K12" i="16"/>
  <c r="J12" i="16"/>
  <c r="I12" i="16"/>
  <c r="H12" i="16"/>
  <c r="I105" i="16" l="1"/>
  <c r="I106" i="16" s="1"/>
  <c r="K105" i="16"/>
  <c r="K106" i="16" s="1"/>
  <c r="H105" i="16"/>
  <c r="H106" i="16" s="1"/>
  <c r="J105" i="16"/>
  <c r="J106" i="16" s="1"/>
  <c r="L105" i="16"/>
  <c r="L106" i="16" s="1"/>
  <c r="D22" i="16"/>
  <c r="C5" i="9" l="1"/>
  <c r="M15" i="9" l="1"/>
  <c r="N15" i="9"/>
  <c r="G7" i="9" l="1"/>
  <c r="F7" i="9"/>
  <c r="E7" i="9"/>
  <c r="D7" i="9"/>
  <c r="C7" i="9"/>
  <c r="B7" i="9"/>
  <c r="E5" i="9"/>
  <c r="D5" i="9"/>
  <c r="A4" i="18" l="1"/>
  <c r="A5" i="17"/>
  <c r="A10" i="16"/>
  <c r="B69" i="15"/>
  <c r="A4" i="15"/>
  <c r="D35" i="18" l="1"/>
  <c r="C35" i="18"/>
  <c r="B35" i="18"/>
  <c r="H34" i="18"/>
  <c r="G34" i="18"/>
  <c r="E34" i="18"/>
  <c r="F34" i="18" s="1"/>
  <c r="H33" i="18"/>
  <c r="G33" i="18"/>
  <c r="E33" i="18"/>
  <c r="F33" i="18" s="1"/>
  <c r="H32" i="18"/>
  <c r="G32" i="18"/>
  <c r="E32" i="18"/>
  <c r="H31" i="18"/>
  <c r="G31" i="18"/>
  <c r="E31" i="18"/>
  <c r="H30" i="18"/>
  <c r="G30" i="18"/>
  <c r="E30" i="18"/>
  <c r="F30" i="18" s="1"/>
  <c r="H29" i="18"/>
  <c r="G29" i="18"/>
  <c r="E29" i="18"/>
  <c r="F29" i="18" s="1"/>
  <c r="H28" i="18"/>
  <c r="G28" i="18"/>
  <c r="E28" i="18"/>
  <c r="H27" i="18"/>
  <c r="G27" i="18"/>
  <c r="E27" i="18"/>
  <c r="H26" i="18"/>
  <c r="G26" i="18"/>
  <c r="E26" i="18"/>
  <c r="F26" i="18" s="1"/>
  <c r="H25" i="18"/>
  <c r="G25" i="18"/>
  <c r="E25" i="18"/>
  <c r="F25" i="18" s="1"/>
  <c r="H24" i="18"/>
  <c r="G24" i="18"/>
  <c r="E24" i="18"/>
  <c r="H23" i="18"/>
  <c r="G23" i="18"/>
  <c r="E23" i="18"/>
  <c r="H22" i="18"/>
  <c r="G22" i="18"/>
  <c r="E22" i="18"/>
  <c r="F22" i="18" s="1"/>
  <c r="H21" i="18"/>
  <c r="G21" i="18"/>
  <c r="E21" i="18"/>
  <c r="F21" i="18" s="1"/>
  <c r="H20" i="18"/>
  <c r="G20" i="18"/>
  <c r="E20" i="18"/>
  <c r="H19" i="18"/>
  <c r="G19" i="18"/>
  <c r="E19" i="18"/>
  <c r="H18" i="18"/>
  <c r="G18" i="18"/>
  <c r="E18" i="18"/>
  <c r="F18" i="18" s="1"/>
  <c r="H17" i="18"/>
  <c r="G17" i="18"/>
  <c r="E17" i="18"/>
  <c r="F17" i="18" s="1"/>
  <c r="H16" i="18"/>
  <c r="G16" i="18"/>
  <c r="E16" i="18"/>
  <c r="H15" i="18"/>
  <c r="G15" i="18"/>
  <c r="E15" i="18"/>
  <c r="H14" i="18"/>
  <c r="G14" i="18"/>
  <c r="E14" i="18"/>
  <c r="F14" i="18" s="1"/>
  <c r="H13" i="18"/>
  <c r="G13" i="18"/>
  <c r="E13" i="18"/>
  <c r="F13" i="18" s="1"/>
  <c r="H12" i="18"/>
  <c r="G12" i="18"/>
  <c r="E12" i="18"/>
  <c r="H11" i="18"/>
  <c r="G11" i="18"/>
  <c r="E11" i="18"/>
  <c r="H10" i="18"/>
  <c r="G10" i="18"/>
  <c r="E10" i="18"/>
  <c r="F10" i="18" s="1"/>
  <c r="H9" i="18"/>
  <c r="G9" i="18"/>
  <c r="E9" i="18"/>
  <c r="F9" i="18" s="1"/>
  <c r="H8" i="18"/>
  <c r="G8" i="18"/>
  <c r="E8" i="18"/>
  <c r="H7" i="18"/>
  <c r="G7" i="18"/>
  <c r="E7" i="18"/>
  <c r="H6" i="18"/>
  <c r="G6" i="18"/>
  <c r="E6" i="18"/>
  <c r="F6" i="18" s="1"/>
  <c r="H5" i="18"/>
  <c r="G5" i="18"/>
  <c r="E5" i="18"/>
  <c r="F5" i="18" s="1"/>
  <c r="H4" i="18"/>
  <c r="G4" i="18"/>
  <c r="E4" i="18"/>
  <c r="T37" i="17"/>
  <c r="R37" i="17"/>
  <c r="P37" i="17"/>
  <c r="O37" i="17"/>
  <c r="M37" i="17"/>
  <c r="L37" i="17"/>
  <c r="J37" i="17"/>
  <c r="I37" i="17"/>
  <c r="H37" i="17"/>
  <c r="F37" i="17"/>
  <c r="E37" i="17"/>
  <c r="C37" i="17"/>
  <c r="B37" i="17"/>
  <c r="W35" i="17"/>
  <c r="S35" i="17" s="1"/>
  <c r="V35" i="17"/>
  <c r="W34" i="17"/>
  <c r="S34" i="17" s="1"/>
  <c r="V34" i="17"/>
  <c r="W33" i="17"/>
  <c r="N33" i="17" s="1"/>
  <c r="V33" i="17"/>
  <c r="W32" i="17"/>
  <c r="U32" i="17" s="1"/>
  <c r="V32" i="17"/>
  <c r="W31" i="17"/>
  <c r="S31" i="17" s="1"/>
  <c r="V31" i="17"/>
  <c r="W30" i="17"/>
  <c r="N30" i="17" s="1"/>
  <c r="V30" i="17"/>
  <c r="W29" i="17"/>
  <c r="N29" i="17" s="1"/>
  <c r="V29" i="17"/>
  <c r="W28" i="17"/>
  <c r="U28" i="17" s="1"/>
  <c r="V28" i="17"/>
  <c r="W27" i="17"/>
  <c r="D27" i="17" s="1"/>
  <c r="V27" i="17"/>
  <c r="W26" i="17"/>
  <c r="N26" i="17" s="1"/>
  <c r="V26" i="17"/>
  <c r="W25" i="17"/>
  <c r="N25" i="17" s="1"/>
  <c r="V25" i="17"/>
  <c r="W24" i="17"/>
  <c r="U24" i="17" s="1"/>
  <c r="V24" i="17"/>
  <c r="W23" i="17"/>
  <c r="U23" i="17" s="1"/>
  <c r="V23" i="17"/>
  <c r="W22" i="17"/>
  <c r="N22" i="17" s="1"/>
  <c r="V22" i="17"/>
  <c r="W21" i="17"/>
  <c r="N21" i="17" s="1"/>
  <c r="V21" i="17"/>
  <c r="W20" i="17"/>
  <c r="U20" i="17" s="1"/>
  <c r="V20" i="17"/>
  <c r="W19" i="17"/>
  <c r="N19" i="17" s="1"/>
  <c r="V19" i="17"/>
  <c r="W18" i="17"/>
  <c r="N18" i="17" s="1"/>
  <c r="V18" i="17"/>
  <c r="W17" i="17"/>
  <c r="N17" i="17" s="1"/>
  <c r="V17" i="17"/>
  <c r="W16" i="17"/>
  <c r="U16" i="17" s="1"/>
  <c r="V16" i="17"/>
  <c r="W15" i="17"/>
  <c r="S15" i="17" s="1"/>
  <c r="V15" i="17"/>
  <c r="W14" i="17"/>
  <c r="N14" i="17" s="1"/>
  <c r="V14" i="17"/>
  <c r="W13" i="17"/>
  <c r="N13" i="17" s="1"/>
  <c r="V13" i="17"/>
  <c r="W12" i="17"/>
  <c r="U12" i="17" s="1"/>
  <c r="V12" i="17"/>
  <c r="W11" i="17"/>
  <c r="U11" i="17" s="1"/>
  <c r="V11" i="17"/>
  <c r="W10" i="17"/>
  <c r="N10" i="17" s="1"/>
  <c r="V10" i="17"/>
  <c r="W9" i="17"/>
  <c r="G9" i="17" s="1"/>
  <c r="V9" i="17"/>
  <c r="W8" i="17"/>
  <c r="Q8" i="17" s="1"/>
  <c r="V8" i="17"/>
  <c r="W7" i="17"/>
  <c r="G7" i="17" s="1"/>
  <c r="V7" i="17"/>
  <c r="W6" i="17"/>
  <c r="N6" i="17" s="1"/>
  <c r="V6" i="17"/>
  <c r="W5" i="17"/>
  <c r="V5" i="17"/>
  <c r="S105" i="16"/>
  <c r="S106" i="16" s="1"/>
  <c r="G105" i="16"/>
  <c r="G106" i="16" s="1"/>
  <c r="S104" i="16"/>
  <c r="R104" i="16"/>
  <c r="Q104" i="16"/>
  <c r="P104" i="16"/>
  <c r="O104" i="16"/>
  <c r="N104" i="16"/>
  <c r="G104" i="16"/>
  <c r="F104" i="16"/>
  <c r="E104" i="16"/>
  <c r="D104" i="16"/>
  <c r="C104" i="16"/>
  <c r="B104" i="16"/>
  <c r="S100" i="16"/>
  <c r="R100" i="16"/>
  <c r="R102" i="16" s="1"/>
  <c r="Q100" i="16"/>
  <c r="Q102" i="16" s="1"/>
  <c r="P100" i="16"/>
  <c r="P102" i="16" s="1"/>
  <c r="O100" i="16"/>
  <c r="O102" i="16" s="1"/>
  <c r="N100" i="16"/>
  <c r="N102" i="16" s="1"/>
  <c r="G100" i="16"/>
  <c r="F100" i="16"/>
  <c r="F102" i="16" s="1"/>
  <c r="E100" i="16"/>
  <c r="E102" i="16" s="1"/>
  <c r="D100" i="16"/>
  <c r="D102" i="16" s="1"/>
  <c r="C100" i="16"/>
  <c r="C102" i="16" s="1"/>
  <c r="B100" i="16"/>
  <c r="B102" i="16" s="1"/>
  <c r="C99" i="16"/>
  <c r="S97" i="16"/>
  <c r="R97" i="16"/>
  <c r="R99" i="16" s="1"/>
  <c r="Q97" i="16"/>
  <c r="Q99" i="16" s="1"/>
  <c r="P97" i="16"/>
  <c r="P99" i="16" s="1"/>
  <c r="O97" i="16"/>
  <c r="O99" i="16" s="1"/>
  <c r="N97" i="16"/>
  <c r="N99" i="16" s="1"/>
  <c r="G97" i="16"/>
  <c r="F97" i="16"/>
  <c r="F99" i="16" s="1"/>
  <c r="E97" i="16"/>
  <c r="E99" i="16" s="1"/>
  <c r="D97" i="16"/>
  <c r="D99" i="16" s="1"/>
  <c r="C97" i="16"/>
  <c r="B97" i="16"/>
  <c r="B99" i="16" s="1"/>
  <c r="S94" i="16"/>
  <c r="R94" i="16"/>
  <c r="R96" i="16" s="1"/>
  <c r="Q94" i="16"/>
  <c r="Q96" i="16" s="1"/>
  <c r="P94" i="16"/>
  <c r="P96" i="16" s="1"/>
  <c r="O94" i="16"/>
  <c r="O96" i="16" s="1"/>
  <c r="N94" i="16"/>
  <c r="N96" i="16" s="1"/>
  <c r="G94" i="16"/>
  <c r="F94" i="16"/>
  <c r="F96" i="16" s="1"/>
  <c r="E94" i="16"/>
  <c r="E96" i="16" s="1"/>
  <c r="D94" i="16"/>
  <c r="D96" i="16" s="1"/>
  <c r="C94" i="16"/>
  <c r="C96" i="16" s="1"/>
  <c r="B94" i="16"/>
  <c r="B96" i="16" s="1"/>
  <c r="S91" i="16"/>
  <c r="R91" i="16"/>
  <c r="R93" i="16" s="1"/>
  <c r="Q91" i="16"/>
  <c r="Q93" i="16" s="1"/>
  <c r="P91" i="16"/>
  <c r="P93" i="16" s="1"/>
  <c r="O91" i="16"/>
  <c r="O93" i="16" s="1"/>
  <c r="N91" i="16"/>
  <c r="N93" i="16" s="1"/>
  <c r="G91" i="16"/>
  <c r="F91" i="16"/>
  <c r="F93" i="16" s="1"/>
  <c r="E91" i="16"/>
  <c r="E93" i="16" s="1"/>
  <c r="D91" i="16"/>
  <c r="D93" i="16" s="1"/>
  <c r="C91" i="16"/>
  <c r="C93" i="16" s="1"/>
  <c r="B91" i="16"/>
  <c r="B93" i="16" s="1"/>
  <c r="S88" i="16"/>
  <c r="R88" i="16"/>
  <c r="R90" i="16" s="1"/>
  <c r="Q88" i="16"/>
  <c r="Q90" i="16" s="1"/>
  <c r="P88" i="16"/>
  <c r="P90" i="16" s="1"/>
  <c r="O88" i="16"/>
  <c r="O90" i="16" s="1"/>
  <c r="N88" i="16"/>
  <c r="N90" i="16" s="1"/>
  <c r="G88" i="16"/>
  <c r="F88" i="16"/>
  <c r="F90" i="16" s="1"/>
  <c r="E88" i="16"/>
  <c r="E90" i="16" s="1"/>
  <c r="D88" i="16"/>
  <c r="D90" i="16" s="1"/>
  <c r="C88" i="16"/>
  <c r="C90" i="16" s="1"/>
  <c r="B88" i="16"/>
  <c r="B90" i="16" s="1"/>
  <c r="S85" i="16"/>
  <c r="R85" i="16"/>
  <c r="R87" i="16" s="1"/>
  <c r="Q85" i="16"/>
  <c r="Q87" i="16" s="1"/>
  <c r="P85" i="16"/>
  <c r="P87" i="16" s="1"/>
  <c r="O85" i="16"/>
  <c r="O87" i="16" s="1"/>
  <c r="N85" i="16"/>
  <c r="N87" i="16" s="1"/>
  <c r="G85" i="16"/>
  <c r="F85" i="16"/>
  <c r="F87" i="16" s="1"/>
  <c r="E85" i="16"/>
  <c r="E87" i="16" s="1"/>
  <c r="D85" i="16"/>
  <c r="D87" i="16" s="1"/>
  <c r="C85" i="16"/>
  <c r="C87" i="16" s="1"/>
  <c r="B85" i="16"/>
  <c r="B87" i="16" s="1"/>
  <c r="S82" i="16"/>
  <c r="R82" i="16"/>
  <c r="R84" i="16" s="1"/>
  <c r="Q82" i="16"/>
  <c r="Q84" i="16" s="1"/>
  <c r="P82" i="16"/>
  <c r="P84" i="16" s="1"/>
  <c r="O82" i="16"/>
  <c r="O84" i="16" s="1"/>
  <c r="N82" i="16"/>
  <c r="N84" i="16" s="1"/>
  <c r="G82" i="16"/>
  <c r="F82" i="16"/>
  <c r="F84" i="16" s="1"/>
  <c r="E82" i="16"/>
  <c r="E84" i="16" s="1"/>
  <c r="D82" i="16"/>
  <c r="D84" i="16" s="1"/>
  <c r="C82" i="16"/>
  <c r="C84" i="16" s="1"/>
  <c r="B82" i="16"/>
  <c r="B84" i="16" s="1"/>
  <c r="S79" i="16"/>
  <c r="R79" i="16"/>
  <c r="R81" i="16" s="1"/>
  <c r="Q79" i="16"/>
  <c r="Q81" i="16" s="1"/>
  <c r="P79" i="16"/>
  <c r="P81" i="16" s="1"/>
  <c r="O79" i="16"/>
  <c r="O81" i="16" s="1"/>
  <c r="N79" i="16"/>
  <c r="N81" i="16" s="1"/>
  <c r="G79" i="16"/>
  <c r="F79" i="16"/>
  <c r="F81" i="16" s="1"/>
  <c r="E79" i="16"/>
  <c r="E81" i="16" s="1"/>
  <c r="D79" i="16"/>
  <c r="D81" i="16" s="1"/>
  <c r="C79" i="16"/>
  <c r="C81" i="16" s="1"/>
  <c r="B79" i="16"/>
  <c r="B81" i="16" s="1"/>
  <c r="S76" i="16"/>
  <c r="R76" i="16"/>
  <c r="R78" i="16" s="1"/>
  <c r="Q76" i="16"/>
  <c r="Q78" i="16" s="1"/>
  <c r="P76" i="16"/>
  <c r="P78" i="16" s="1"/>
  <c r="O76" i="16"/>
  <c r="O78" i="16" s="1"/>
  <c r="N76" i="16"/>
  <c r="N78" i="16" s="1"/>
  <c r="G76" i="16"/>
  <c r="F76" i="16"/>
  <c r="F78" i="16" s="1"/>
  <c r="E76" i="16"/>
  <c r="E78" i="16" s="1"/>
  <c r="D76" i="16"/>
  <c r="D78" i="16" s="1"/>
  <c r="C76" i="16"/>
  <c r="C78" i="16" s="1"/>
  <c r="B76" i="16"/>
  <c r="B78" i="16" s="1"/>
  <c r="S73" i="16"/>
  <c r="R73" i="16"/>
  <c r="R75" i="16" s="1"/>
  <c r="Q73" i="16"/>
  <c r="Q75" i="16" s="1"/>
  <c r="P73" i="16"/>
  <c r="P75" i="16" s="1"/>
  <c r="O73" i="16"/>
  <c r="O75" i="16" s="1"/>
  <c r="N73" i="16"/>
  <c r="N75" i="16" s="1"/>
  <c r="G73" i="16"/>
  <c r="F73" i="16"/>
  <c r="F75" i="16" s="1"/>
  <c r="E73" i="16"/>
  <c r="E75" i="16" s="1"/>
  <c r="D73" i="16"/>
  <c r="D75" i="16" s="1"/>
  <c r="C73" i="16"/>
  <c r="C75" i="16" s="1"/>
  <c r="B73" i="16"/>
  <c r="B75" i="16" s="1"/>
  <c r="S70" i="16"/>
  <c r="R70" i="16"/>
  <c r="R72" i="16" s="1"/>
  <c r="Q70" i="16"/>
  <c r="Q72" i="16" s="1"/>
  <c r="P70" i="16"/>
  <c r="P72" i="16" s="1"/>
  <c r="O70" i="16"/>
  <c r="O72" i="16" s="1"/>
  <c r="N70" i="16"/>
  <c r="N72" i="16" s="1"/>
  <c r="G70" i="16"/>
  <c r="F70" i="16"/>
  <c r="F72" i="16" s="1"/>
  <c r="E70" i="16"/>
  <c r="E72" i="16" s="1"/>
  <c r="D70" i="16"/>
  <c r="D72" i="16" s="1"/>
  <c r="C70" i="16"/>
  <c r="C72" i="16" s="1"/>
  <c r="B70" i="16"/>
  <c r="B72" i="16" s="1"/>
  <c r="S67" i="16"/>
  <c r="R67" i="16"/>
  <c r="R69" i="16" s="1"/>
  <c r="Q67" i="16"/>
  <c r="Q69" i="16" s="1"/>
  <c r="P67" i="16"/>
  <c r="P69" i="16" s="1"/>
  <c r="O67" i="16"/>
  <c r="O69" i="16" s="1"/>
  <c r="N67" i="16"/>
  <c r="N69" i="16" s="1"/>
  <c r="G67" i="16"/>
  <c r="F67" i="16"/>
  <c r="F69" i="16" s="1"/>
  <c r="E67" i="16"/>
  <c r="E69" i="16" s="1"/>
  <c r="D67" i="16"/>
  <c r="D69" i="16" s="1"/>
  <c r="C67" i="16"/>
  <c r="C69" i="16" s="1"/>
  <c r="B67" i="16"/>
  <c r="B69" i="16" s="1"/>
  <c r="S64" i="16"/>
  <c r="R64" i="16"/>
  <c r="R66" i="16" s="1"/>
  <c r="Q64" i="16"/>
  <c r="Q66" i="16" s="1"/>
  <c r="P64" i="16"/>
  <c r="P66" i="16" s="1"/>
  <c r="O64" i="16"/>
  <c r="O66" i="16" s="1"/>
  <c r="N64" i="16"/>
  <c r="N66" i="16" s="1"/>
  <c r="G64" i="16"/>
  <c r="F64" i="16"/>
  <c r="F66" i="16" s="1"/>
  <c r="E64" i="16"/>
  <c r="E66" i="16" s="1"/>
  <c r="D64" i="16"/>
  <c r="D66" i="16" s="1"/>
  <c r="C64" i="16"/>
  <c r="C66" i="16" s="1"/>
  <c r="B64" i="16"/>
  <c r="B66" i="16" s="1"/>
  <c r="S61" i="16"/>
  <c r="R61" i="16"/>
  <c r="R63" i="16" s="1"/>
  <c r="Q61" i="16"/>
  <c r="Q63" i="16" s="1"/>
  <c r="P61" i="16"/>
  <c r="P63" i="16" s="1"/>
  <c r="O61" i="16"/>
  <c r="O63" i="16" s="1"/>
  <c r="N61" i="16"/>
  <c r="N63" i="16" s="1"/>
  <c r="G61" i="16"/>
  <c r="F61" i="16"/>
  <c r="F63" i="16" s="1"/>
  <c r="E61" i="16"/>
  <c r="E63" i="16" s="1"/>
  <c r="D61" i="16"/>
  <c r="D63" i="16" s="1"/>
  <c r="C61" i="16"/>
  <c r="C63" i="16" s="1"/>
  <c r="B61" i="16"/>
  <c r="B63" i="16" s="1"/>
  <c r="S58" i="16"/>
  <c r="R58" i="16"/>
  <c r="R60" i="16" s="1"/>
  <c r="Q58" i="16"/>
  <c r="Q60" i="16" s="1"/>
  <c r="P58" i="16"/>
  <c r="P60" i="16" s="1"/>
  <c r="O58" i="16"/>
  <c r="O60" i="16" s="1"/>
  <c r="N58" i="16"/>
  <c r="N60" i="16" s="1"/>
  <c r="G58" i="16"/>
  <c r="F58" i="16"/>
  <c r="F60" i="16" s="1"/>
  <c r="E58" i="16"/>
  <c r="E60" i="16" s="1"/>
  <c r="D58" i="16"/>
  <c r="D60" i="16" s="1"/>
  <c r="C58" i="16"/>
  <c r="C60" i="16" s="1"/>
  <c r="B58" i="16"/>
  <c r="B60" i="16" s="1"/>
  <c r="S55" i="16"/>
  <c r="R55" i="16"/>
  <c r="R57" i="16" s="1"/>
  <c r="Q55" i="16"/>
  <c r="Q57" i="16" s="1"/>
  <c r="P55" i="16"/>
  <c r="P57" i="16" s="1"/>
  <c r="O55" i="16"/>
  <c r="O57" i="16" s="1"/>
  <c r="N55" i="16"/>
  <c r="N57" i="16" s="1"/>
  <c r="G55" i="16"/>
  <c r="F55" i="16"/>
  <c r="F57" i="16" s="1"/>
  <c r="E55" i="16"/>
  <c r="E57" i="16" s="1"/>
  <c r="D55" i="16"/>
  <c r="D57" i="16" s="1"/>
  <c r="C55" i="16"/>
  <c r="C57" i="16" s="1"/>
  <c r="B55" i="16"/>
  <c r="B57" i="16" s="1"/>
  <c r="S52" i="16"/>
  <c r="R52" i="16"/>
  <c r="R54" i="16" s="1"/>
  <c r="Q52" i="16"/>
  <c r="Q54" i="16" s="1"/>
  <c r="P52" i="16"/>
  <c r="P54" i="16" s="1"/>
  <c r="O52" i="16"/>
  <c r="O54" i="16" s="1"/>
  <c r="N52" i="16"/>
  <c r="N54" i="16" s="1"/>
  <c r="G52" i="16"/>
  <c r="F52" i="16"/>
  <c r="F54" i="16" s="1"/>
  <c r="E52" i="16"/>
  <c r="E54" i="16" s="1"/>
  <c r="D52" i="16"/>
  <c r="D54" i="16" s="1"/>
  <c r="C52" i="16"/>
  <c r="C54" i="16" s="1"/>
  <c r="B52" i="16"/>
  <c r="B54" i="16" s="1"/>
  <c r="S49" i="16"/>
  <c r="R49" i="16"/>
  <c r="R51" i="16" s="1"/>
  <c r="Q49" i="16"/>
  <c r="Q51" i="16" s="1"/>
  <c r="P49" i="16"/>
  <c r="P51" i="16" s="1"/>
  <c r="O49" i="16"/>
  <c r="O51" i="16" s="1"/>
  <c r="N49" i="16"/>
  <c r="N51" i="16" s="1"/>
  <c r="G49" i="16"/>
  <c r="F49" i="16"/>
  <c r="F51" i="16" s="1"/>
  <c r="E49" i="16"/>
  <c r="E51" i="16" s="1"/>
  <c r="D49" i="16"/>
  <c r="D51" i="16" s="1"/>
  <c r="C49" i="16"/>
  <c r="C51" i="16" s="1"/>
  <c r="B49" i="16"/>
  <c r="B51" i="16" s="1"/>
  <c r="S46" i="16"/>
  <c r="R46" i="16"/>
  <c r="R48" i="16" s="1"/>
  <c r="Q46" i="16"/>
  <c r="Q48" i="16" s="1"/>
  <c r="P46" i="16"/>
  <c r="P48" i="16" s="1"/>
  <c r="O46" i="16"/>
  <c r="O48" i="16" s="1"/>
  <c r="N46" i="16"/>
  <c r="N48" i="16" s="1"/>
  <c r="G46" i="16"/>
  <c r="F46" i="16"/>
  <c r="F48" i="16" s="1"/>
  <c r="E46" i="16"/>
  <c r="E48" i="16" s="1"/>
  <c r="D46" i="16"/>
  <c r="D48" i="16" s="1"/>
  <c r="C46" i="16"/>
  <c r="C48" i="16" s="1"/>
  <c r="B46" i="16"/>
  <c r="B48" i="16" s="1"/>
  <c r="S43" i="16"/>
  <c r="R43" i="16"/>
  <c r="R45" i="16" s="1"/>
  <c r="Q43" i="16"/>
  <c r="Q45" i="16" s="1"/>
  <c r="P43" i="16"/>
  <c r="P45" i="16" s="1"/>
  <c r="O43" i="16"/>
  <c r="O45" i="16" s="1"/>
  <c r="N43" i="16"/>
  <c r="N45" i="16" s="1"/>
  <c r="G43" i="16"/>
  <c r="F43" i="16"/>
  <c r="F45" i="16" s="1"/>
  <c r="E43" i="16"/>
  <c r="E45" i="16" s="1"/>
  <c r="D43" i="16"/>
  <c r="D45" i="16" s="1"/>
  <c r="C43" i="16"/>
  <c r="C45" i="16" s="1"/>
  <c r="B43" i="16"/>
  <c r="B45" i="16" s="1"/>
  <c r="S40" i="16"/>
  <c r="R40" i="16"/>
  <c r="R42" i="16" s="1"/>
  <c r="Q40" i="16"/>
  <c r="Q42" i="16" s="1"/>
  <c r="P40" i="16"/>
  <c r="P42" i="16" s="1"/>
  <c r="O40" i="16"/>
  <c r="O42" i="16" s="1"/>
  <c r="N40" i="16"/>
  <c r="N42" i="16" s="1"/>
  <c r="G40" i="16"/>
  <c r="F40" i="16"/>
  <c r="F42" i="16" s="1"/>
  <c r="E40" i="16"/>
  <c r="E42" i="16" s="1"/>
  <c r="D40" i="16"/>
  <c r="D42" i="16" s="1"/>
  <c r="C40" i="16"/>
  <c r="C42" i="16" s="1"/>
  <c r="B40" i="16"/>
  <c r="B42" i="16" s="1"/>
  <c r="S37" i="16"/>
  <c r="R37" i="16"/>
  <c r="R39" i="16" s="1"/>
  <c r="Q37" i="16"/>
  <c r="Q39" i="16" s="1"/>
  <c r="P37" i="16"/>
  <c r="P39" i="16" s="1"/>
  <c r="O37" i="16"/>
  <c r="O39" i="16" s="1"/>
  <c r="N37" i="16"/>
  <c r="N39" i="16" s="1"/>
  <c r="G37" i="16"/>
  <c r="F37" i="16"/>
  <c r="F39" i="16" s="1"/>
  <c r="E37" i="16"/>
  <c r="E39" i="16" s="1"/>
  <c r="D37" i="16"/>
  <c r="D39" i="16" s="1"/>
  <c r="C37" i="16"/>
  <c r="C39" i="16" s="1"/>
  <c r="B37" i="16"/>
  <c r="B39" i="16" s="1"/>
  <c r="S34" i="16"/>
  <c r="R34" i="16"/>
  <c r="R36" i="16" s="1"/>
  <c r="Q34" i="16"/>
  <c r="Q36" i="16" s="1"/>
  <c r="P34" i="16"/>
  <c r="P36" i="16" s="1"/>
  <c r="O34" i="16"/>
  <c r="O36" i="16" s="1"/>
  <c r="N34" i="16"/>
  <c r="N36" i="16" s="1"/>
  <c r="G34" i="16"/>
  <c r="F34" i="16"/>
  <c r="F36" i="16" s="1"/>
  <c r="E34" i="16"/>
  <c r="E36" i="16" s="1"/>
  <c r="D34" i="16"/>
  <c r="D36" i="16" s="1"/>
  <c r="C34" i="16"/>
  <c r="C36" i="16" s="1"/>
  <c r="B34" i="16"/>
  <c r="B36" i="16" s="1"/>
  <c r="S31" i="16"/>
  <c r="R31" i="16"/>
  <c r="R33" i="16" s="1"/>
  <c r="Q31" i="16"/>
  <c r="Q33" i="16" s="1"/>
  <c r="P31" i="16"/>
  <c r="P33" i="16" s="1"/>
  <c r="O31" i="16"/>
  <c r="O33" i="16" s="1"/>
  <c r="N31" i="16"/>
  <c r="N33" i="16" s="1"/>
  <c r="G31" i="16"/>
  <c r="F31" i="16"/>
  <c r="F33" i="16" s="1"/>
  <c r="E31" i="16"/>
  <c r="E33" i="16" s="1"/>
  <c r="D31" i="16"/>
  <c r="D33" i="16" s="1"/>
  <c r="C31" i="16"/>
  <c r="C33" i="16" s="1"/>
  <c r="B31" i="16"/>
  <c r="B33" i="16" s="1"/>
  <c r="S28" i="16"/>
  <c r="R28" i="16"/>
  <c r="R30" i="16" s="1"/>
  <c r="Q28" i="16"/>
  <c r="Q30" i="16" s="1"/>
  <c r="P28" i="16"/>
  <c r="P30" i="16" s="1"/>
  <c r="O28" i="16"/>
  <c r="O30" i="16" s="1"/>
  <c r="N28" i="16"/>
  <c r="N30" i="16" s="1"/>
  <c r="G28" i="16"/>
  <c r="F28" i="16"/>
  <c r="F30" i="16" s="1"/>
  <c r="E28" i="16"/>
  <c r="E30" i="16" s="1"/>
  <c r="D28" i="16"/>
  <c r="D30" i="16" s="1"/>
  <c r="C28" i="16"/>
  <c r="C30" i="16" s="1"/>
  <c r="B28" i="16"/>
  <c r="B30" i="16" s="1"/>
  <c r="S25" i="16"/>
  <c r="R25" i="16"/>
  <c r="R27" i="16" s="1"/>
  <c r="Q25" i="16"/>
  <c r="Q27" i="16" s="1"/>
  <c r="P25" i="16"/>
  <c r="P27" i="16" s="1"/>
  <c r="O25" i="16"/>
  <c r="O27" i="16" s="1"/>
  <c r="N25" i="16"/>
  <c r="N27" i="16" s="1"/>
  <c r="G25" i="16"/>
  <c r="F25" i="16"/>
  <c r="F27" i="16" s="1"/>
  <c r="E25" i="16"/>
  <c r="E27" i="16" s="1"/>
  <c r="D25" i="16"/>
  <c r="D27" i="16" s="1"/>
  <c r="C25" i="16"/>
  <c r="C27" i="16" s="1"/>
  <c r="B25" i="16"/>
  <c r="B27" i="16" s="1"/>
  <c r="S22" i="16"/>
  <c r="R22" i="16"/>
  <c r="R24" i="16" s="1"/>
  <c r="Q22" i="16"/>
  <c r="Q24" i="16" s="1"/>
  <c r="P22" i="16"/>
  <c r="P24" i="16" s="1"/>
  <c r="O22" i="16"/>
  <c r="O24" i="16" s="1"/>
  <c r="N22" i="16"/>
  <c r="N24" i="16" s="1"/>
  <c r="G22" i="16"/>
  <c r="F22" i="16"/>
  <c r="F24" i="16" s="1"/>
  <c r="E22" i="16"/>
  <c r="E24" i="16" s="1"/>
  <c r="D24" i="16"/>
  <c r="C22" i="16"/>
  <c r="C24" i="16" s="1"/>
  <c r="B22" i="16"/>
  <c r="B24" i="16" s="1"/>
  <c r="S19" i="16"/>
  <c r="R19" i="16"/>
  <c r="R21" i="16" s="1"/>
  <c r="Q19" i="16"/>
  <c r="Q21" i="16" s="1"/>
  <c r="P19" i="16"/>
  <c r="P21" i="16" s="1"/>
  <c r="O19" i="16"/>
  <c r="O21" i="16" s="1"/>
  <c r="N19" i="16"/>
  <c r="N21" i="16" s="1"/>
  <c r="G19" i="16"/>
  <c r="F19" i="16"/>
  <c r="F21" i="16" s="1"/>
  <c r="E19" i="16"/>
  <c r="E21" i="16" s="1"/>
  <c r="D19" i="16"/>
  <c r="D21" i="16" s="1"/>
  <c r="C19" i="16"/>
  <c r="C21" i="16" s="1"/>
  <c r="B19" i="16"/>
  <c r="B21" i="16" s="1"/>
  <c r="S16" i="16"/>
  <c r="R16" i="16"/>
  <c r="R18" i="16" s="1"/>
  <c r="Q16" i="16"/>
  <c r="Q18" i="16" s="1"/>
  <c r="P16" i="16"/>
  <c r="P18" i="16" s="1"/>
  <c r="O16" i="16"/>
  <c r="O18" i="16" s="1"/>
  <c r="N16" i="16"/>
  <c r="N18" i="16" s="1"/>
  <c r="G16" i="16"/>
  <c r="F16" i="16"/>
  <c r="F18" i="16" s="1"/>
  <c r="E16" i="16"/>
  <c r="E18" i="16" s="1"/>
  <c r="D16" i="16"/>
  <c r="D18" i="16" s="1"/>
  <c r="C16" i="16"/>
  <c r="C18" i="16" s="1"/>
  <c r="B16" i="16"/>
  <c r="B18" i="16" s="1"/>
  <c r="S13" i="16"/>
  <c r="R13" i="16"/>
  <c r="R15" i="16" s="1"/>
  <c r="Q13" i="16"/>
  <c r="Q15" i="16" s="1"/>
  <c r="P13" i="16"/>
  <c r="P15" i="16" s="1"/>
  <c r="O13" i="16"/>
  <c r="O15" i="16" s="1"/>
  <c r="N13" i="16"/>
  <c r="N15" i="16" s="1"/>
  <c r="G13" i="16"/>
  <c r="F13" i="16"/>
  <c r="F15" i="16" s="1"/>
  <c r="E13" i="16"/>
  <c r="E15" i="16" s="1"/>
  <c r="D13" i="16"/>
  <c r="D15" i="16" s="1"/>
  <c r="C13" i="16"/>
  <c r="C15" i="16" s="1"/>
  <c r="B13" i="16"/>
  <c r="B15" i="16" s="1"/>
  <c r="S10" i="16"/>
  <c r="R10" i="16"/>
  <c r="R12" i="16" s="1"/>
  <c r="Q10" i="16"/>
  <c r="Q12" i="16" s="1"/>
  <c r="P10" i="16"/>
  <c r="P12" i="16" s="1"/>
  <c r="O10" i="16"/>
  <c r="O12" i="16" s="1"/>
  <c r="N10" i="16"/>
  <c r="N12" i="16" s="1"/>
  <c r="G10" i="16"/>
  <c r="F10" i="16"/>
  <c r="F12" i="16" s="1"/>
  <c r="E10" i="16"/>
  <c r="E12" i="16" s="1"/>
  <c r="D10" i="16"/>
  <c r="D12" i="16" s="1"/>
  <c r="C10" i="16"/>
  <c r="C12" i="16" s="1"/>
  <c r="B10" i="16"/>
  <c r="B12" i="16" s="1"/>
  <c r="V67" i="15"/>
  <c r="V70" i="15" s="1"/>
  <c r="U67" i="15"/>
  <c r="U70" i="15" s="1"/>
  <c r="T67" i="15"/>
  <c r="S67" i="15"/>
  <c r="S70" i="15" s="1"/>
  <c r="R67" i="15"/>
  <c r="R70" i="15" s="1"/>
  <c r="Q67" i="15"/>
  <c r="Q70" i="15" s="1"/>
  <c r="P67" i="15"/>
  <c r="O67" i="15"/>
  <c r="O70" i="15" s="1"/>
  <c r="N67" i="15"/>
  <c r="N70" i="15" s="1"/>
  <c r="M67" i="15"/>
  <c r="M70" i="15" s="1"/>
  <c r="K67" i="15"/>
  <c r="K70" i="15" s="1"/>
  <c r="J67" i="15"/>
  <c r="J70" i="15" s="1"/>
  <c r="I67" i="15"/>
  <c r="I70" i="15" s="1"/>
  <c r="H67" i="15"/>
  <c r="G67" i="15"/>
  <c r="G70" i="15" s="1"/>
  <c r="F67" i="15"/>
  <c r="F70" i="15" s="1"/>
  <c r="E67" i="15"/>
  <c r="E70" i="15" s="1"/>
  <c r="D67" i="15"/>
  <c r="C67" i="15"/>
  <c r="C70" i="15" s="1"/>
  <c r="B67" i="15"/>
  <c r="B70" i="15" s="1"/>
  <c r="W64" i="15"/>
  <c r="T65" i="15" s="1"/>
  <c r="L64" i="15"/>
  <c r="G65" i="15" s="1"/>
  <c r="W62" i="15"/>
  <c r="V63" i="15" s="1"/>
  <c r="L62" i="15"/>
  <c r="K63" i="15" s="1"/>
  <c r="W60" i="15"/>
  <c r="V61" i="15" s="1"/>
  <c r="L60" i="15"/>
  <c r="J61" i="15" s="1"/>
  <c r="W58" i="15"/>
  <c r="P59" i="15" s="1"/>
  <c r="L58" i="15"/>
  <c r="I59" i="15" s="1"/>
  <c r="W56" i="15"/>
  <c r="T57" i="15" s="1"/>
  <c r="L56" i="15"/>
  <c r="G57" i="15" s="1"/>
  <c r="W54" i="15"/>
  <c r="V55" i="15" s="1"/>
  <c r="L54" i="15"/>
  <c r="K55" i="15" s="1"/>
  <c r="W52" i="15"/>
  <c r="V53" i="15" s="1"/>
  <c r="L52" i="15"/>
  <c r="I53" i="15" s="1"/>
  <c r="W50" i="15"/>
  <c r="T51" i="15" s="1"/>
  <c r="L50" i="15"/>
  <c r="I51" i="15" s="1"/>
  <c r="W48" i="15"/>
  <c r="T49" i="15" s="1"/>
  <c r="L48" i="15"/>
  <c r="I49" i="15" s="1"/>
  <c r="W46" i="15"/>
  <c r="U47" i="15" s="1"/>
  <c r="L46" i="15"/>
  <c r="K47" i="15" s="1"/>
  <c r="W44" i="15"/>
  <c r="V45" i="15" s="1"/>
  <c r="L44" i="15"/>
  <c r="J45" i="15" s="1"/>
  <c r="W42" i="15"/>
  <c r="U43" i="15" s="1"/>
  <c r="L42" i="15"/>
  <c r="I43" i="15" s="1"/>
  <c r="W40" i="15"/>
  <c r="T41" i="15" s="1"/>
  <c r="L40" i="15"/>
  <c r="J41" i="15" s="1"/>
  <c r="W38" i="15"/>
  <c r="V39" i="15" s="1"/>
  <c r="L38" i="15"/>
  <c r="K39" i="15" s="1"/>
  <c r="W36" i="15"/>
  <c r="V37" i="15" s="1"/>
  <c r="L36" i="15"/>
  <c r="J37" i="15" s="1"/>
  <c r="W34" i="15"/>
  <c r="U35" i="15" s="1"/>
  <c r="L34" i="15"/>
  <c r="I35" i="15" s="1"/>
  <c r="W32" i="15"/>
  <c r="T33" i="15" s="1"/>
  <c r="L32" i="15"/>
  <c r="B33" i="15" s="1"/>
  <c r="W30" i="15"/>
  <c r="M31" i="15" s="1"/>
  <c r="L30" i="15"/>
  <c r="K31" i="15" s="1"/>
  <c r="V29" i="15"/>
  <c r="U29" i="15"/>
  <c r="T29" i="15"/>
  <c r="S29" i="15"/>
  <c r="R29" i="15"/>
  <c r="Q29" i="15"/>
  <c r="P29" i="15"/>
  <c r="O29" i="15"/>
  <c r="N29" i="15"/>
  <c r="M29" i="15"/>
  <c r="L28" i="15"/>
  <c r="J29" i="15" s="1"/>
  <c r="W26" i="15"/>
  <c r="T27" i="15" s="1"/>
  <c r="L26" i="15"/>
  <c r="J27" i="15" s="1"/>
  <c r="W24" i="15"/>
  <c r="M25" i="15" s="1"/>
  <c r="L24" i="15"/>
  <c r="K25" i="15" s="1"/>
  <c r="W22" i="15"/>
  <c r="V23" i="15" s="1"/>
  <c r="L22" i="15"/>
  <c r="J23" i="15" s="1"/>
  <c r="W20" i="15"/>
  <c r="U21" i="15" s="1"/>
  <c r="L20" i="15"/>
  <c r="I21" i="15" s="1"/>
  <c r="W18" i="15"/>
  <c r="T19" i="15" s="1"/>
  <c r="L18" i="15"/>
  <c r="B19" i="15" s="1"/>
  <c r="V17" i="15"/>
  <c r="U17" i="15"/>
  <c r="T17" i="15"/>
  <c r="S17" i="15"/>
  <c r="R17" i="15"/>
  <c r="Q17" i="15"/>
  <c r="P17" i="15"/>
  <c r="O17" i="15"/>
  <c r="N17" i="15"/>
  <c r="M17" i="15"/>
  <c r="L16" i="15"/>
  <c r="K17" i="15" s="1"/>
  <c r="W14" i="15"/>
  <c r="U15" i="15" s="1"/>
  <c r="L14" i="15"/>
  <c r="I15" i="15" s="1"/>
  <c r="W12" i="15"/>
  <c r="T13" i="15" s="1"/>
  <c r="L12" i="15"/>
  <c r="J13" i="15" s="1"/>
  <c r="W10" i="15"/>
  <c r="V11" i="15" s="1"/>
  <c r="L10" i="15"/>
  <c r="K11" i="15" s="1"/>
  <c r="W8" i="15"/>
  <c r="V9" i="15" s="1"/>
  <c r="L8" i="15"/>
  <c r="J9" i="15" s="1"/>
  <c r="W6" i="15"/>
  <c r="U7" i="15" s="1"/>
  <c r="L6" i="15"/>
  <c r="I7" i="15" s="1"/>
  <c r="W4" i="15"/>
  <c r="R5" i="15" s="1"/>
  <c r="L4" i="15"/>
  <c r="K5" i="15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V25" i="1" s="1"/>
  <c r="T24" i="1"/>
  <c r="V24" i="1" s="1"/>
  <c r="T23" i="1"/>
  <c r="V23" i="1" s="1"/>
  <c r="T22" i="1"/>
  <c r="V22" i="1" s="1"/>
  <c r="T21" i="1"/>
  <c r="V21" i="1" s="1"/>
  <c r="T20" i="1"/>
  <c r="V20" i="1" s="1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U102" i="16" l="1"/>
  <c r="U101" i="16" s="1"/>
  <c r="U93" i="16"/>
  <c r="U78" i="16"/>
  <c r="U63" i="16"/>
  <c r="U62" i="16" s="1"/>
  <c r="U48" i="16"/>
  <c r="U47" i="16" s="1"/>
  <c r="U18" i="16"/>
  <c r="U17" i="16" s="1"/>
  <c r="U42" i="16"/>
  <c r="U57" i="16"/>
  <c r="U72" i="16"/>
  <c r="U87" i="16"/>
  <c r="U54" i="16"/>
  <c r="U69" i="16"/>
  <c r="U84" i="16"/>
  <c r="U99" i="16"/>
  <c r="U15" i="16"/>
  <c r="U45" i="16"/>
  <c r="U60" i="16"/>
  <c r="U75" i="16"/>
  <c r="U90" i="16"/>
  <c r="U51" i="16"/>
  <c r="U66" i="16"/>
  <c r="U81" i="16"/>
  <c r="U96" i="16"/>
  <c r="U39" i="16"/>
  <c r="U36" i="16"/>
  <c r="U33" i="16"/>
  <c r="U30" i="16"/>
  <c r="U27" i="16"/>
  <c r="U24" i="16"/>
  <c r="U21" i="16"/>
  <c r="U12" i="16"/>
  <c r="I31" i="18"/>
  <c r="J31" i="18" s="1"/>
  <c r="K31" i="18" s="1"/>
  <c r="N65" i="15"/>
  <c r="O65" i="15"/>
  <c r="Q65" i="15"/>
  <c r="M65" i="15"/>
  <c r="R65" i="15"/>
  <c r="N63" i="15"/>
  <c r="H63" i="15"/>
  <c r="I63" i="15"/>
  <c r="S61" i="15"/>
  <c r="E61" i="15"/>
  <c r="D59" i="15"/>
  <c r="M57" i="15"/>
  <c r="F55" i="15"/>
  <c r="D55" i="15"/>
  <c r="B55" i="15"/>
  <c r="O53" i="15"/>
  <c r="Q53" i="15"/>
  <c r="M53" i="15"/>
  <c r="X52" i="15"/>
  <c r="W53" i="15" s="1"/>
  <c r="G53" i="15"/>
  <c r="N51" i="15"/>
  <c r="D51" i="15"/>
  <c r="F51" i="15"/>
  <c r="H51" i="15"/>
  <c r="H35" i="18"/>
  <c r="J51" i="15"/>
  <c r="O49" i="15"/>
  <c r="Q49" i="15"/>
  <c r="U49" i="15"/>
  <c r="S49" i="15"/>
  <c r="R47" i="15"/>
  <c r="I24" i="18"/>
  <c r="J24" i="18" s="1"/>
  <c r="K24" i="18" s="1"/>
  <c r="H45" i="15"/>
  <c r="I23" i="18"/>
  <c r="J23" i="18" s="1"/>
  <c r="K23" i="18" s="1"/>
  <c r="E45" i="15"/>
  <c r="I45" i="15"/>
  <c r="O43" i="15"/>
  <c r="B41" i="15"/>
  <c r="F41" i="15"/>
  <c r="M39" i="15"/>
  <c r="Q39" i="15"/>
  <c r="J39" i="15"/>
  <c r="X38" i="15"/>
  <c r="W39" i="15" s="1"/>
  <c r="N15" i="17"/>
  <c r="N8" i="17"/>
  <c r="Q15" i="17"/>
  <c r="D19" i="17"/>
  <c r="Q19" i="17"/>
  <c r="D23" i="17"/>
  <c r="Q23" i="17"/>
  <c r="S23" i="17"/>
  <c r="G23" i="17"/>
  <c r="K19" i="17"/>
  <c r="G26" i="17"/>
  <c r="G10" i="17"/>
  <c r="U26" i="17"/>
  <c r="U10" i="17"/>
  <c r="S19" i="17"/>
  <c r="K22" i="17"/>
  <c r="D34" i="17"/>
  <c r="N34" i="17"/>
  <c r="D20" i="17"/>
  <c r="Q25" i="17"/>
  <c r="W37" i="17"/>
  <c r="N37" i="17" s="1"/>
  <c r="I7" i="18"/>
  <c r="J7" i="18" s="1"/>
  <c r="K7" i="18" s="1"/>
  <c r="K18" i="17"/>
  <c r="D10" i="17"/>
  <c r="S18" i="17"/>
  <c r="Q30" i="17"/>
  <c r="U18" i="17"/>
  <c r="D8" i="17"/>
  <c r="K10" i="17"/>
  <c r="D17" i="17"/>
  <c r="N23" i="17"/>
  <c r="U15" i="17"/>
  <c r="Q17" i="17"/>
  <c r="U19" i="17"/>
  <c r="D7" i="17"/>
  <c r="K7" i="17"/>
  <c r="Q14" i="17"/>
  <c r="U34" i="17"/>
  <c r="I11" i="18"/>
  <c r="J11" i="18" s="1"/>
  <c r="K11" i="18" s="1"/>
  <c r="I19" i="18"/>
  <c r="J19" i="18" s="1"/>
  <c r="K19" i="18" s="1"/>
  <c r="N7" i="17"/>
  <c r="S9" i="17"/>
  <c r="D16" i="17"/>
  <c r="G18" i="17"/>
  <c r="G19" i="17"/>
  <c r="D24" i="17"/>
  <c r="D26" i="17"/>
  <c r="Q16" i="17"/>
  <c r="N24" i="17"/>
  <c r="D15" i="17"/>
  <c r="Q18" i="17"/>
  <c r="K23" i="17"/>
  <c r="Q24" i="17"/>
  <c r="K26" i="17"/>
  <c r="N35" i="17"/>
  <c r="I12" i="18"/>
  <c r="J12" i="18" s="1"/>
  <c r="K12" i="18" s="1"/>
  <c r="O33" i="15"/>
  <c r="F33" i="15"/>
  <c r="J33" i="15"/>
  <c r="E31" i="15"/>
  <c r="F27" i="15"/>
  <c r="B27" i="15"/>
  <c r="U25" i="15"/>
  <c r="V25" i="15"/>
  <c r="E25" i="15"/>
  <c r="F25" i="15"/>
  <c r="J25" i="15"/>
  <c r="U31" i="15"/>
  <c r="D23" i="15"/>
  <c r="E23" i="15"/>
  <c r="I23" i="15"/>
  <c r="S19" i="15"/>
  <c r="F19" i="15"/>
  <c r="F17" i="15"/>
  <c r="B17" i="15"/>
  <c r="X16" i="15"/>
  <c r="W17" i="15" s="1"/>
  <c r="O13" i="15"/>
  <c r="R13" i="15"/>
  <c r="S13" i="15"/>
  <c r="B13" i="15"/>
  <c r="M11" i="15"/>
  <c r="V5" i="15"/>
  <c r="E5" i="15"/>
  <c r="F5" i="15"/>
  <c r="J5" i="15"/>
  <c r="O7" i="15"/>
  <c r="E9" i="15"/>
  <c r="H9" i="15"/>
  <c r="G35" i="18"/>
  <c r="I47" i="15"/>
  <c r="D11" i="17"/>
  <c r="M5" i="15"/>
  <c r="S7" i="15"/>
  <c r="N11" i="15"/>
  <c r="F13" i="15"/>
  <c r="I17" i="15"/>
  <c r="J19" i="15"/>
  <c r="O21" i="15"/>
  <c r="F31" i="15"/>
  <c r="V31" i="15"/>
  <c r="R33" i="15"/>
  <c r="B39" i="15"/>
  <c r="R39" i="15"/>
  <c r="N41" i="15"/>
  <c r="S43" i="15"/>
  <c r="J47" i="15"/>
  <c r="V51" i="15"/>
  <c r="H55" i="15"/>
  <c r="O57" i="15"/>
  <c r="F59" i="15"/>
  <c r="I61" i="15"/>
  <c r="B63" i="15"/>
  <c r="R63" i="15"/>
  <c r="G6" i="17"/>
  <c r="G11" i="17"/>
  <c r="D12" i="17"/>
  <c r="Q22" i="17"/>
  <c r="G27" i="17"/>
  <c r="D28" i="17"/>
  <c r="D32" i="17"/>
  <c r="F7" i="18"/>
  <c r="F19" i="18"/>
  <c r="F31" i="18"/>
  <c r="N5" i="15"/>
  <c r="X10" i="15"/>
  <c r="W11" i="15" s="1"/>
  <c r="Q11" i="15"/>
  <c r="O15" i="15"/>
  <c r="J17" i="15"/>
  <c r="N19" i="15"/>
  <c r="S21" i="15"/>
  <c r="N25" i="15"/>
  <c r="I31" i="15"/>
  <c r="S33" i="15"/>
  <c r="D37" i="15"/>
  <c r="E39" i="15"/>
  <c r="U39" i="15"/>
  <c r="O41" i="15"/>
  <c r="X46" i="15"/>
  <c r="W47" i="15" s="1"/>
  <c r="M47" i="15"/>
  <c r="C49" i="15"/>
  <c r="S53" i="15"/>
  <c r="J55" i="15"/>
  <c r="Q57" i="15"/>
  <c r="H59" i="15"/>
  <c r="M61" i="15"/>
  <c r="D63" i="15"/>
  <c r="S65" i="15"/>
  <c r="Q6" i="17"/>
  <c r="Q7" i="17"/>
  <c r="K11" i="17"/>
  <c r="N12" i="17"/>
  <c r="D14" i="17"/>
  <c r="D21" i="17"/>
  <c r="S22" i="17"/>
  <c r="K27" i="17"/>
  <c r="N28" i="17"/>
  <c r="D30" i="17"/>
  <c r="D31" i="17"/>
  <c r="N32" i="17"/>
  <c r="F12" i="18"/>
  <c r="X4" i="15"/>
  <c r="W5" i="15" s="1"/>
  <c r="Q5" i="15"/>
  <c r="B11" i="15"/>
  <c r="R11" i="15"/>
  <c r="N13" i="15"/>
  <c r="S15" i="15"/>
  <c r="O19" i="15"/>
  <c r="X24" i="15"/>
  <c r="L25" i="15" s="1"/>
  <c r="Q25" i="15"/>
  <c r="J31" i="15"/>
  <c r="V33" i="15"/>
  <c r="E37" i="15"/>
  <c r="F39" i="15"/>
  <c r="R41" i="15"/>
  <c r="B47" i="15"/>
  <c r="N47" i="15"/>
  <c r="K49" i="15"/>
  <c r="B51" i="15"/>
  <c r="U53" i="15"/>
  <c r="N55" i="15"/>
  <c r="S57" i="15"/>
  <c r="J59" i="15"/>
  <c r="O61" i="15"/>
  <c r="E63" i="15"/>
  <c r="U65" i="15"/>
  <c r="U6" i="17"/>
  <c r="S7" i="17"/>
  <c r="Q10" i="17"/>
  <c r="N11" i="17"/>
  <c r="Q12" i="17"/>
  <c r="G14" i="17"/>
  <c r="G15" i="17"/>
  <c r="Q21" i="17"/>
  <c r="U22" i="17"/>
  <c r="Q26" i="17"/>
  <c r="N27" i="17"/>
  <c r="Q28" i="17"/>
  <c r="G30" i="17"/>
  <c r="K31" i="17"/>
  <c r="Q32" i="17"/>
  <c r="G34" i="17"/>
  <c r="D35" i="17"/>
  <c r="I15" i="18"/>
  <c r="J15" i="18" s="1"/>
  <c r="K15" i="18" s="1"/>
  <c r="I27" i="18"/>
  <c r="J27" i="18" s="1"/>
  <c r="K27" i="18" s="1"/>
  <c r="V27" i="15"/>
  <c r="B5" i="15"/>
  <c r="D9" i="15"/>
  <c r="E11" i="15"/>
  <c r="U11" i="15"/>
  <c r="R19" i="15"/>
  <c r="B25" i="15"/>
  <c r="R25" i="15"/>
  <c r="N27" i="15"/>
  <c r="H37" i="15"/>
  <c r="I39" i="15"/>
  <c r="S41" i="15"/>
  <c r="D45" i="15"/>
  <c r="D47" i="15"/>
  <c r="Q47" i="15"/>
  <c r="M49" i="15"/>
  <c r="R55" i="15"/>
  <c r="U57" i="15"/>
  <c r="Q61" i="15"/>
  <c r="F63" i="15"/>
  <c r="V65" i="15"/>
  <c r="U7" i="17"/>
  <c r="S10" i="17"/>
  <c r="Q11" i="17"/>
  <c r="K14" i="17"/>
  <c r="K15" i="17"/>
  <c r="N16" i="17"/>
  <c r="D18" i="17"/>
  <c r="D25" i="17"/>
  <c r="S26" i="17"/>
  <c r="Q27" i="17"/>
  <c r="K30" i="17"/>
  <c r="N31" i="17"/>
  <c r="K34" i="17"/>
  <c r="K35" i="17"/>
  <c r="I8" i="18"/>
  <c r="J8" i="18" s="1"/>
  <c r="K8" i="18" s="1"/>
  <c r="F15" i="18"/>
  <c r="I20" i="18"/>
  <c r="J20" i="18" s="1"/>
  <c r="L20" i="18" s="1"/>
  <c r="F27" i="18"/>
  <c r="I32" i="18"/>
  <c r="J32" i="18" s="1"/>
  <c r="K32" i="18" s="1"/>
  <c r="F11" i="15"/>
  <c r="O27" i="15"/>
  <c r="N31" i="15"/>
  <c r="I37" i="15"/>
  <c r="V41" i="15"/>
  <c r="E47" i="15"/>
  <c r="D5" i="17"/>
  <c r="S11" i="17"/>
  <c r="S27" i="17"/>
  <c r="Q31" i="17"/>
  <c r="I11" i="15"/>
  <c r="V19" i="15"/>
  <c r="R27" i="15"/>
  <c r="X30" i="15"/>
  <c r="W31" i="15" s="1"/>
  <c r="Q31" i="15"/>
  <c r="O35" i="15"/>
  <c r="F47" i="15"/>
  <c r="U61" i="15"/>
  <c r="Q5" i="17"/>
  <c r="D13" i="17"/>
  <c r="S14" i="17"/>
  <c r="N20" i="17"/>
  <c r="D22" i="17"/>
  <c r="U27" i="17"/>
  <c r="D29" i="17"/>
  <c r="S30" i="17"/>
  <c r="U31" i="17"/>
  <c r="D33" i="17"/>
  <c r="Q34" i="17"/>
  <c r="Q35" i="17"/>
  <c r="F11" i="18"/>
  <c r="F23" i="18"/>
  <c r="I5" i="15"/>
  <c r="I9" i="15"/>
  <c r="J11" i="15"/>
  <c r="V13" i="15"/>
  <c r="E17" i="15"/>
  <c r="H23" i="15"/>
  <c r="I25" i="15"/>
  <c r="S27" i="15"/>
  <c r="B31" i="15"/>
  <c r="R31" i="15"/>
  <c r="N33" i="15"/>
  <c r="S35" i="15"/>
  <c r="N39" i="15"/>
  <c r="H47" i="15"/>
  <c r="V47" i="15"/>
  <c r="B59" i="15"/>
  <c r="X60" i="15"/>
  <c r="W61" i="15" s="1"/>
  <c r="J63" i="15"/>
  <c r="U104" i="16"/>
  <c r="Q13" i="17"/>
  <c r="U14" i="17"/>
  <c r="Q20" i="17"/>
  <c r="G22" i="17"/>
  <c r="Q29" i="17"/>
  <c r="U30" i="17"/>
  <c r="Q33" i="17"/>
  <c r="U35" i="17"/>
  <c r="I4" i="18"/>
  <c r="J4" i="18" s="1"/>
  <c r="K4" i="18" s="1"/>
  <c r="I16" i="18"/>
  <c r="J16" i="18" s="1"/>
  <c r="L16" i="18" s="1"/>
  <c r="I26" i="18"/>
  <c r="J26" i="18" s="1"/>
  <c r="K26" i="18" s="1"/>
  <c r="I28" i="18"/>
  <c r="J28" i="18" s="1"/>
  <c r="L28" i="18" s="1"/>
  <c r="K7" i="15"/>
  <c r="T7" i="15"/>
  <c r="W67" i="15"/>
  <c r="J68" i="15" s="1"/>
  <c r="D5" i="15"/>
  <c r="H5" i="15"/>
  <c r="P5" i="15"/>
  <c r="U5" i="15"/>
  <c r="B7" i="15"/>
  <c r="F7" i="15"/>
  <c r="J7" i="15"/>
  <c r="N7" i="15"/>
  <c r="R7" i="15"/>
  <c r="V7" i="15"/>
  <c r="C9" i="15"/>
  <c r="G9" i="15"/>
  <c r="K9" i="15"/>
  <c r="O9" i="15"/>
  <c r="S9" i="15"/>
  <c r="D11" i="15"/>
  <c r="H11" i="15"/>
  <c r="P11" i="15"/>
  <c r="T11" i="15"/>
  <c r="X12" i="15"/>
  <c r="W13" i="15" s="1"/>
  <c r="E13" i="15"/>
  <c r="I13" i="15"/>
  <c r="M13" i="15"/>
  <c r="Q13" i="15"/>
  <c r="U13" i="15"/>
  <c r="B15" i="15"/>
  <c r="F15" i="15"/>
  <c r="J15" i="15"/>
  <c r="N15" i="15"/>
  <c r="R15" i="15"/>
  <c r="V15" i="15"/>
  <c r="D17" i="15"/>
  <c r="H17" i="15"/>
  <c r="X18" i="15"/>
  <c r="W19" i="15" s="1"/>
  <c r="E19" i="15"/>
  <c r="I19" i="15"/>
  <c r="M19" i="15"/>
  <c r="Q19" i="15"/>
  <c r="U19" i="15"/>
  <c r="B21" i="15"/>
  <c r="F21" i="15"/>
  <c r="J21" i="15"/>
  <c r="N21" i="15"/>
  <c r="R21" i="15"/>
  <c r="V21" i="15"/>
  <c r="C23" i="15"/>
  <c r="G23" i="15"/>
  <c r="K23" i="15"/>
  <c r="O23" i="15"/>
  <c r="S23" i="15"/>
  <c r="D25" i="15"/>
  <c r="H25" i="15"/>
  <c r="P25" i="15"/>
  <c r="T25" i="15"/>
  <c r="X26" i="15"/>
  <c r="W27" i="15" s="1"/>
  <c r="E27" i="15"/>
  <c r="I27" i="15"/>
  <c r="M27" i="15"/>
  <c r="Q27" i="15"/>
  <c r="U27" i="15"/>
  <c r="C29" i="15"/>
  <c r="G29" i="15"/>
  <c r="K29" i="15"/>
  <c r="D31" i="15"/>
  <c r="H31" i="15"/>
  <c r="P31" i="15"/>
  <c r="T31" i="15"/>
  <c r="X32" i="15"/>
  <c r="W33" i="15" s="1"/>
  <c r="E33" i="15"/>
  <c r="I33" i="15"/>
  <c r="M33" i="15"/>
  <c r="Q33" i="15"/>
  <c r="U33" i="15"/>
  <c r="B35" i="15"/>
  <c r="F35" i="15"/>
  <c r="J35" i="15"/>
  <c r="N35" i="15"/>
  <c r="R35" i="15"/>
  <c r="V35" i="15"/>
  <c r="C37" i="15"/>
  <c r="G37" i="15"/>
  <c r="K37" i="15"/>
  <c r="O37" i="15"/>
  <c r="S37" i="15"/>
  <c r="D39" i="15"/>
  <c r="H39" i="15"/>
  <c r="P39" i="15"/>
  <c r="T39" i="15"/>
  <c r="X40" i="15"/>
  <c r="W41" i="15" s="1"/>
  <c r="E41" i="15"/>
  <c r="I41" i="15"/>
  <c r="M41" i="15"/>
  <c r="Q41" i="15"/>
  <c r="U41" i="15"/>
  <c r="B43" i="15"/>
  <c r="F43" i="15"/>
  <c r="J43" i="15"/>
  <c r="N43" i="15"/>
  <c r="R43" i="15"/>
  <c r="V43" i="15"/>
  <c r="C45" i="15"/>
  <c r="G45" i="15"/>
  <c r="K45" i="15"/>
  <c r="O45" i="15"/>
  <c r="S45" i="15"/>
  <c r="P47" i="15"/>
  <c r="T47" i="15"/>
  <c r="X48" i="15"/>
  <c r="W49" i="15" s="1"/>
  <c r="J53" i="15"/>
  <c r="F53" i="15"/>
  <c r="B53" i="15"/>
  <c r="H53" i="15"/>
  <c r="D53" i="15"/>
  <c r="E53" i="15"/>
  <c r="G7" i="15"/>
  <c r="C15" i="15"/>
  <c r="G15" i="15"/>
  <c r="K15" i="15"/>
  <c r="C21" i="15"/>
  <c r="G21" i="15"/>
  <c r="K21" i="15"/>
  <c r="P23" i="15"/>
  <c r="T23" i="15"/>
  <c r="D29" i="15"/>
  <c r="H29" i="15"/>
  <c r="C35" i="15"/>
  <c r="G35" i="15"/>
  <c r="K35" i="15"/>
  <c r="P37" i="15"/>
  <c r="T37" i="15"/>
  <c r="C43" i="15"/>
  <c r="G43" i="15"/>
  <c r="K43" i="15"/>
  <c r="P45" i="15"/>
  <c r="T45" i="15"/>
  <c r="H57" i="15"/>
  <c r="D57" i="15"/>
  <c r="J57" i="15"/>
  <c r="F57" i="15"/>
  <c r="B57" i="15"/>
  <c r="I57" i="15"/>
  <c r="E57" i="15"/>
  <c r="X56" i="15"/>
  <c r="W57" i="15" s="1"/>
  <c r="K57" i="15"/>
  <c r="H65" i="15"/>
  <c r="D65" i="15"/>
  <c r="J65" i="15"/>
  <c r="F65" i="15"/>
  <c r="B65" i="15"/>
  <c r="I65" i="15"/>
  <c r="E65" i="15"/>
  <c r="X64" i="15"/>
  <c r="W65" i="15" s="1"/>
  <c r="K65" i="15"/>
  <c r="D70" i="15"/>
  <c r="H70" i="15"/>
  <c r="L67" i="15"/>
  <c r="P70" i="15"/>
  <c r="T70" i="15"/>
  <c r="P9" i="15"/>
  <c r="H7" i="15"/>
  <c r="Q9" i="15"/>
  <c r="U9" i="15"/>
  <c r="C13" i="15"/>
  <c r="G13" i="15"/>
  <c r="K13" i="15"/>
  <c r="D15" i="15"/>
  <c r="H15" i="15"/>
  <c r="P15" i="15"/>
  <c r="T15" i="15"/>
  <c r="C19" i="15"/>
  <c r="G19" i="15"/>
  <c r="K19" i="15"/>
  <c r="D21" i="15"/>
  <c r="H21" i="15"/>
  <c r="P21" i="15"/>
  <c r="T21" i="15"/>
  <c r="X22" i="15"/>
  <c r="L23" i="15" s="1"/>
  <c r="M23" i="15"/>
  <c r="Q23" i="15"/>
  <c r="U23" i="15"/>
  <c r="C27" i="15"/>
  <c r="G27" i="15"/>
  <c r="K27" i="15"/>
  <c r="X28" i="15"/>
  <c r="W29" i="15" s="1"/>
  <c r="E29" i="15"/>
  <c r="I29" i="15"/>
  <c r="C33" i="15"/>
  <c r="G33" i="15"/>
  <c r="K33" i="15"/>
  <c r="D35" i="15"/>
  <c r="H35" i="15"/>
  <c r="P35" i="15"/>
  <c r="T35" i="15"/>
  <c r="X36" i="15"/>
  <c r="L37" i="15" s="1"/>
  <c r="M37" i="15"/>
  <c r="Q37" i="15"/>
  <c r="U37" i="15"/>
  <c r="C41" i="15"/>
  <c r="G41" i="15"/>
  <c r="K41" i="15"/>
  <c r="D43" i="15"/>
  <c r="H43" i="15"/>
  <c r="P43" i="15"/>
  <c r="T43" i="15"/>
  <c r="X44" i="15"/>
  <c r="L45" i="15" s="1"/>
  <c r="M45" i="15"/>
  <c r="Q45" i="15"/>
  <c r="U45" i="15"/>
  <c r="H49" i="15"/>
  <c r="D49" i="15"/>
  <c r="J49" i="15"/>
  <c r="F49" i="15"/>
  <c r="B49" i="15"/>
  <c r="E49" i="15"/>
  <c r="U51" i="15"/>
  <c r="Q51" i="15"/>
  <c r="M51" i="15"/>
  <c r="S51" i="15"/>
  <c r="O51" i="15"/>
  <c r="P51" i="15"/>
  <c r="U59" i="15"/>
  <c r="Q59" i="15"/>
  <c r="M59" i="15"/>
  <c r="S59" i="15"/>
  <c r="O59" i="15"/>
  <c r="V59" i="15"/>
  <c r="R59" i="15"/>
  <c r="N59" i="15"/>
  <c r="T59" i="15"/>
  <c r="C7" i="15"/>
  <c r="T9" i="15"/>
  <c r="D7" i="15"/>
  <c r="P7" i="15"/>
  <c r="X8" i="15"/>
  <c r="L9" i="15" s="1"/>
  <c r="M9" i="15"/>
  <c r="C5" i="15"/>
  <c r="G5" i="15"/>
  <c r="O5" i="15"/>
  <c r="S5" i="15"/>
  <c r="X6" i="15"/>
  <c r="W7" i="15" s="1"/>
  <c r="E7" i="15"/>
  <c r="M7" i="15"/>
  <c r="Q7" i="15"/>
  <c r="B9" i="15"/>
  <c r="F9" i="15"/>
  <c r="N9" i="15"/>
  <c r="R9" i="15"/>
  <c r="C11" i="15"/>
  <c r="G11" i="15"/>
  <c r="O11" i="15"/>
  <c r="S11" i="15"/>
  <c r="D13" i="15"/>
  <c r="H13" i="15"/>
  <c r="P13" i="15"/>
  <c r="X14" i="15"/>
  <c r="W15" i="15" s="1"/>
  <c r="E15" i="15"/>
  <c r="M15" i="15"/>
  <c r="Q15" i="15"/>
  <c r="C17" i="15"/>
  <c r="G17" i="15"/>
  <c r="D19" i="15"/>
  <c r="H19" i="15"/>
  <c r="P19" i="15"/>
  <c r="X20" i="15"/>
  <c r="W21" i="15" s="1"/>
  <c r="E21" i="15"/>
  <c r="M21" i="15"/>
  <c r="Q21" i="15"/>
  <c r="B23" i="15"/>
  <c r="F23" i="15"/>
  <c r="N23" i="15"/>
  <c r="R23" i="15"/>
  <c r="C25" i="15"/>
  <c r="G25" i="15"/>
  <c r="O25" i="15"/>
  <c r="S25" i="15"/>
  <c r="D27" i="15"/>
  <c r="H27" i="15"/>
  <c r="P27" i="15"/>
  <c r="B29" i="15"/>
  <c r="F29" i="15"/>
  <c r="C31" i="15"/>
  <c r="G31" i="15"/>
  <c r="O31" i="15"/>
  <c r="S31" i="15"/>
  <c r="D33" i="15"/>
  <c r="H33" i="15"/>
  <c r="P33" i="15"/>
  <c r="X34" i="15"/>
  <c r="W35" i="15" s="1"/>
  <c r="E35" i="15"/>
  <c r="M35" i="15"/>
  <c r="Q35" i="15"/>
  <c r="B37" i="15"/>
  <c r="F37" i="15"/>
  <c r="N37" i="15"/>
  <c r="R37" i="15"/>
  <c r="C39" i="15"/>
  <c r="G39" i="15"/>
  <c r="O39" i="15"/>
  <c r="S39" i="15"/>
  <c r="D41" i="15"/>
  <c r="H41" i="15"/>
  <c r="P41" i="15"/>
  <c r="X42" i="15"/>
  <c r="W43" i="15" s="1"/>
  <c r="E43" i="15"/>
  <c r="M43" i="15"/>
  <c r="Q43" i="15"/>
  <c r="B45" i="15"/>
  <c r="F45" i="15"/>
  <c r="N45" i="15"/>
  <c r="R45" i="15"/>
  <c r="C47" i="15"/>
  <c r="G47" i="15"/>
  <c r="O47" i="15"/>
  <c r="S47" i="15"/>
  <c r="G49" i="15"/>
  <c r="R51" i="15"/>
  <c r="C53" i="15"/>
  <c r="K53" i="15"/>
  <c r="C57" i="15"/>
  <c r="C65" i="15"/>
  <c r="N105" i="16"/>
  <c r="N106" i="16" s="1"/>
  <c r="R105" i="16"/>
  <c r="R106" i="16" s="1"/>
  <c r="P55" i="15"/>
  <c r="T55" i="15"/>
  <c r="C61" i="15"/>
  <c r="G61" i="15"/>
  <c r="K61" i="15"/>
  <c r="P63" i="15"/>
  <c r="T63" i="15"/>
  <c r="Q105" i="16"/>
  <c r="Q106" i="16" s="1"/>
  <c r="N49" i="15"/>
  <c r="R49" i="15"/>
  <c r="V49" i="15"/>
  <c r="C51" i="15"/>
  <c r="G51" i="15"/>
  <c r="K51" i="15"/>
  <c r="P53" i="15"/>
  <c r="T53" i="15"/>
  <c r="X54" i="15"/>
  <c r="L55" i="15" s="1"/>
  <c r="E55" i="15"/>
  <c r="I55" i="15"/>
  <c r="M55" i="15"/>
  <c r="Q55" i="15"/>
  <c r="U55" i="15"/>
  <c r="N57" i="15"/>
  <c r="R57" i="15"/>
  <c r="V57" i="15"/>
  <c r="C59" i="15"/>
  <c r="G59" i="15"/>
  <c r="K59" i="15"/>
  <c r="D61" i="15"/>
  <c r="H61" i="15"/>
  <c r="P61" i="15"/>
  <c r="T61" i="15"/>
  <c r="X62" i="15"/>
  <c r="L63" i="15" s="1"/>
  <c r="M63" i="15"/>
  <c r="Q63" i="15"/>
  <c r="U63" i="15"/>
  <c r="D105" i="16"/>
  <c r="D106" i="16" s="1"/>
  <c r="O105" i="16"/>
  <c r="O106" i="16" s="1"/>
  <c r="P49" i="15"/>
  <c r="X50" i="15"/>
  <c r="L51" i="15" s="1"/>
  <c r="E51" i="15"/>
  <c r="N53" i="15"/>
  <c r="R53" i="15"/>
  <c r="C55" i="15"/>
  <c r="G55" i="15"/>
  <c r="O55" i="15"/>
  <c r="S55" i="15"/>
  <c r="P57" i="15"/>
  <c r="X58" i="15"/>
  <c r="L59" i="15" s="1"/>
  <c r="E59" i="15"/>
  <c r="B61" i="15"/>
  <c r="F61" i="15"/>
  <c r="N61" i="15"/>
  <c r="R61" i="15"/>
  <c r="C63" i="15"/>
  <c r="G63" i="15"/>
  <c r="O63" i="15"/>
  <c r="S63" i="15"/>
  <c r="P65" i="15"/>
  <c r="E105" i="16"/>
  <c r="E106" i="16" s="1"/>
  <c r="B105" i="16"/>
  <c r="V102" i="16"/>
  <c r="F105" i="16"/>
  <c r="F106" i="16" s="1"/>
  <c r="P105" i="16"/>
  <c r="P106" i="16" s="1"/>
  <c r="C105" i="16"/>
  <c r="C106" i="16" s="1"/>
  <c r="K5" i="17"/>
  <c r="U5" i="17"/>
  <c r="N9" i="17"/>
  <c r="U9" i="17"/>
  <c r="K9" i="17"/>
  <c r="N5" i="17"/>
  <c r="V37" i="17"/>
  <c r="S6" i="17"/>
  <c r="U8" i="17"/>
  <c r="K8" i="17"/>
  <c r="S8" i="17"/>
  <c r="G8" i="17"/>
  <c r="Q9" i="17"/>
  <c r="G5" i="17"/>
  <c r="S5" i="17"/>
  <c r="K6" i="17"/>
  <c r="D9" i="17"/>
  <c r="G13" i="17"/>
  <c r="S13" i="17"/>
  <c r="G17" i="17"/>
  <c r="S17" i="17"/>
  <c r="G21" i="17"/>
  <c r="S21" i="17"/>
  <c r="G25" i="17"/>
  <c r="S25" i="17"/>
  <c r="G29" i="17"/>
  <c r="S29" i="17"/>
  <c r="G33" i="17"/>
  <c r="S33" i="17"/>
  <c r="F4" i="18"/>
  <c r="I5" i="18"/>
  <c r="J5" i="18" s="1"/>
  <c r="K5" i="18" s="1"/>
  <c r="F8" i="18"/>
  <c r="I9" i="18"/>
  <c r="J9" i="18" s="1"/>
  <c r="K9" i="18" s="1"/>
  <c r="I13" i="18"/>
  <c r="J13" i="18" s="1"/>
  <c r="K13" i="18" s="1"/>
  <c r="F16" i="18"/>
  <c r="I17" i="18"/>
  <c r="J17" i="18" s="1"/>
  <c r="K17" i="18" s="1"/>
  <c r="F20" i="18"/>
  <c r="I21" i="18"/>
  <c r="J21" i="18" s="1"/>
  <c r="K21" i="18" s="1"/>
  <c r="F24" i="18"/>
  <c r="I25" i="18"/>
  <c r="J25" i="18" s="1"/>
  <c r="K25" i="18" s="1"/>
  <c r="F28" i="18"/>
  <c r="I29" i="18"/>
  <c r="J29" i="18" s="1"/>
  <c r="K29" i="18" s="1"/>
  <c r="F32" i="18"/>
  <c r="I33" i="18"/>
  <c r="J33" i="18" s="1"/>
  <c r="K33" i="18" s="1"/>
  <c r="E35" i="18"/>
  <c r="G12" i="17"/>
  <c r="S12" i="17"/>
  <c r="K13" i="17"/>
  <c r="U13" i="17"/>
  <c r="G16" i="17"/>
  <c r="S16" i="17"/>
  <c r="K17" i="17"/>
  <c r="U17" i="17"/>
  <c r="G20" i="17"/>
  <c r="S20" i="17"/>
  <c r="K21" i="17"/>
  <c r="U21" i="17"/>
  <c r="G24" i="17"/>
  <c r="S24" i="17"/>
  <c r="K25" i="17"/>
  <c r="U25" i="17"/>
  <c r="G28" i="17"/>
  <c r="S28" i="17"/>
  <c r="K29" i="17"/>
  <c r="U29" i="17"/>
  <c r="G32" i="17"/>
  <c r="S32" i="17"/>
  <c r="K33" i="17"/>
  <c r="U33" i="17"/>
  <c r="I6" i="18"/>
  <c r="J6" i="18" s="1"/>
  <c r="K6" i="18" s="1"/>
  <c r="I10" i="18"/>
  <c r="J10" i="18" s="1"/>
  <c r="K10" i="18" s="1"/>
  <c r="I14" i="18"/>
  <c r="J14" i="18" s="1"/>
  <c r="K14" i="18" s="1"/>
  <c r="I18" i="18"/>
  <c r="J18" i="18" s="1"/>
  <c r="K18" i="18" s="1"/>
  <c r="I22" i="18"/>
  <c r="J22" i="18" s="1"/>
  <c r="K22" i="18" s="1"/>
  <c r="I30" i="18"/>
  <c r="I34" i="18"/>
  <c r="J34" i="18" s="1"/>
  <c r="K34" i="18" s="1"/>
  <c r="K12" i="17"/>
  <c r="K16" i="17"/>
  <c r="K20" i="17"/>
  <c r="K24" i="17"/>
  <c r="K28" i="17"/>
  <c r="G31" i="17"/>
  <c r="K32" i="17"/>
  <c r="G35" i="17"/>
  <c r="V63" i="16" l="1"/>
  <c r="V48" i="16"/>
  <c r="V39" i="16"/>
  <c r="U38" i="16"/>
  <c r="V45" i="16"/>
  <c r="U44" i="16"/>
  <c r="V57" i="16"/>
  <c r="U56" i="16"/>
  <c r="V96" i="16"/>
  <c r="U95" i="16"/>
  <c r="V42" i="16"/>
  <c r="U41" i="16"/>
  <c r="V81" i="16"/>
  <c r="U80" i="16"/>
  <c r="V99" i="16"/>
  <c r="U98" i="16"/>
  <c r="V66" i="16"/>
  <c r="U65" i="16"/>
  <c r="V84" i="16"/>
  <c r="U83" i="16"/>
  <c r="V27" i="16"/>
  <c r="U26" i="16"/>
  <c r="V51" i="16"/>
  <c r="U50" i="16"/>
  <c r="V69" i="16"/>
  <c r="U68" i="16"/>
  <c r="V30" i="16"/>
  <c r="U29" i="16"/>
  <c r="V90" i="16"/>
  <c r="U89" i="16"/>
  <c r="V54" i="16"/>
  <c r="U53" i="16"/>
  <c r="V78" i="16"/>
  <c r="U77" i="16"/>
  <c r="V33" i="16"/>
  <c r="U32" i="16"/>
  <c r="V75" i="16"/>
  <c r="U74" i="16"/>
  <c r="V87" i="16"/>
  <c r="U86" i="16"/>
  <c r="V93" i="16"/>
  <c r="U92" i="16"/>
  <c r="V36" i="16"/>
  <c r="U35" i="16"/>
  <c r="V60" i="16"/>
  <c r="U59" i="16"/>
  <c r="V72" i="16"/>
  <c r="U71" i="16"/>
  <c r="V24" i="16"/>
  <c r="U23" i="16"/>
  <c r="V21" i="16"/>
  <c r="U20" i="16"/>
  <c r="V18" i="16"/>
  <c r="V15" i="16"/>
  <c r="U14" i="16"/>
  <c r="V12" i="16"/>
  <c r="U11" i="16"/>
  <c r="U105" i="16"/>
  <c r="B106" i="16"/>
  <c r="U106" i="16" s="1"/>
  <c r="L53" i="15"/>
  <c r="X53" i="15" s="1"/>
  <c r="L39" i="15"/>
  <c r="X39" i="15" s="1"/>
  <c r="L32" i="18"/>
  <c r="L61" i="15"/>
  <c r="X61" i="15" s="1"/>
  <c r="L31" i="18"/>
  <c r="L47" i="15"/>
  <c r="X47" i="15" s="1"/>
  <c r="K28" i="18"/>
  <c r="L23" i="18"/>
  <c r="I35" i="18"/>
  <c r="G37" i="17"/>
  <c r="Q37" i="17"/>
  <c r="U37" i="17"/>
  <c r="K37" i="17"/>
  <c r="S37" i="17"/>
  <c r="D37" i="17"/>
  <c r="X19" i="17"/>
  <c r="X10" i="17"/>
  <c r="X23" i="17"/>
  <c r="X18" i="17"/>
  <c r="L7" i="18"/>
  <c r="X7" i="17"/>
  <c r="X26" i="17"/>
  <c r="X6" i="17"/>
  <c r="X9" i="17"/>
  <c r="X31" i="17"/>
  <c r="X24" i="17"/>
  <c r="X29" i="17"/>
  <c r="X13" i="17"/>
  <c r="L8" i="18"/>
  <c r="X34" i="17"/>
  <c r="X15" i="17"/>
  <c r="L31" i="15"/>
  <c r="X31" i="15" s="1"/>
  <c r="L17" i="15"/>
  <c r="X17" i="15" s="1"/>
  <c r="L11" i="15"/>
  <c r="X11" i="15" s="1"/>
  <c r="L5" i="15"/>
  <c r="X5" i="15" s="1"/>
  <c r="X22" i="17"/>
  <c r="W25" i="15"/>
  <c r="X25" i="15" s="1"/>
  <c r="X32" i="17"/>
  <c r="L12" i="18"/>
  <c r="X30" i="17"/>
  <c r="W55" i="15"/>
  <c r="X55" i="15" s="1"/>
  <c r="X27" i="17"/>
  <c r="X28" i="17"/>
  <c r="X20" i="17"/>
  <c r="X12" i="17"/>
  <c r="X21" i="17"/>
  <c r="L19" i="18"/>
  <c r="L49" i="15"/>
  <c r="X49" i="15" s="1"/>
  <c r="X11" i="17"/>
  <c r="K16" i="18"/>
  <c r="L27" i="18"/>
  <c r="X35" i="17"/>
  <c r="X14" i="17"/>
  <c r="W59" i="15"/>
  <c r="X59" i="15" s="1"/>
  <c r="L43" i="15"/>
  <c r="X43" i="15" s="1"/>
  <c r="L35" i="15"/>
  <c r="X35" i="15" s="1"/>
  <c r="L65" i="15"/>
  <c r="X65" i="15" s="1"/>
  <c r="W45" i="15"/>
  <c r="X45" i="15" s="1"/>
  <c r="W23" i="15"/>
  <c r="X23" i="15" s="1"/>
  <c r="L19" i="15"/>
  <c r="X19" i="15" s="1"/>
  <c r="L18" i="18"/>
  <c r="L10" i="18"/>
  <c r="L29" i="18"/>
  <c r="L21" i="18"/>
  <c r="L13" i="18"/>
  <c r="F35" i="18"/>
  <c r="L26" i="18"/>
  <c r="X8" i="17"/>
  <c r="W63" i="15"/>
  <c r="X63" i="15" s="1"/>
  <c r="L7" i="15"/>
  <c r="X7" i="15" s="1"/>
  <c r="L41" i="15"/>
  <c r="X41" i="15" s="1"/>
  <c r="X16" i="17"/>
  <c r="L5" i="18"/>
  <c r="L34" i="18"/>
  <c r="L9" i="18"/>
  <c r="X33" i="17"/>
  <c r="X25" i="17"/>
  <c r="X17" i="17"/>
  <c r="K20" i="18"/>
  <c r="L21" i="15"/>
  <c r="X21" i="15" s="1"/>
  <c r="L15" i="15"/>
  <c r="X15" i="15" s="1"/>
  <c r="L70" i="15"/>
  <c r="L29" i="15"/>
  <c r="X29" i="15" s="1"/>
  <c r="W9" i="15"/>
  <c r="X9" i="15" s="1"/>
  <c r="L27" i="15"/>
  <c r="X27" i="15" s="1"/>
  <c r="J30" i="18"/>
  <c r="K30" i="18" s="1"/>
  <c r="L22" i="18"/>
  <c r="L14" i="18"/>
  <c r="L6" i="18"/>
  <c r="L33" i="18"/>
  <c r="L25" i="18"/>
  <c r="L17" i="18"/>
  <c r="L24" i="18"/>
  <c r="X5" i="17"/>
  <c r="L11" i="18"/>
  <c r="L4" i="18"/>
  <c r="L15" i="18"/>
  <c r="W51" i="15"/>
  <c r="X51" i="15" s="1"/>
  <c r="L57" i="15"/>
  <c r="X57" i="15" s="1"/>
  <c r="X67" i="15"/>
  <c r="L68" i="15" s="1"/>
  <c r="W37" i="15"/>
  <c r="X37" i="15" s="1"/>
  <c r="W70" i="15"/>
  <c r="U68" i="15"/>
  <c r="L33" i="15"/>
  <c r="X33" i="15" s="1"/>
  <c r="L13" i="15"/>
  <c r="X13" i="15" s="1"/>
  <c r="J35" i="18" l="1"/>
  <c r="K35" i="18" s="1"/>
  <c r="X37" i="17"/>
  <c r="J71" i="15"/>
  <c r="U71" i="15"/>
  <c r="L30" i="18"/>
  <c r="V106" i="16"/>
  <c r="X70" i="15"/>
  <c r="L71" i="15" s="1"/>
  <c r="M68" i="15"/>
  <c r="I68" i="15"/>
  <c r="E68" i="15"/>
  <c r="Q68" i="15"/>
  <c r="H68" i="15"/>
  <c r="K68" i="15"/>
  <c r="F68" i="15"/>
  <c r="V68" i="15"/>
  <c r="T68" i="15"/>
  <c r="O68" i="15"/>
  <c r="D68" i="15"/>
  <c r="C68" i="15"/>
  <c r="S68" i="15"/>
  <c r="N68" i="15"/>
  <c r="P68" i="15"/>
  <c r="G68" i="15"/>
  <c r="B68" i="15"/>
  <c r="R68" i="15"/>
  <c r="W68" i="15"/>
  <c r="X68" i="15" s="1"/>
  <c r="L35" i="18" l="1"/>
  <c r="G71" i="15"/>
  <c r="M71" i="15"/>
  <c r="K71" i="15"/>
  <c r="Q71" i="15"/>
  <c r="N71" i="15"/>
  <c r="O71" i="15"/>
  <c r="E71" i="15"/>
  <c r="B71" i="15"/>
  <c r="R71" i="15"/>
  <c r="C71" i="15"/>
  <c r="S71" i="15"/>
  <c r="I71" i="15"/>
  <c r="F71" i="15"/>
  <c r="V71" i="15"/>
  <c r="H71" i="15"/>
  <c r="P71" i="15"/>
  <c r="D71" i="15"/>
  <c r="T71" i="15"/>
  <c r="W71" i="15"/>
  <c r="X71" i="15" s="1"/>
  <c r="Q15" i="9" l="1"/>
  <c r="A4" i="9" l="1"/>
  <c r="G39" i="1" l="1"/>
  <c r="F39" i="1"/>
  <c r="O39" i="1" l="1"/>
  <c r="E50" i="1" s="1"/>
  <c r="N39" i="1"/>
  <c r="A1" i="9" l="1"/>
  <c r="A9" i="9" l="1"/>
  <c r="A3" i="1" l="1"/>
  <c r="A1" i="14" s="1"/>
  <c r="A2" i="16" l="1"/>
  <c r="A1" i="17"/>
  <c r="A1" i="15"/>
  <c r="A10" i="9"/>
  <c r="A8" i="1"/>
  <c r="A5" i="18" l="1"/>
  <c r="A13" i="16"/>
  <c r="A6" i="17"/>
  <c r="A6" i="15"/>
  <c r="A9" i="1"/>
  <c r="A6" i="18" l="1"/>
  <c r="A16" i="16"/>
  <c r="A7" i="17"/>
  <c r="A8" i="15"/>
  <c r="A10" i="1"/>
  <c r="A19" i="16" l="1"/>
  <c r="A7" i="18"/>
  <c r="A8" i="17"/>
  <c r="A10" i="15"/>
  <c r="A11" i="1"/>
  <c r="A9" i="17" l="1"/>
  <c r="A12" i="15"/>
  <c r="A8" i="18"/>
  <c r="A22" i="16"/>
  <c r="A12" i="1"/>
  <c r="A9" i="18" l="1"/>
  <c r="A25" i="16"/>
  <c r="A10" i="17"/>
  <c r="A14" i="15"/>
  <c r="A13" i="1"/>
  <c r="A11" i="17" l="1"/>
  <c r="A16" i="15"/>
  <c r="A10" i="18"/>
  <c r="A28" i="16"/>
  <c r="A14" i="1"/>
  <c r="A31" i="16" l="1"/>
  <c r="A12" i="17"/>
  <c r="A18" i="15"/>
  <c r="A11" i="18"/>
  <c r="A15" i="1"/>
  <c r="A13" i="17" l="1"/>
  <c r="A20" i="15"/>
  <c r="A34" i="16"/>
  <c r="A12" i="18"/>
  <c r="A16" i="1"/>
  <c r="M39" i="1"/>
  <c r="E56" i="1" s="1"/>
  <c r="L39" i="1"/>
  <c r="A13" i="18" l="1"/>
  <c r="A37" i="16"/>
  <c r="A14" i="17"/>
  <c r="A22" i="15"/>
  <c r="A17" i="1"/>
  <c r="A40" i="16" l="1"/>
  <c r="A15" i="17"/>
  <c r="A24" i="15"/>
  <c r="A14" i="18"/>
  <c r="A18" i="1"/>
  <c r="A43" i="16" l="1"/>
  <c r="A15" i="18"/>
  <c r="A16" i="17"/>
  <c r="A26" i="15"/>
  <c r="A19" i="1"/>
  <c r="Q39" i="1"/>
  <c r="E39" i="1"/>
  <c r="D39" i="1"/>
  <c r="C39" i="1"/>
  <c r="H39" i="1"/>
  <c r="I39" i="1"/>
  <c r="E52" i="1" s="1"/>
  <c r="J39" i="1"/>
  <c r="K39" i="1"/>
  <c r="E54" i="1" s="1"/>
  <c r="P39" i="1"/>
  <c r="B39" i="1"/>
  <c r="A17" i="17" l="1"/>
  <c r="A28" i="15"/>
  <c r="A16" i="18"/>
  <c r="A46" i="16"/>
  <c r="A20" i="1"/>
  <c r="A17" i="18" l="1"/>
  <c r="A49" i="16"/>
  <c r="A18" i="17"/>
  <c r="A30" i="15"/>
  <c r="A21" i="1"/>
  <c r="A19" i="17" l="1"/>
  <c r="A32" i="15"/>
  <c r="A18" i="18"/>
  <c r="A52" i="16"/>
  <c r="A22" i="1"/>
  <c r="A55" i="16" l="1"/>
  <c r="A20" i="17"/>
  <c r="A34" i="15"/>
  <c r="A19" i="18"/>
  <c r="A23" i="1"/>
  <c r="A21" i="17" l="1"/>
  <c r="A36" i="15"/>
  <c r="A58" i="16"/>
  <c r="A20" i="18"/>
  <c r="A24" i="1"/>
  <c r="A21" i="18" l="1"/>
  <c r="A61" i="16"/>
  <c r="A22" i="17"/>
  <c r="A38" i="15"/>
  <c r="A25" i="1"/>
  <c r="A64" i="16" l="1"/>
  <c r="A23" i="17"/>
  <c r="A40" i="15"/>
  <c r="A22" i="18"/>
  <c r="A26" i="1"/>
  <c r="A67" i="16" l="1"/>
  <c r="A23" i="18"/>
  <c r="A24" i="17"/>
  <c r="A42" i="15"/>
  <c r="A27" i="1"/>
  <c r="A25" i="17" l="1"/>
  <c r="A44" i="15"/>
  <c r="A24" i="18"/>
  <c r="A70" i="16"/>
  <c r="A28" i="1"/>
  <c r="A25" i="18" l="1"/>
  <c r="A73" i="16"/>
  <c r="A26" i="17"/>
  <c r="A46" i="15"/>
  <c r="A29" i="1"/>
  <c r="A48" i="15" l="1"/>
  <c r="A26" i="18"/>
  <c r="A76" i="16"/>
  <c r="A27" i="17"/>
  <c r="A30" i="1"/>
  <c r="A79" i="16" l="1"/>
  <c r="A28" i="17"/>
  <c r="A50" i="15"/>
  <c r="A27" i="18"/>
  <c r="A31" i="1"/>
  <c r="A29" i="17" l="1"/>
  <c r="A52" i="15"/>
  <c r="A82" i="16"/>
  <c r="A28" i="18"/>
  <c r="A32" i="1"/>
  <c r="A29" i="18" l="1"/>
  <c r="A85" i="16"/>
  <c r="A30" i="17"/>
  <c r="A54" i="15"/>
  <c r="A33" i="1"/>
  <c r="A31" i="17" l="1"/>
  <c r="A88" i="16"/>
  <c r="A56" i="15"/>
  <c r="A30" i="18"/>
  <c r="A34" i="1"/>
  <c r="A91" i="16" l="1"/>
  <c r="A31" i="18"/>
  <c r="A32" i="17"/>
  <c r="A58" i="15"/>
  <c r="A35" i="1"/>
  <c r="A33" i="17" l="1"/>
  <c r="A60" i="15"/>
  <c r="A32" i="18"/>
  <c r="A94" i="16"/>
  <c r="A36" i="1"/>
  <c r="A33" i="18" l="1"/>
  <c r="A97" i="16"/>
  <c r="A34" i="17"/>
  <c r="A62" i="15"/>
  <c r="A37" i="1"/>
  <c r="A64" i="15" l="1"/>
  <c r="A34" i="18"/>
  <c r="A100" i="16"/>
  <c r="A35" i="17"/>
  <c r="S39" i="1"/>
  <c r="U39" i="1"/>
  <c r="T39" i="1"/>
  <c r="E46" i="1" l="1"/>
  <c r="E47" i="1" s="1"/>
  <c r="V39" i="1"/>
  <c r="E48" i="1" l="1"/>
  <c r="P15" i="9" l="1"/>
  <c r="L15" i="9"/>
  <c r="F15" i="9"/>
  <c r="E15" i="9" l="1"/>
  <c r="G15" i="9" l="1"/>
  <c r="B5" i="9" l="1"/>
  <c r="C15" i="9" l="1"/>
  <c r="D15" i="9" l="1"/>
  <c r="F5" i="9"/>
  <c r="B15" i="9" l="1"/>
  <c r="K15" i="9" l="1"/>
  <c r="J15" i="9" l="1"/>
  <c r="B21" i="9"/>
  <c r="G5" i="9"/>
  <c r="I6" i="9" s="1"/>
  <c r="S15" i="9" l="1"/>
  <c r="B22" i="9" s="1"/>
  <c r="B23" i="9" s="1"/>
</calcChain>
</file>

<file path=xl/comments1.xml><?xml version="1.0" encoding="utf-8"?>
<comments xmlns="http://schemas.openxmlformats.org/spreadsheetml/2006/main">
  <authors>
    <author>Ilker Yurtlu</author>
    <author>Melek Onen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162"/>
          </rPr>
          <t>Ilker Yurtlu:</t>
        </r>
        <r>
          <rPr>
            <sz val="9"/>
            <color indexed="81"/>
            <rFont val="Tahoma"/>
            <family val="2"/>
            <charset val="162"/>
          </rPr>
          <t xml:space="preserve">
Tarifeye göre 10 dak.da yapılan ücretsiz çıkışlar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162"/>
          </rPr>
          <t>Melek Onen:</t>
        </r>
        <r>
          <rPr>
            <sz val="9"/>
            <color indexed="81"/>
            <rFont val="Tahoma"/>
            <family val="2"/>
            <charset val="162"/>
          </rPr>
          <t xml:space="preserve">
Manual Açılış Toplamları. Tav Passport ve E-fatura açılışları eklenmeyecek
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162"/>
          </rPr>
          <t>Melek Onen:</t>
        </r>
        <r>
          <rPr>
            <sz val="9"/>
            <color indexed="81"/>
            <rFont val="Tahoma"/>
            <family val="2"/>
            <charset val="162"/>
          </rPr>
          <t xml:space="preserve">
Müşteriler &gt; Park aktiviteleri &gt; Hepsi, tarih aralığı seç, SAĞDAN SADECE ÇIKIŞ SEÇ
 Freepass ları say</t>
        </r>
      </text>
    </comment>
  </commentList>
</comments>
</file>

<file path=xl/sharedStrings.xml><?xml version="1.0" encoding="utf-8"?>
<sst xmlns="http://schemas.openxmlformats.org/spreadsheetml/2006/main" count="465" uniqueCount="192">
  <si>
    <t>TÜM KASALARA GÖRE ÖDEME DETAYLARI</t>
  </si>
  <si>
    <t>TARİH</t>
  </si>
  <si>
    <t>TOPLAM</t>
  </si>
  <si>
    <t>ABONE HARİCİ</t>
  </si>
  <si>
    <t>TOTAL</t>
  </si>
  <si>
    <t>Total Hasılat</t>
  </si>
  <si>
    <t>ABONE HARİCİ  GELİR</t>
  </si>
  <si>
    <t>Günlük Ortalama</t>
  </si>
  <si>
    <t>BİLETLİ</t>
  </si>
  <si>
    <t>ABONE KARTI</t>
  </si>
  <si>
    <t>MANUEL ÇIKIŞ</t>
  </si>
  <si>
    <t>GİRİŞ</t>
  </si>
  <si>
    <t>ÇIKIŞ</t>
  </si>
  <si>
    <t>HRK %</t>
  </si>
  <si>
    <t>Temmuz</t>
  </si>
  <si>
    <t>Ağustos</t>
  </si>
  <si>
    <t>Eylül</t>
  </si>
  <si>
    <t>Ekim</t>
  </si>
  <si>
    <t>Kasım</t>
  </si>
  <si>
    <t>Aralık</t>
  </si>
  <si>
    <t>Total</t>
  </si>
  <si>
    <t>Abonelik Türü</t>
  </si>
  <si>
    <t>Abonelik Bedeli</t>
  </si>
  <si>
    <t>Toplam Sayısı</t>
  </si>
  <si>
    <t>Toplam Bedeli</t>
  </si>
  <si>
    <t>RENT A CAR</t>
  </si>
  <si>
    <t>GENEL TOPLAM</t>
  </si>
  <si>
    <t>0-1 Saat</t>
  </si>
  <si>
    <t>1-3 Saat</t>
  </si>
  <si>
    <t>3-6 Saat</t>
  </si>
  <si>
    <t>6-12 Saat</t>
  </si>
  <si>
    <t>12-24 Saat</t>
  </si>
  <si>
    <t>Şubat</t>
  </si>
  <si>
    <t>Mart</t>
  </si>
  <si>
    <t>Nisan</t>
  </si>
  <si>
    <t>Mayıs</t>
  </si>
  <si>
    <t>Haziran</t>
  </si>
  <si>
    <t>TOPLAM
ABONE</t>
  </si>
  <si>
    <t>KREDİ KARTI ÖDEMELERİ</t>
  </si>
  <si>
    <t>-</t>
  </si>
  <si>
    <t>KART BEDELİ</t>
  </si>
  <si>
    <t>NAKİT</t>
  </si>
  <si>
    <t>FATURA</t>
  </si>
  <si>
    <t>NAKİT FATURA</t>
  </si>
  <si>
    <t>KREDİ KARTI                           FATURA</t>
  </si>
  <si>
    <t>KREDİ KARTI FATURA</t>
  </si>
  <si>
    <t xml:space="preserve"> </t>
  </si>
  <si>
    <t>KONTROL</t>
  </si>
  <si>
    <t>GELİRLER TL</t>
  </si>
  <si>
    <t>TL</t>
  </si>
  <si>
    <t>0-1 saat</t>
  </si>
  <si>
    <t>1-3 saat</t>
  </si>
  <si>
    <t>3-6 saat</t>
  </si>
  <si>
    <t>6-12 saat</t>
  </si>
  <si>
    <t>12-24 saat</t>
  </si>
  <si>
    <t>24 + saat</t>
  </si>
  <si>
    <t>AÇIKLAMA</t>
  </si>
  <si>
    <t>KDV 'siz</t>
  </si>
  <si>
    <t>KDV 'li</t>
  </si>
  <si>
    <t>KDV 'li TOTAL</t>
  </si>
  <si>
    <t>KDV 'siz TOTAL</t>
  </si>
  <si>
    <t>Araç SAYISI TOT.</t>
  </si>
  <si>
    <t>ÖZEL TARİFE</t>
  </si>
  <si>
    <t>TOPLAM ABONE</t>
  </si>
  <si>
    <t>TOPLAM TUTAR</t>
  </si>
  <si>
    <t>ABONE TUTAR</t>
  </si>
  <si>
    <t>TAV CARD</t>
  </si>
  <si>
    <t>Ocak</t>
  </si>
  <si>
    <t>ÜCRETSİZ</t>
  </si>
  <si>
    <t>ÜCRETLİ YÜZDE</t>
  </si>
  <si>
    <t>ÜCRETSİZ YÜZDE</t>
  </si>
  <si>
    <t>K.KART TUTARI</t>
  </si>
  <si>
    <t>1 Gün</t>
  </si>
  <si>
    <t>2 Gün</t>
  </si>
  <si>
    <t>3 Gün</t>
  </si>
  <si>
    <t>4 Gün</t>
  </si>
  <si>
    <t>5 Gün (+)</t>
  </si>
  <si>
    <t>ORTALAMA</t>
  </si>
  <si>
    <t>TALPA</t>
  </si>
  <si>
    <t>ÜCRETLİ ABONE</t>
  </si>
  <si>
    <t>BİLETSİZ ÇIKIŞ
 TOPLAM</t>
  </si>
  <si>
    <t>BİLETLİ ÇIKIŞ TOPLAM</t>
  </si>
  <si>
    <t>ÜCRETSİZ TOPLAM</t>
  </si>
  <si>
    <t>ÜCRETLİ TOPLAM</t>
  </si>
  <si>
    <t>TOPLAM ÇIKIŞ</t>
  </si>
  <si>
    <t>MANUEL BARİYER AÇMA</t>
  </si>
  <si>
    <t>FREE PASS</t>
  </si>
  <si>
    <t>ABONE</t>
  </si>
  <si>
    <t>ÇKŞ 2</t>
  </si>
  <si>
    <t>HAVALE/CARİ                          FATURA</t>
  </si>
  <si>
    <t>HAVALE/CARİ FATURA</t>
  </si>
  <si>
    <t>TRANSİT ÇIKIŞ</t>
  </si>
  <si>
    <t>PERSONEL ABN.</t>
  </si>
  <si>
    <t>TÜM MEY. KART.</t>
  </si>
  <si>
    <t>ÇIKIŞ 1</t>
  </si>
  <si>
    <t>ABONE K.KARTI</t>
  </si>
  <si>
    <t>K.K ÖDEMELERİ</t>
  </si>
  <si>
    <t>1 AYLIK OTO. KAMP.</t>
  </si>
  <si>
    <t>UZUN SÜRE OTO. KAMP.</t>
  </si>
  <si>
    <t>KISA SÜR. ABONE TUT</t>
  </si>
  <si>
    <t>TAV</t>
  </si>
  <si>
    <t>SN</t>
  </si>
  <si>
    <t xml:space="preserve">TARİH </t>
  </si>
  <si>
    <t>SAAT</t>
  </si>
  <si>
    <t>BARİYER NO</t>
  </si>
  <si>
    <t>FİŞ NO</t>
  </si>
  <si>
    <t>BİLET NO</t>
  </si>
  <si>
    <t>TUTAR</t>
  </si>
  <si>
    <t>İŞLEM</t>
  </si>
  <si>
    <t>BİLGİ İŞLEM MEMURU</t>
  </si>
  <si>
    <t>ZORUNLU</t>
  </si>
  <si>
    <t>MRK</t>
  </si>
  <si>
    <t>ERCAN AŞICI</t>
  </si>
  <si>
    <t>KAYIP</t>
  </si>
  <si>
    <t>ÇKŞ 1</t>
  </si>
  <si>
    <t>HAYRETTİN GÖNÜL</t>
  </si>
  <si>
    <t>BİLET ÜRET.</t>
  </si>
  <si>
    <t>MUSTAFA ERTUĞRUL</t>
  </si>
  <si>
    <t>YENİ BİLET (CONG.)</t>
  </si>
  <si>
    <t>ÇKŞ 3</t>
  </si>
  <si>
    <t>NURHAYAT UĞURLU</t>
  </si>
  <si>
    <t>GBUS</t>
  </si>
  <si>
    <t>ONUR ÜZÜLMEZ</t>
  </si>
  <si>
    <t>KBUS</t>
  </si>
  <si>
    <t>SEVAL AYDEMİR</t>
  </si>
  <si>
    <t>CIP</t>
  </si>
  <si>
    <t>SONER DERE</t>
  </si>
  <si>
    <t>DIŞHAT MOBO</t>
  </si>
  <si>
    <t>ARAÇ</t>
  </si>
  <si>
    <t>OTOBÜS</t>
  </si>
  <si>
    <t>OTOBÜS OTOPARKI</t>
  </si>
  <si>
    <t>ARAÇ ve OTOBÜS KAYIP + ARIZALI</t>
  </si>
  <si>
    <t>PERSONEL</t>
  </si>
  <si>
    <t>15 GÜN CONG.</t>
  </si>
  <si>
    <t>30 GÜN CONG.</t>
  </si>
  <si>
    <t>15 GÜN MİNİBÜS</t>
  </si>
  <si>
    <t>30 GÜN MİNİBÜS TEK ÇIKIŞ</t>
  </si>
  <si>
    <t>1 AYLIK MİNİBÜS ÇOKLU ÇKŞ.</t>
  </si>
  <si>
    <t>15 GÜN OTOBÜS</t>
  </si>
  <si>
    <t>1 AYLIK OTOBÜS TEK ÇIKIŞ</t>
  </si>
  <si>
    <t xml:space="preserve">1 AYLIK OTOBÜS </t>
  </si>
  <si>
    <t>MİNİBÜS</t>
  </si>
  <si>
    <t xml:space="preserve">KAYIP BİLET PTS'DEN TEYİT EDİLDİ </t>
  </si>
  <si>
    <t xml:space="preserve">UTKU </t>
  </si>
  <si>
    <t xml:space="preserve">MOTORA ALINAN BİLET </t>
  </si>
  <si>
    <t>MERT</t>
  </si>
  <si>
    <t>21294 NOLU ABONE SÜRE AŞIMINA İSTİNADEN ÜRETİLMİŞTİR.</t>
  </si>
  <si>
    <t xml:space="preserve">KAYIP BİLET TVP'DEN ÜRETİLDİ </t>
  </si>
  <si>
    <t xml:space="preserve">BURCU </t>
  </si>
  <si>
    <t>11776 NOLU ABONE SÜRE AŞIMINA İSTİNADEN ÜRETİLMİŞTİR.</t>
  </si>
  <si>
    <t>BATUHAN</t>
  </si>
  <si>
    <t>TVLP'DEN BİLET ÜRETİLDİ, MAKİNA HATASINDAN DOLAYI BİLET VERMEDİ.</t>
  </si>
  <si>
    <t>ZORUNLU MOTOR ÜCRETİ ÜRETİLDİ, MAKİNA HATASINDAN DOLAYI BİLET VERMEDİ.</t>
  </si>
  <si>
    <t>MOTOR ÜCRETİ İÇİN ÜRETİLDİ.</t>
  </si>
  <si>
    <t>14154 NOLU ABONE SÜRE AŞIMINA İSTİNADEN ÜRETİLMİŞTİR.</t>
  </si>
  <si>
    <t>1114 NOLU ABONE SÜRE AŞIMINA İSTİNADEN ÜRETİLMİŞTİR.</t>
  </si>
  <si>
    <t>48AGB160 PLAKALI ABONE SÜRE AŞIMINA İSTİNADEN ÜRETİLMİŞTİR.</t>
  </si>
  <si>
    <t>31YF028 PLAKALI ABONE SÜRE AŞIMINA İSTİNADEN ÜRETİLMİŞTİR.</t>
  </si>
  <si>
    <t>2447 NOLU ABONE SÜRE AŞIMINA İSTİNADEN ÜRETİLMİŞTİR.</t>
  </si>
  <si>
    <t>20AHM261 PLAKALI ABONE SÜRE AŞIMINA İSTİNADEN ÜRETİLMİŞTİR.</t>
  </si>
  <si>
    <t>14.14</t>
  </si>
  <si>
    <t>LOTİ KAYIP BİLEET TLVP DEN ÜRETİLDİ</t>
  </si>
  <si>
    <t>MERVE</t>
  </si>
  <si>
    <t>17.55</t>
  </si>
  <si>
    <t>ARAÇ 30 GÜN CONG</t>
  </si>
  <si>
    <t>CEM</t>
  </si>
  <si>
    <t>1 AYLIK ZORUNLU CONG ÜCRETİ</t>
  </si>
  <si>
    <t>KAYIP  BİLET TVLP'DEN ÜRETİLDİ.</t>
  </si>
  <si>
    <t xml:space="preserve">KAYIP BİLET TVLP'DEN ÜRETİLDİ </t>
  </si>
  <si>
    <t>1 AYLIK CONG + 3 GÜN ÜCRETİ</t>
  </si>
  <si>
    <t>EMİR</t>
  </si>
  <si>
    <t>21.00</t>
  </si>
  <si>
    <t>ARAC 15 GÜN CONG</t>
  </si>
  <si>
    <t>23.23</t>
  </si>
  <si>
    <t>ARAC 1 AYLIK CONG ÜCRETİ.</t>
  </si>
  <si>
    <t>34AET50  PLAKALI ABONE SÜRE AŞIMINA İSTİNADEN ÜRETİLMİŞTİR.</t>
  </si>
  <si>
    <t>CONG 15 GÜNLÜK ABONELİĞE İSTİNADEN ÜRETİLMİŞTİR.</t>
  </si>
  <si>
    <t>4194 NOLU ABONE SÜRE AŞIMINA İSTİNADEN ÜRETİLDİ.</t>
  </si>
  <si>
    <t>15 GÜNLKÜK ZORUNLU CONG ÜCRETİ, MAKİNA HATASINDAN DOLAYI TERMİNAL GÖZ DEĞİŞTİRİLDİ.</t>
  </si>
  <si>
    <t>15 GÜNLÜK ZORUNLU CONG ÜCRETİ.</t>
  </si>
  <si>
    <t>1 AYLIK CONG ÜCRETİ</t>
  </si>
  <si>
    <t>20.50</t>
  </si>
  <si>
    <t>KAYIP BİLET PTS'DEN TEYİT EDİLDİ .</t>
  </si>
  <si>
    <t>KAYIP BİLET TVLP'DEN ÜRETİLDİ .</t>
  </si>
  <si>
    <t xml:space="preserve">20367  NOLU ABONE SÜRE AŞIMINA İSTİNADEN ÜRETİLMİŞTİR </t>
  </si>
  <si>
    <t>ÇİFT GEÇİŞE İSTİNADEN ÜRETİLDİ.</t>
  </si>
  <si>
    <t>20.26</t>
  </si>
  <si>
    <t>PAPİ TURİZİM ABONE KARTI BLOKE KONULMASI NEDENİ İLE 100 LİRA NAKİT ALINMIŞTIR</t>
  </si>
  <si>
    <t>23.57</t>
  </si>
  <si>
    <t>0-1 SAAT MOTOSİKLET ÜCRETİ.</t>
  </si>
  <si>
    <t>0-1 SAAT ARAÇ ÜCRETİ. PTS' DEN TEYİT EDİLDİ.</t>
  </si>
  <si>
    <t>BARİYERİYERİN KIRILMASINA İSTİNADEN ÜRETİLDİ.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</si>
</sst>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_-* #,##0\ &quot;TL&quot;_-;\-* #,##0\ &quot;TL&quot;_-;_-* &quot;-&quot;\ &quot;TL&quot;_-;_-@_-"/>
    <numFmt numFmtId="165" formatCode="_-* #,##0\ _T_L_-;\-* #,##0\ _T_L_-;_-* &quot;-&quot;\ _T_L_-;_-@_-"/>
    <numFmt numFmtId="166" formatCode="#,##0.00\ &quot;YTL&quot;;\-#,##0.00\ &quot;YTL&quot;"/>
    <numFmt numFmtId="167" formatCode="_-* #,##0\ &quot;YTL&quot;_-;\-* #,##0\ &quot;YTL&quot;_-;_-* &quot;-&quot;\ &quot;YTL&quot;_-;_-@_-"/>
    <numFmt numFmtId="168" formatCode="[$-41F]d\ mmmm\ yy;@"/>
    <numFmt numFmtId="169" formatCode="000,000"/>
    <numFmt numFmtId="170" formatCode="#,##0.00;[Red]#,##0.00"/>
    <numFmt numFmtId="171" formatCode="#,##0.00_ ;\-#,##0.00\ "/>
    <numFmt numFmtId="172" formatCode="#,##0;[Red]#,##0"/>
    <numFmt numFmtId="173" formatCode="#,##0_ ;\-#,##0\ "/>
    <numFmt numFmtId="174" formatCode="#,##0.00\ &quot;YTL&quot;;[Red]#,##0.00\ &quot;YTL&quot;"/>
    <numFmt numFmtId="175" formatCode="0.00\ \T\L"/>
    <numFmt numFmtId="176" formatCode="#,##0.00\ [$TL-41F];[Red]#,##0.00\ [$TL-41F]"/>
    <numFmt numFmtId="177" formatCode="#,##0.00\ [$TL-41F]"/>
    <numFmt numFmtId="178" formatCode="#,##0.00\ [$TL-41F];[Red]\-#,##0.00\ [$TL-41F]"/>
    <numFmt numFmtId="179" formatCode="0.0000"/>
    <numFmt numFmtId="180" formatCode="#,##0.00\ &quot;₺&quot;"/>
    <numFmt numFmtId="181" formatCode="[$-41F]dd\ mmmm\ yy;@"/>
    <numFmt numFmtId="182" formatCode="yyyy"/>
  </numFmts>
  <fonts count="9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4"/>
      <color indexed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0"/>
      <name val="Arial"/>
      <family val="2"/>
      <charset val="162"/>
    </font>
    <font>
      <b/>
      <sz val="11"/>
      <name val="Arial"/>
      <family val="2"/>
      <charset val="162"/>
    </font>
    <font>
      <b/>
      <sz val="15"/>
      <color indexed="10"/>
      <name val="Arial"/>
      <family val="2"/>
      <charset val="162"/>
    </font>
    <font>
      <b/>
      <i/>
      <sz val="12"/>
      <name val="Arial"/>
      <family val="2"/>
      <charset val="162"/>
    </font>
    <font>
      <b/>
      <i/>
      <sz val="11"/>
      <name val="Arial"/>
      <family val="2"/>
      <charset val="162"/>
    </font>
    <font>
      <b/>
      <sz val="12"/>
      <name val="Arial"/>
      <family val="2"/>
      <charset val="162"/>
    </font>
    <font>
      <sz val="11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  <charset val="162"/>
    </font>
    <font>
      <sz val="8"/>
      <color indexed="8"/>
      <name val="Calibri"/>
      <family val="2"/>
    </font>
    <font>
      <sz val="7"/>
      <color indexed="8"/>
      <name val="Calibri"/>
      <family val="2"/>
    </font>
    <font>
      <b/>
      <sz val="10"/>
      <color indexed="8"/>
      <name val="Calibri"/>
      <family val="2"/>
      <charset val="162"/>
    </font>
    <font>
      <b/>
      <sz val="10"/>
      <name val="Calibri"/>
      <family val="2"/>
      <charset val="162"/>
    </font>
    <font>
      <sz val="7"/>
      <name val="Arial"/>
      <family val="2"/>
      <charset val="162"/>
    </font>
    <font>
      <b/>
      <sz val="9"/>
      <name val="Arial"/>
      <family val="2"/>
      <charset val="162"/>
    </font>
    <font>
      <b/>
      <sz val="9"/>
      <color indexed="8"/>
      <name val="Calibri"/>
      <family val="2"/>
      <charset val="162"/>
    </font>
    <font>
      <sz val="9"/>
      <color indexed="8"/>
      <name val="Calibri"/>
      <family val="2"/>
      <charset val="162"/>
    </font>
    <font>
      <b/>
      <sz val="8"/>
      <name val="Arial"/>
      <family val="2"/>
      <charset val="162"/>
    </font>
    <font>
      <sz val="8"/>
      <color indexed="10"/>
      <name val="Calibri"/>
      <family val="2"/>
    </font>
    <font>
      <b/>
      <sz val="8"/>
      <color indexed="8"/>
      <name val="Calibri"/>
      <family val="2"/>
      <charset val="162"/>
    </font>
    <font>
      <b/>
      <sz val="8"/>
      <color indexed="10"/>
      <name val="Calibri"/>
      <family val="2"/>
      <charset val="162"/>
    </font>
    <font>
      <b/>
      <sz val="7"/>
      <name val="Arial"/>
      <family val="2"/>
      <charset val="162"/>
    </font>
    <font>
      <b/>
      <sz val="7"/>
      <color indexed="10"/>
      <name val="Arial"/>
      <family val="2"/>
      <charset val="162"/>
    </font>
    <font>
      <b/>
      <sz val="8"/>
      <color indexed="10"/>
      <name val="Calibri"/>
      <family val="2"/>
    </font>
    <font>
      <b/>
      <sz val="8"/>
      <color indexed="62"/>
      <name val="Calibri"/>
      <family val="2"/>
      <charset val="162"/>
    </font>
    <font>
      <sz val="8"/>
      <color indexed="62"/>
      <name val="Calibri"/>
      <family val="2"/>
    </font>
    <font>
      <b/>
      <sz val="7"/>
      <color indexed="62"/>
      <name val="Arial"/>
      <family val="2"/>
      <charset val="162"/>
    </font>
    <font>
      <b/>
      <sz val="8"/>
      <name val="Calibri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8"/>
      <color indexed="9"/>
      <name val="Calibri"/>
      <family val="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b/>
      <sz val="11"/>
      <color theme="0"/>
      <name val="Tahoma"/>
      <family val="2"/>
      <charset val="162"/>
    </font>
    <font>
      <b/>
      <sz val="10"/>
      <color theme="1"/>
      <name val="Tahoma"/>
      <family val="2"/>
      <charset val="162"/>
    </font>
    <font>
      <b/>
      <sz val="9"/>
      <name val="Tahoma"/>
      <family val="2"/>
      <charset val="162"/>
    </font>
    <font>
      <sz val="10"/>
      <color theme="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16"/>
      <color indexed="10"/>
      <name val="Tahoma"/>
      <family val="2"/>
      <charset val="162"/>
    </font>
    <font>
      <sz val="12"/>
      <name val="Tahoma"/>
      <family val="2"/>
      <charset val="162"/>
    </font>
    <font>
      <b/>
      <sz val="12"/>
      <color indexed="10"/>
      <name val="Tahoma"/>
      <family val="2"/>
      <charset val="162"/>
    </font>
    <font>
      <b/>
      <sz val="16"/>
      <name val="Tahoma"/>
      <family val="2"/>
      <charset val="162"/>
    </font>
    <font>
      <b/>
      <sz val="12"/>
      <name val="Tahoma"/>
      <family val="2"/>
      <charset val="162"/>
    </font>
    <font>
      <i/>
      <sz val="12"/>
      <name val="Tahoma"/>
      <family val="2"/>
      <charset val="162"/>
    </font>
    <font>
      <b/>
      <i/>
      <sz val="12"/>
      <name val="Tahoma"/>
      <family val="2"/>
      <charset val="162"/>
    </font>
    <font>
      <b/>
      <i/>
      <sz val="12"/>
      <color indexed="10"/>
      <name val="Tahoma"/>
      <family val="2"/>
      <charset val="162"/>
    </font>
    <font>
      <b/>
      <sz val="14"/>
      <color indexed="10"/>
      <name val="Tahoma"/>
      <family val="2"/>
      <charset val="162"/>
    </font>
    <font>
      <sz val="12"/>
      <color indexed="9"/>
      <name val="Tahoma"/>
      <family val="2"/>
      <charset val="162"/>
    </font>
    <font>
      <sz val="14"/>
      <name val="Tahoma"/>
      <family val="2"/>
      <charset val="162"/>
    </font>
    <font>
      <b/>
      <sz val="14"/>
      <name val="Tahoma"/>
      <family val="2"/>
      <charset val="162"/>
    </font>
    <font>
      <b/>
      <i/>
      <sz val="14"/>
      <name val="Tahoma"/>
      <family val="2"/>
      <charset val="162"/>
    </font>
    <font>
      <b/>
      <i/>
      <sz val="14"/>
      <color indexed="10"/>
      <name val="Tahoma"/>
      <family val="2"/>
      <charset val="162"/>
    </font>
    <font>
      <b/>
      <sz val="14"/>
      <color rgb="FFC00000"/>
      <name val="Arial"/>
      <family val="2"/>
      <charset val="162"/>
    </font>
    <font>
      <sz val="11"/>
      <color theme="0"/>
      <name val="Arial"/>
      <family val="2"/>
    </font>
    <font>
      <sz val="8"/>
      <color theme="0"/>
      <name val="Calibri"/>
      <family val="2"/>
    </font>
    <font>
      <b/>
      <sz val="10"/>
      <color theme="0"/>
      <name val="Calibri"/>
      <family val="2"/>
      <charset val="162"/>
    </font>
    <font>
      <b/>
      <sz val="14"/>
      <color theme="1"/>
      <name val="Tahoma"/>
      <family val="2"/>
      <charset val="162"/>
    </font>
    <font>
      <sz val="11"/>
      <color theme="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color theme="0"/>
      <name val="Calibri"/>
      <family val="2"/>
      <charset val="162"/>
      <scheme val="minor"/>
    </font>
    <font>
      <sz val="7.5"/>
      <color rgb="FFFF0000"/>
      <name val="Arial"/>
      <family val="2"/>
      <charset val="162"/>
    </font>
    <font>
      <sz val="8"/>
      <color rgb="FFFF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F0B0"/>
        <bgColor indexed="64"/>
      </patternFill>
    </fill>
    <fill>
      <patternFill patternType="solid">
        <fgColor theme="7" tint="0.39997558519241921"/>
        <bgColor indexed="64"/>
      </patternFill>
    </fill>
  </fills>
  <borders count="144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ck">
        <color indexed="23"/>
      </left>
      <right style="thin">
        <color indexed="55"/>
      </right>
      <top style="thick">
        <color indexed="23"/>
      </top>
      <bottom style="dotted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23"/>
      </top>
      <bottom style="dotted">
        <color indexed="55"/>
      </bottom>
      <diagonal/>
    </border>
    <border>
      <left style="thin">
        <color indexed="55"/>
      </left>
      <right style="thick">
        <color indexed="23"/>
      </right>
      <top style="thick">
        <color indexed="23"/>
      </top>
      <bottom style="dotted">
        <color indexed="55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thin">
        <color indexed="55"/>
      </bottom>
      <diagonal/>
    </border>
    <border>
      <left style="thick">
        <color indexed="23"/>
      </left>
      <right style="thin">
        <color indexed="23"/>
      </right>
      <top style="dotted">
        <color indexed="55"/>
      </top>
      <bottom style="medium">
        <color indexed="55"/>
      </bottom>
      <diagonal/>
    </border>
    <border>
      <left style="thin">
        <color indexed="23"/>
      </left>
      <right style="thin">
        <color indexed="23"/>
      </right>
      <top style="dotted">
        <color indexed="55"/>
      </top>
      <bottom style="medium">
        <color indexed="55"/>
      </bottom>
      <diagonal/>
    </border>
    <border>
      <left style="thick">
        <color indexed="55"/>
      </left>
      <right style="thick">
        <color indexed="55"/>
      </right>
      <top style="thin">
        <color indexed="55"/>
      </top>
      <bottom style="thick">
        <color indexed="55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thick">
        <color indexed="55"/>
      </bottom>
      <diagonal/>
    </border>
    <border>
      <left style="thick">
        <color indexed="55"/>
      </left>
      <right style="thick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thin">
        <color indexed="55"/>
      </left>
      <right style="thick">
        <color indexed="23"/>
      </right>
      <top style="dotted">
        <color indexed="55"/>
      </top>
      <bottom style="dotted">
        <color indexed="55"/>
      </bottom>
      <diagonal/>
    </border>
    <border>
      <left style="thick">
        <color indexed="23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thin">
        <color indexed="55"/>
      </left>
      <right style="thick">
        <color indexed="23"/>
      </right>
      <top style="thick">
        <color indexed="55"/>
      </top>
      <bottom style="dotted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55"/>
      </left>
      <right style="thin">
        <color indexed="55"/>
      </right>
      <top style="thick">
        <color indexed="55"/>
      </top>
      <bottom style="dotted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55"/>
      </top>
      <bottom style="dotted">
        <color indexed="55"/>
      </bottom>
      <diagonal/>
    </border>
    <border>
      <left style="thick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thick">
        <color indexed="55"/>
      </left>
      <right style="thin">
        <color indexed="55"/>
      </right>
      <top style="dotted">
        <color indexed="55"/>
      </top>
      <bottom style="thick">
        <color indexed="55"/>
      </bottom>
      <diagonal/>
    </border>
    <border>
      <left/>
      <right style="thin">
        <color indexed="55"/>
      </right>
      <top style="dotted">
        <color indexed="55"/>
      </top>
      <bottom style="thick">
        <color indexed="55"/>
      </bottom>
      <diagonal/>
    </border>
    <border>
      <left style="thin">
        <color indexed="55"/>
      </left>
      <right style="thick">
        <color indexed="23"/>
      </right>
      <top style="dotted">
        <color indexed="55"/>
      </top>
      <bottom style="thick">
        <color indexed="55"/>
      </bottom>
      <diagonal/>
    </border>
    <border>
      <left style="thin">
        <color indexed="23"/>
      </left>
      <right style="thick">
        <color indexed="23"/>
      </right>
      <top style="dotted">
        <color indexed="55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 style="thick">
        <color indexed="55"/>
      </left>
      <right style="thick">
        <color indexed="55"/>
      </right>
      <top/>
      <bottom style="thick">
        <color indexed="55"/>
      </bottom>
      <diagonal/>
    </border>
    <border>
      <left style="thick">
        <color indexed="55"/>
      </left>
      <right style="thin">
        <color indexed="55"/>
      </right>
      <top style="thick">
        <color indexed="55"/>
      </top>
      <bottom/>
      <diagonal/>
    </border>
    <border>
      <left style="thick">
        <color indexed="55"/>
      </left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medium">
        <color indexed="55"/>
      </bottom>
      <diagonal/>
    </border>
    <border>
      <left style="thick">
        <color indexed="55"/>
      </left>
      <right style="thick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ck">
        <color indexed="55"/>
      </right>
      <top style="thick">
        <color indexed="55"/>
      </top>
      <bottom/>
      <diagonal/>
    </border>
    <border>
      <left style="thin">
        <color indexed="55"/>
      </left>
      <right style="thick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indexed="55"/>
      </left>
      <right/>
      <top style="thick">
        <color indexed="55"/>
      </top>
      <bottom style="thin">
        <color indexed="55"/>
      </bottom>
      <diagonal/>
    </border>
    <border>
      <left style="thick">
        <color indexed="55"/>
      </left>
      <right/>
      <top style="thin">
        <color indexed="55"/>
      </top>
      <bottom style="thin">
        <color indexed="55"/>
      </bottom>
      <diagonal/>
    </border>
    <border>
      <left style="thick">
        <color indexed="55"/>
      </left>
      <right/>
      <top style="thin">
        <color indexed="55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ck">
        <color indexed="23"/>
      </left>
      <right style="thin">
        <color indexed="23"/>
      </right>
      <top style="dotted">
        <color indexed="55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55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dotted">
        <color indexed="55"/>
      </top>
      <bottom style="thick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4">
    <xf numFmtId="0" fontId="0" fillId="0" borderId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5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9" borderId="0" applyNumberFormat="0" applyBorder="0" applyAlignment="0" applyProtection="0"/>
    <xf numFmtId="0" fontId="53" fillId="3" borderId="0" applyNumberFormat="0" applyBorder="0" applyAlignment="0" applyProtection="0"/>
    <xf numFmtId="0" fontId="50" fillId="20" borderId="5" applyNumberFormat="0" applyAlignment="0" applyProtection="0"/>
    <xf numFmtId="0" fontId="51" fillId="21" borderId="6" applyNumberFormat="0" applyAlignment="0" applyProtection="0"/>
    <xf numFmtId="0" fontId="42" fillId="0" borderId="0" applyNumberFormat="0" applyFill="0" applyBorder="0" applyAlignment="0" applyProtection="0"/>
    <xf numFmtId="0" fontId="52" fillId="4" borderId="0" applyNumberFormat="0" applyBorder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7" fillId="0" borderId="4" applyNumberFormat="0" applyFill="0" applyAlignment="0" applyProtection="0"/>
    <xf numFmtId="0" fontId="47" fillId="0" borderId="0" applyNumberFormat="0" applyFill="0" applyBorder="0" applyAlignment="0" applyProtection="0"/>
    <xf numFmtId="0" fontId="49" fillId="7" borderId="5" applyNumberFormat="0" applyAlignment="0" applyProtection="0"/>
    <xf numFmtId="0" fontId="44" fillId="0" borderId="1" applyNumberFormat="0" applyFill="0" applyAlignment="0" applyProtection="0"/>
    <xf numFmtId="0" fontId="54" fillId="22" borderId="0" applyNumberFormat="0" applyBorder="0" applyAlignment="0" applyProtection="0"/>
    <xf numFmtId="0" fontId="7" fillId="23" borderId="8" applyNumberFormat="0" applyFont="0" applyAlignment="0" applyProtection="0"/>
    <xf numFmtId="0" fontId="48" fillId="20" borderId="7" applyNumberFormat="0" applyAlignment="0" applyProtection="0"/>
    <xf numFmtId="0" fontId="43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4" fillId="0" borderId="0"/>
    <xf numFmtId="9" fontId="7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9" fontId="5" fillId="0" borderId="0" applyFont="0" applyFill="0" applyBorder="0" applyAlignment="0" applyProtection="0"/>
    <xf numFmtId="0" fontId="5" fillId="23" borderId="8" applyNumberFormat="0" applyFont="0" applyAlignment="0" applyProtection="0"/>
    <xf numFmtId="0" fontId="1" fillId="0" borderId="0"/>
    <xf numFmtId="0" fontId="1" fillId="0" borderId="0"/>
    <xf numFmtId="0" fontId="1" fillId="0" borderId="0"/>
  </cellStyleXfs>
  <cellXfs count="484">
    <xf numFmtId="0" fontId="0" fillId="0" borderId="0" xfId="0"/>
    <xf numFmtId="0" fontId="7" fillId="24" borderId="0" xfId="0" applyFont="1" applyFill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9" fontId="7" fillId="24" borderId="0" xfId="42" applyFont="1" applyFill="1" applyBorder="1" applyAlignment="1">
      <alignment horizontal="center" vertical="center"/>
    </xf>
    <xf numFmtId="9" fontId="7" fillId="24" borderId="0" xfId="0" applyNumberFormat="1" applyFont="1" applyFill="1" applyBorder="1" applyAlignment="1">
      <alignment horizontal="center" vertical="center"/>
    </xf>
    <xf numFmtId="166" fontId="7" fillId="24" borderId="0" xfId="0" applyNumberFormat="1" applyFont="1" applyFill="1" applyBorder="1" applyAlignment="1">
      <alignment horizontal="center" vertical="center"/>
    </xf>
    <xf numFmtId="167" fontId="7" fillId="24" borderId="0" xfId="0" applyNumberFormat="1" applyFont="1" applyFill="1" applyBorder="1" applyAlignment="1">
      <alignment horizontal="center" vertical="center"/>
    </xf>
    <xf numFmtId="0" fontId="7" fillId="24" borderId="0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167" fontId="7" fillId="24" borderId="0" xfId="0" applyNumberFormat="1" applyFont="1" applyFill="1" applyAlignment="1">
      <alignment horizontal="center" vertical="center"/>
    </xf>
    <xf numFmtId="166" fontId="7" fillId="24" borderId="0" xfId="0" applyNumberFormat="1" applyFont="1" applyFill="1" applyAlignment="1">
      <alignment horizontal="center" vertical="center"/>
    </xf>
    <xf numFmtId="166" fontId="10" fillId="24" borderId="0" xfId="0" applyNumberFormat="1" applyFont="1" applyFill="1" applyAlignment="1">
      <alignment horizontal="center" vertical="center"/>
    </xf>
    <xf numFmtId="166" fontId="10" fillId="24" borderId="0" xfId="0" applyNumberFormat="1" applyFont="1" applyFill="1" applyBorder="1" applyAlignment="1">
      <alignment horizontal="center" vertical="center"/>
    </xf>
    <xf numFmtId="166" fontId="8" fillId="24" borderId="0" xfId="0" applyNumberFormat="1" applyFont="1" applyFill="1" applyBorder="1" applyAlignment="1">
      <alignment horizontal="center" vertical="center"/>
    </xf>
    <xf numFmtId="165" fontId="7" fillId="24" borderId="0" xfId="0" applyNumberFormat="1" applyFont="1" applyFill="1" applyBorder="1" applyAlignment="1">
      <alignment horizontal="center" vertical="center"/>
    </xf>
    <xf numFmtId="172" fontId="7" fillId="24" borderId="32" xfId="0" applyNumberFormat="1" applyFont="1" applyFill="1" applyBorder="1" applyAlignment="1">
      <alignment horizontal="center" vertical="center"/>
    </xf>
    <xf numFmtId="172" fontId="7" fillId="24" borderId="46" xfId="0" applyNumberFormat="1" applyFont="1" applyFill="1" applyBorder="1" applyAlignment="1">
      <alignment horizontal="center" vertical="center"/>
    </xf>
    <xf numFmtId="175" fontId="7" fillId="24" borderId="0" xfId="0" applyNumberFormat="1" applyFont="1" applyFill="1" applyAlignment="1">
      <alignment horizontal="center" vertical="center"/>
    </xf>
    <xf numFmtId="2" fontId="7" fillId="24" borderId="0" xfId="0" applyNumberFormat="1" applyFont="1" applyFill="1" applyAlignment="1">
      <alignment horizontal="center" vertical="center"/>
    </xf>
    <xf numFmtId="0" fontId="7" fillId="0" borderId="32" xfId="0" applyNumberFormat="1" applyFont="1" applyFill="1" applyBorder="1" applyAlignment="1" applyProtection="1">
      <alignment horizontal="center" vertical="center"/>
      <protection locked="0"/>
    </xf>
    <xf numFmtId="170" fontId="7" fillId="0" borderId="45" xfId="0" applyNumberFormat="1" applyFont="1" applyFill="1" applyBorder="1" applyAlignment="1" applyProtection="1">
      <alignment vertical="center"/>
      <protection locked="0"/>
    </xf>
    <xf numFmtId="172" fontId="7" fillId="0" borderId="49" xfId="0" applyNumberFormat="1" applyFont="1" applyFill="1" applyBorder="1" applyAlignment="1" applyProtection="1">
      <alignment horizontal="center" vertical="center"/>
      <protection locked="0"/>
    </xf>
    <xf numFmtId="170" fontId="7" fillId="0" borderId="49" xfId="0" applyNumberFormat="1" applyFont="1" applyFill="1" applyBorder="1" applyAlignment="1" applyProtection="1">
      <alignment vertical="center"/>
      <protection locked="0"/>
    </xf>
    <xf numFmtId="170" fontId="7" fillId="0" borderId="45" xfId="0" applyNumberFormat="1" applyFont="1" applyBorder="1" applyAlignment="1" applyProtection="1">
      <alignment vertical="center"/>
      <protection locked="0"/>
    </xf>
    <xf numFmtId="1" fontId="7" fillId="0" borderId="32" xfId="0" applyNumberFormat="1" applyFont="1" applyBorder="1" applyAlignment="1" applyProtection="1">
      <alignment horizontal="center" vertical="center"/>
      <protection locked="0"/>
    </xf>
    <xf numFmtId="170" fontId="7" fillId="0" borderId="47" xfId="0" applyNumberFormat="1" applyFont="1" applyFill="1" applyBorder="1" applyAlignment="1" applyProtection="1">
      <alignment vertical="center"/>
      <protection locked="0"/>
    </xf>
    <xf numFmtId="0" fontId="7" fillId="0" borderId="46" xfId="0" applyNumberFormat="1" applyFont="1" applyFill="1" applyBorder="1" applyAlignment="1" applyProtection="1">
      <alignment horizontal="center" vertical="center"/>
      <protection locked="0"/>
    </xf>
    <xf numFmtId="172" fontId="7" fillId="0" borderId="51" xfId="0" applyNumberFormat="1" applyFont="1" applyFill="1" applyBorder="1" applyAlignment="1" applyProtection="1">
      <alignment horizontal="center" vertical="center"/>
      <protection locked="0"/>
    </xf>
    <xf numFmtId="170" fontId="7" fillId="0" borderId="51" xfId="0" applyNumberFormat="1" applyFont="1" applyFill="1" applyBorder="1" applyAlignment="1" applyProtection="1">
      <alignment vertical="center"/>
      <protection locked="0"/>
    </xf>
    <xf numFmtId="170" fontId="7" fillId="0" borderId="47" xfId="0" applyNumberFormat="1" applyFont="1" applyBorder="1" applyAlignment="1" applyProtection="1">
      <alignment vertical="center"/>
      <protection locked="0"/>
    </xf>
    <xf numFmtId="1" fontId="7" fillId="0" borderId="46" xfId="0" applyNumberFormat="1" applyFont="1" applyBorder="1" applyAlignment="1" applyProtection="1">
      <alignment horizontal="center" vertical="center"/>
      <protection locked="0"/>
    </xf>
    <xf numFmtId="1" fontId="7" fillId="0" borderId="46" xfId="0" applyNumberFormat="1" applyFont="1" applyFill="1" applyBorder="1" applyAlignment="1" applyProtection="1">
      <alignment horizontal="center" vertical="center"/>
      <protection locked="0"/>
    </xf>
    <xf numFmtId="0" fontId="7" fillId="24" borderId="32" xfId="0" applyNumberFormat="1" applyFont="1" applyFill="1" applyBorder="1" applyAlignment="1" applyProtection="1">
      <alignment horizontal="center" vertical="center"/>
      <protection locked="0"/>
    </xf>
    <xf numFmtId="171" fontId="7" fillId="0" borderId="48" xfId="0" applyNumberFormat="1" applyFont="1" applyBorder="1" applyAlignment="1" applyProtection="1">
      <alignment horizontal="right" vertical="center"/>
      <protection locked="0"/>
    </xf>
    <xf numFmtId="0" fontId="7" fillId="24" borderId="46" xfId="0" applyNumberFormat="1" applyFont="1" applyFill="1" applyBorder="1" applyAlignment="1" applyProtection="1">
      <alignment horizontal="center" vertical="center"/>
      <protection locked="0"/>
    </xf>
    <xf numFmtId="171" fontId="7" fillId="0" borderId="50" xfId="0" applyNumberFormat="1" applyFont="1" applyBorder="1" applyAlignment="1" applyProtection="1">
      <alignment horizontal="right" vertical="center"/>
      <protection locked="0"/>
    </xf>
    <xf numFmtId="9" fontId="16" fillId="24" borderId="68" xfId="42" applyFont="1" applyFill="1" applyBorder="1" applyAlignment="1" applyProtection="1">
      <alignment horizontal="center" vertical="center"/>
    </xf>
    <xf numFmtId="9" fontId="16" fillId="24" borderId="69" xfId="42" applyFont="1" applyFill="1" applyBorder="1" applyAlignment="1" applyProtection="1">
      <alignment horizontal="center" vertical="center"/>
    </xf>
    <xf numFmtId="9" fontId="16" fillId="24" borderId="72" xfId="42" applyFont="1" applyFill="1" applyBorder="1" applyAlignment="1" applyProtection="1">
      <alignment horizontal="center" vertical="center"/>
    </xf>
    <xf numFmtId="9" fontId="16" fillId="24" borderId="73" xfId="42" applyFont="1" applyFill="1" applyBorder="1" applyAlignment="1" applyProtection="1">
      <alignment horizontal="center" vertical="center"/>
    </xf>
    <xf numFmtId="180" fontId="7" fillId="24" borderId="45" xfId="0" applyNumberFormat="1" applyFont="1" applyFill="1" applyBorder="1" applyAlignment="1">
      <alignment horizontal="center" vertical="center"/>
    </xf>
    <xf numFmtId="180" fontId="7" fillId="24" borderId="47" xfId="0" applyNumberFormat="1" applyFont="1" applyFill="1" applyBorder="1" applyAlignment="1">
      <alignment horizontal="center" vertical="center"/>
    </xf>
    <xf numFmtId="180" fontId="20" fillId="0" borderId="35" xfId="0" applyNumberFormat="1" applyFont="1" applyFill="1" applyBorder="1" applyAlignment="1">
      <alignment horizontal="center" vertical="center"/>
    </xf>
    <xf numFmtId="180" fontId="8" fillId="0" borderId="34" xfId="0" applyNumberFormat="1" applyFont="1" applyFill="1" applyBorder="1" applyAlignment="1">
      <alignment horizontal="center" vertical="center"/>
    </xf>
    <xf numFmtId="180" fontId="7" fillId="24" borderId="0" xfId="0" applyNumberFormat="1" applyFont="1" applyFill="1" applyAlignment="1">
      <alignment horizontal="center" vertical="center"/>
    </xf>
    <xf numFmtId="180" fontId="8" fillId="24" borderId="13" xfId="0" applyNumberFormat="1" applyFont="1" applyFill="1" applyBorder="1" applyAlignment="1">
      <alignment horizontal="center" vertical="center"/>
    </xf>
    <xf numFmtId="172" fontId="7" fillId="0" borderId="113" xfId="0" applyNumberFormat="1" applyFont="1" applyFill="1" applyBorder="1" applyAlignment="1" applyProtection="1">
      <alignment horizontal="center" vertical="center"/>
      <protection locked="0"/>
    </xf>
    <xf numFmtId="170" fontId="7" fillId="0" borderId="114" xfId="0" applyNumberFormat="1" applyFont="1" applyFill="1" applyBorder="1" applyAlignment="1" applyProtection="1">
      <alignment vertical="center"/>
      <protection locked="0"/>
    </xf>
    <xf numFmtId="172" fontId="7" fillId="0" borderId="115" xfId="0" applyNumberFormat="1" applyFont="1" applyFill="1" applyBorder="1" applyAlignment="1" applyProtection="1">
      <alignment horizontal="center" vertical="center"/>
      <protection locked="0"/>
    </xf>
    <xf numFmtId="170" fontId="7" fillId="0" borderId="116" xfId="0" applyNumberFormat="1" applyFont="1" applyFill="1" applyBorder="1" applyAlignment="1" applyProtection="1">
      <alignment vertical="center"/>
      <protection locked="0"/>
    </xf>
    <xf numFmtId="180" fontId="8" fillId="0" borderId="26" xfId="0" applyNumberFormat="1" applyFont="1" applyFill="1" applyBorder="1" applyAlignment="1" applyProtection="1">
      <alignment horizontal="center" vertical="center"/>
    </xf>
    <xf numFmtId="0" fontId="67" fillId="24" borderId="0" xfId="0" applyFont="1" applyFill="1" applyAlignment="1" applyProtection="1">
      <alignment horizontal="center" vertical="center"/>
    </xf>
    <xf numFmtId="0" fontId="75" fillId="0" borderId="0" xfId="0" applyFont="1" applyFill="1" applyBorder="1" applyAlignment="1" applyProtection="1">
      <alignment horizontal="center" vertical="center"/>
    </xf>
    <xf numFmtId="0" fontId="70" fillId="0" borderId="0" xfId="0" applyFont="1" applyFill="1" applyBorder="1" applyAlignment="1" applyProtection="1">
      <alignment horizontal="center" vertical="center"/>
    </xf>
    <xf numFmtId="180" fontId="76" fillId="34" borderId="58" xfId="0" applyNumberFormat="1" applyFont="1" applyFill="1" applyBorder="1" applyAlignment="1" applyProtection="1">
      <alignment horizontal="center" vertical="center"/>
    </xf>
    <xf numFmtId="0" fontId="77" fillId="40" borderId="28" xfId="0" applyFont="1" applyFill="1" applyBorder="1" applyAlignment="1" applyProtection="1">
      <alignment horizontal="center" vertical="center"/>
    </xf>
    <xf numFmtId="180" fontId="76" fillId="40" borderId="58" xfId="0" applyNumberFormat="1" applyFont="1" applyFill="1" applyBorder="1" applyAlignment="1" applyProtection="1">
      <alignment horizontal="center" vertical="center"/>
    </xf>
    <xf numFmtId="0" fontId="70" fillId="39" borderId="15" xfId="0" applyFont="1" applyFill="1" applyBorder="1" applyAlignment="1" applyProtection="1">
      <alignment horizontal="center" vertical="center"/>
    </xf>
    <xf numFmtId="0" fontId="67" fillId="34" borderId="59" xfId="0" applyFont="1" applyFill="1" applyBorder="1" applyAlignment="1" applyProtection="1">
      <alignment horizontal="center" vertical="center"/>
    </xf>
    <xf numFmtId="0" fontId="67" fillId="34" borderId="60" xfId="0" applyFont="1" applyFill="1" applyBorder="1" applyAlignment="1" applyProtection="1">
      <alignment horizontal="center" vertical="center"/>
    </xf>
    <xf numFmtId="0" fontId="67" fillId="34" borderId="61" xfId="0" applyFont="1" applyFill="1" applyBorder="1" applyAlignment="1" applyProtection="1">
      <alignment horizontal="center" vertical="center"/>
    </xf>
    <xf numFmtId="180" fontId="76" fillId="34" borderId="22" xfId="0" applyNumberFormat="1" applyFont="1" applyFill="1" applyBorder="1" applyAlignment="1" applyProtection="1">
      <alignment horizontal="center" vertical="center"/>
    </xf>
    <xf numFmtId="0" fontId="71" fillId="34" borderId="13" xfId="0" applyFont="1" applyFill="1" applyBorder="1" applyAlignment="1" applyProtection="1">
      <alignment horizontal="center" vertical="center"/>
    </xf>
    <xf numFmtId="1" fontId="78" fillId="34" borderId="13" xfId="0" applyNumberFormat="1" applyFont="1" applyFill="1" applyBorder="1" applyAlignment="1" applyProtection="1">
      <alignment horizontal="center" vertical="center"/>
    </xf>
    <xf numFmtId="180" fontId="78" fillId="34" borderId="13" xfId="0" applyNumberFormat="1" applyFont="1" applyFill="1" applyBorder="1" applyAlignment="1" applyProtection="1">
      <alignment horizontal="center" vertical="center"/>
    </xf>
    <xf numFmtId="0" fontId="68" fillId="34" borderId="13" xfId="0" applyFont="1" applyFill="1" applyBorder="1" applyAlignment="1" applyProtection="1">
      <alignment horizontal="center" vertical="center"/>
    </xf>
    <xf numFmtId="180" fontId="74" fillId="34" borderId="13" xfId="0" applyNumberFormat="1" applyFont="1" applyFill="1" applyBorder="1" applyAlignment="1" applyProtection="1">
      <alignment horizontal="center" vertical="center"/>
    </xf>
    <xf numFmtId="169" fontId="70" fillId="39" borderId="13" xfId="0" applyNumberFormat="1" applyFont="1" applyFill="1" applyBorder="1" applyAlignment="1" applyProtection="1">
      <alignment horizontal="center" vertical="center"/>
    </xf>
    <xf numFmtId="169" fontId="70" fillId="39" borderId="13" xfId="0" applyNumberFormat="1" applyFont="1" applyFill="1" applyBorder="1" applyAlignment="1" applyProtection="1">
      <alignment horizontal="center" vertical="center" wrapText="1"/>
    </xf>
    <xf numFmtId="0" fontId="68" fillId="24" borderId="20" xfId="0" applyFont="1" applyFill="1" applyBorder="1" applyAlignment="1" applyProtection="1">
      <alignment horizontal="center" vertical="center"/>
    </xf>
    <xf numFmtId="0" fontId="68" fillId="24" borderId="30" xfId="0" applyFont="1" applyFill="1" applyBorder="1" applyAlignment="1" applyProtection="1">
      <alignment horizontal="center" vertical="center"/>
    </xf>
    <xf numFmtId="0" fontId="68" fillId="24" borderId="0" xfId="0" applyFont="1" applyFill="1" applyBorder="1" applyAlignment="1" applyProtection="1">
      <alignment horizontal="center" vertical="center"/>
    </xf>
    <xf numFmtId="0" fontId="70" fillId="39" borderId="10" xfId="0" applyFont="1" applyFill="1" applyBorder="1" applyAlignment="1" applyProtection="1">
      <alignment horizontal="center" vertical="center"/>
    </xf>
    <xf numFmtId="0" fontId="70" fillId="39" borderId="11" xfId="0" applyFont="1" applyFill="1" applyBorder="1" applyAlignment="1" applyProtection="1">
      <alignment horizontal="center" vertical="center"/>
    </xf>
    <xf numFmtId="0" fontId="70" fillId="24" borderId="31" xfId="0" applyFont="1" applyFill="1" applyBorder="1" applyAlignment="1" applyProtection="1">
      <alignment horizontal="center" vertical="center"/>
    </xf>
    <xf numFmtId="0" fontId="71" fillId="0" borderId="13" xfId="0" applyFont="1" applyFill="1" applyBorder="1" applyAlignment="1" applyProtection="1">
      <alignment horizontal="center" vertical="center"/>
    </xf>
    <xf numFmtId="0" fontId="71" fillId="24" borderId="0" xfId="0" applyFont="1" applyFill="1" applyBorder="1" applyAlignment="1" applyProtection="1">
      <alignment horizontal="center" vertical="center"/>
    </xf>
    <xf numFmtId="0" fontId="70" fillId="39" borderId="12" xfId="0" applyFont="1" applyFill="1" applyBorder="1" applyAlignment="1" applyProtection="1">
      <alignment horizontal="center" vertical="center"/>
    </xf>
    <xf numFmtId="0" fontId="8" fillId="34" borderId="17" xfId="0" applyFont="1" applyFill="1" applyBorder="1" applyAlignment="1">
      <alignment horizontal="center" vertical="center"/>
    </xf>
    <xf numFmtId="0" fontId="9" fillId="34" borderId="18" xfId="0" applyFont="1" applyFill="1" applyBorder="1" applyAlignment="1">
      <alignment horizontal="center" vertical="center"/>
    </xf>
    <xf numFmtId="0" fontId="8" fillId="34" borderId="18" xfId="0" applyFont="1" applyFill="1" applyBorder="1" applyAlignment="1">
      <alignment horizontal="center" vertical="center"/>
    </xf>
    <xf numFmtId="0" fontId="8" fillId="34" borderId="15" xfId="0" applyFont="1" applyFill="1" applyBorder="1" applyAlignment="1">
      <alignment horizontal="center" vertical="center"/>
    </xf>
    <xf numFmtId="0" fontId="10" fillId="34" borderId="10" xfId="0" applyFont="1" applyFill="1" applyBorder="1" applyAlignment="1">
      <alignment horizontal="center" vertical="center"/>
    </xf>
    <xf numFmtId="0" fontId="10" fillId="34" borderId="19" xfId="0" applyNumberFormat="1" applyFont="1" applyFill="1" applyBorder="1" applyAlignment="1">
      <alignment horizontal="center" vertical="center"/>
    </xf>
    <xf numFmtId="180" fontId="10" fillId="34" borderId="19" xfId="0" applyNumberFormat="1" applyFont="1" applyFill="1" applyBorder="1" applyAlignment="1">
      <alignment horizontal="center" vertical="center"/>
    </xf>
    <xf numFmtId="173" fontId="10" fillId="34" borderId="13" xfId="0" applyNumberFormat="1" applyFont="1" applyFill="1" applyBorder="1" applyAlignment="1">
      <alignment horizontal="center" vertical="center"/>
    </xf>
    <xf numFmtId="180" fontId="10" fillId="34" borderId="13" xfId="0" applyNumberFormat="1" applyFont="1" applyFill="1" applyBorder="1" applyAlignment="1">
      <alignment horizontal="center" vertical="center"/>
    </xf>
    <xf numFmtId="172" fontId="10" fillId="34" borderId="13" xfId="0" applyNumberFormat="1" applyFont="1" applyFill="1" applyBorder="1" applyAlignment="1">
      <alignment horizontal="center" vertical="center"/>
    </xf>
    <xf numFmtId="180" fontId="10" fillId="34" borderId="33" xfId="0" applyNumberFormat="1" applyFont="1" applyFill="1" applyBorder="1" applyAlignment="1">
      <alignment horizontal="center" vertical="center"/>
    </xf>
    <xf numFmtId="0" fontId="7" fillId="24" borderId="119" xfId="0" applyNumberFormat="1" applyFont="1" applyFill="1" applyBorder="1" applyAlignment="1" applyProtection="1">
      <alignment horizontal="center" vertical="center"/>
      <protection locked="0"/>
    </xf>
    <xf numFmtId="171" fontId="7" fillId="0" borderId="120" xfId="0" applyNumberFormat="1" applyFont="1" applyBorder="1" applyAlignment="1" applyProtection="1">
      <alignment horizontal="right" vertical="center"/>
      <protection locked="0"/>
    </xf>
    <xf numFmtId="170" fontId="7" fillId="0" borderId="121" xfId="0" applyNumberFormat="1" applyFont="1" applyFill="1" applyBorder="1" applyAlignment="1" applyProtection="1">
      <alignment vertical="center"/>
      <protection locked="0"/>
    </xf>
    <xf numFmtId="0" fontId="7" fillId="0" borderId="119" xfId="0" applyNumberFormat="1" applyFont="1" applyFill="1" applyBorder="1" applyAlignment="1" applyProtection="1">
      <alignment horizontal="center" vertical="center"/>
      <protection locked="0"/>
    </xf>
    <xf numFmtId="172" fontId="7" fillId="0" borderId="122" xfId="0" applyNumberFormat="1" applyFont="1" applyFill="1" applyBorder="1" applyAlignment="1" applyProtection="1">
      <alignment horizontal="center" vertical="center"/>
      <protection locked="0"/>
    </xf>
    <xf numFmtId="170" fontId="7" fillId="0" borderId="123" xfId="0" applyNumberFormat="1" applyFont="1" applyFill="1" applyBorder="1" applyAlignment="1" applyProtection="1">
      <alignment vertical="center"/>
      <protection locked="0"/>
    </xf>
    <xf numFmtId="172" fontId="7" fillId="0" borderId="124" xfId="0" applyNumberFormat="1" applyFont="1" applyFill="1" applyBorder="1" applyAlignment="1" applyProtection="1">
      <alignment horizontal="center" vertical="center"/>
      <protection locked="0"/>
    </xf>
    <xf numFmtId="170" fontId="7" fillId="0" borderId="124" xfId="0" applyNumberFormat="1" applyFont="1" applyFill="1" applyBorder="1" applyAlignment="1" applyProtection="1">
      <alignment vertical="center"/>
      <protection locked="0"/>
    </xf>
    <xf numFmtId="170" fontId="7" fillId="0" borderId="121" xfId="0" applyNumberFormat="1" applyFont="1" applyBorder="1" applyAlignment="1" applyProtection="1">
      <alignment vertical="center"/>
      <protection locked="0"/>
    </xf>
    <xf numFmtId="1" fontId="7" fillId="0" borderId="119" xfId="0" applyNumberFormat="1" applyFont="1" applyBorder="1" applyAlignment="1" applyProtection="1">
      <alignment horizontal="center" vertical="center"/>
      <protection locked="0"/>
    </xf>
    <xf numFmtId="172" fontId="7" fillId="24" borderId="119" xfId="0" applyNumberFormat="1" applyFont="1" applyFill="1" applyBorder="1" applyAlignment="1">
      <alignment horizontal="center" vertical="center"/>
    </xf>
    <xf numFmtId="180" fontId="7" fillId="24" borderId="121" xfId="0" applyNumberFormat="1" applyFont="1" applyFill="1" applyBorder="1" applyAlignment="1">
      <alignment horizontal="center" vertical="center"/>
    </xf>
    <xf numFmtId="9" fontId="16" fillId="37" borderId="70" xfId="42" applyFont="1" applyFill="1" applyBorder="1" applyAlignment="1" applyProtection="1">
      <alignment horizontal="center" vertical="center"/>
    </xf>
    <xf numFmtId="9" fontId="16" fillId="37" borderId="13" xfId="42" applyFont="1" applyFill="1" applyBorder="1" applyAlignment="1" applyProtection="1">
      <alignment horizontal="center" vertical="center"/>
    </xf>
    <xf numFmtId="9" fontId="10" fillId="37" borderId="13" xfId="42" applyFont="1" applyFill="1" applyBorder="1" applyAlignment="1" applyProtection="1">
      <alignment horizontal="center" vertical="center"/>
    </xf>
    <xf numFmtId="9" fontId="16" fillId="34" borderId="70" xfId="42" applyFont="1" applyFill="1" applyBorder="1" applyAlignment="1" applyProtection="1">
      <alignment horizontal="center" vertical="center"/>
    </xf>
    <xf numFmtId="9" fontId="16" fillId="34" borderId="13" xfId="42" applyFont="1" applyFill="1" applyBorder="1" applyAlignment="1" applyProtection="1">
      <alignment horizontal="center" vertical="center"/>
    </xf>
    <xf numFmtId="9" fontId="10" fillId="34" borderId="13" xfId="42" applyFont="1" applyFill="1" applyBorder="1" applyAlignment="1" applyProtection="1">
      <alignment horizontal="center" vertical="center"/>
    </xf>
    <xf numFmtId="9" fontId="16" fillId="37" borderId="13" xfId="42" applyNumberFormat="1" applyFont="1" applyFill="1" applyBorder="1" applyAlignment="1" applyProtection="1">
      <alignment horizontal="center" vertical="center"/>
    </xf>
    <xf numFmtId="0" fontId="8" fillId="34" borderId="20" xfId="0" applyFont="1" applyFill="1" applyBorder="1" applyAlignment="1">
      <alignment horizontal="center" vertical="center"/>
    </xf>
    <xf numFmtId="0" fontId="8" fillId="34" borderId="21" xfId="0" applyFont="1" applyFill="1" applyBorder="1" applyAlignment="1">
      <alignment horizontal="center" vertical="center"/>
    </xf>
    <xf numFmtId="0" fontId="8" fillId="34" borderId="31" xfId="0" applyFont="1" applyFill="1" applyBorder="1" applyAlignment="1">
      <alignment horizontal="center" vertical="center"/>
    </xf>
    <xf numFmtId="181" fontId="8" fillId="37" borderId="117" xfId="0" applyNumberFormat="1" applyFont="1" applyFill="1" applyBorder="1" applyAlignment="1" applyProtection="1">
      <alignment horizontal="center" vertical="center"/>
    </xf>
    <xf numFmtId="181" fontId="8" fillId="37" borderId="82" xfId="0" applyNumberFormat="1" applyFont="1" applyFill="1" applyBorder="1" applyAlignment="1" applyProtection="1">
      <alignment horizontal="center" vertical="center"/>
    </xf>
    <xf numFmtId="181" fontId="8" fillId="37" borderId="118" xfId="0" applyNumberFormat="1" applyFont="1" applyFill="1" applyBorder="1" applyAlignment="1" applyProtection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80" fontId="8" fillId="24" borderId="0" xfId="0" applyNumberFormat="1" applyFont="1" applyFill="1" applyBorder="1" applyAlignment="1">
      <alignment horizontal="center" vertical="center"/>
    </xf>
    <xf numFmtId="180" fontId="84" fillId="34" borderId="14" xfId="0" applyNumberFormat="1" applyFont="1" applyFill="1" applyBorder="1" applyAlignment="1" applyProtection="1">
      <alignment horizontal="center" vertical="center"/>
    </xf>
    <xf numFmtId="0" fontId="84" fillId="34" borderId="31" xfId="0" applyFont="1" applyFill="1" applyBorder="1" applyAlignment="1" applyProtection="1">
      <alignment horizontal="center" vertical="center"/>
    </xf>
    <xf numFmtId="0" fontId="87" fillId="0" borderId="0" xfId="46" applyFont="1"/>
    <xf numFmtId="0" fontId="88" fillId="0" borderId="0" xfId="46" applyFont="1"/>
    <xf numFmtId="0" fontId="89" fillId="0" borderId="0" xfId="46" applyFont="1"/>
    <xf numFmtId="14" fontId="88" fillId="0" borderId="0" xfId="46" applyNumberFormat="1" applyFont="1"/>
    <xf numFmtId="180" fontId="88" fillId="0" borderId="0" xfId="46" applyNumberFormat="1" applyFont="1"/>
    <xf numFmtId="0" fontId="88" fillId="0" borderId="0" xfId="46" applyFont="1" applyAlignment="1">
      <alignment horizontal="left" indent="1"/>
    </xf>
    <xf numFmtId="0" fontId="89" fillId="39" borderId="13" xfId="46" applyFont="1" applyFill="1" applyBorder="1" applyAlignment="1">
      <alignment horizontal="center" vertical="center"/>
    </xf>
    <xf numFmtId="14" fontId="89" fillId="39" borderId="13" xfId="46" applyNumberFormat="1" applyFont="1" applyFill="1" applyBorder="1" applyAlignment="1">
      <alignment horizontal="center" vertical="center"/>
    </xf>
    <xf numFmtId="180" fontId="89" fillId="39" borderId="13" xfId="46" applyNumberFormat="1" applyFont="1" applyFill="1" applyBorder="1" applyAlignment="1">
      <alignment horizontal="center" vertical="center"/>
    </xf>
    <xf numFmtId="0" fontId="89" fillId="39" borderId="13" xfId="46" applyFont="1" applyFill="1" applyBorder="1" applyAlignment="1">
      <alignment horizontal="left" vertical="center" indent="1"/>
    </xf>
    <xf numFmtId="0" fontId="89" fillId="0" borderId="109" xfId="46" applyFont="1" applyBorder="1" applyAlignment="1">
      <alignment horizontal="center" vertical="center"/>
    </xf>
    <xf numFmtId="14" fontId="88" fillId="0" borderId="109" xfId="46" applyNumberFormat="1" applyFont="1" applyBorder="1" applyAlignment="1">
      <alignment horizontal="center" vertical="center"/>
    </xf>
    <xf numFmtId="20" fontId="88" fillId="0" borderId="109" xfId="46" applyNumberFormat="1" applyFont="1" applyBorder="1" applyAlignment="1">
      <alignment horizontal="center" vertical="center"/>
    </xf>
    <xf numFmtId="0" fontId="88" fillId="0" borderId="109" xfId="46" applyFont="1" applyBorder="1" applyAlignment="1">
      <alignment horizontal="center" vertical="center"/>
    </xf>
    <xf numFmtId="180" fontId="88" fillId="0" borderId="109" xfId="46" applyNumberFormat="1" applyFont="1" applyBorder="1" applyAlignment="1">
      <alignment horizontal="center" vertical="center"/>
    </xf>
    <xf numFmtId="0" fontId="88" fillId="0" borderId="109" xfId="46" applyFont="1" applyBorder="1" applyAlignment="1">
      <alignment horizontal="left" vertical="center" indent="1"/>
    </xf>
    <xf numFmtId="180" fontId="87" fillId="0" borderId="0" xfId="46" applyNumberFormat="1" applyFont="1" applyBorder="1" applyAlignment="1">
      <alignment horizontal="center" vertical="center"/>
    </xf>
    <xf numFmtId="0" fontId="90" fillId="0" borderId="0" xfId="46" applyFont="1"/>
    <xf numFmtId="0" fontId="89" fillId="0" borderId="82" xfId="46" applyFont="1" applyBorder="1" applyAlignment="1">
      <alignment horizontal="center" vertical="center"/>
    </xf>
    <xf numFmtId="14" fontId="88" fillId="0" borderId="82" xfId="46" applyNumberFormat="1" applyFont="1" applyBorder="1" applyAlignment="1">
      <alignment horizontal="center" vertical="center"/>
    </xf>
    <xf numFmtId="20" fontId="88" fillId="0" borderId="82" xfId="46" applyNumberFormat="1" applyFont="1" applyBorder="1" applyAlignment="1">
      <alignment horizontal="center" vertical="center"/>
    </xf>
    <xf numFmtId="0" fontId="88" fillId="0" borderId="82" xfId="46" applyFont="1" applyBorder="1" applyAlignment="1">
      <alignment horizontal="center" vertical="center"/>
    </xf>
    <xf numFmtId="180" fontId="88" fillId="0" borderId="82" xfId="46" applyNumberFormat="1" applyFont="1" applyBorder="1" applyAlignment="1">
      <alignment horizontal="center" vertical="center"/>
    </xf>
    <xf numFmtId="0" fontId="88" fillId="0" borderId="82" xfId="46" applyFont="1" applyBorder="1" applyAlignment="1">
      <alignment horizontal="left" vertical="center" indent="1"/>
    </xf>
    <xf numFmtId="0" fontId="85" fillId="0" borderId="0" xfId="47" applyFont="1" applyProtection="1"/>
    <xf numFmtId="0" fontId="90" fillId="29" borderId="0" xfId="46" applyFont="1" applyFill="1" applyBorder="1"/>
    <xf numFmtId="0" fontId="85" fillId="0" borderId="0" xfId="46" applyFont="1" applyFill="1" applyBorder="1" applyAlignment="1" applyProtection="1">
      <alignment horizontal="left"/>
    </xf>
    <xf numFmtId="14" fontId="88" fillId="0" borderId="0" xfId="46" applyNumberFormat="1" applyFont="1" applyBorder="1" applyAlignment="1">
      <alignment horizontal="center" vertical="center"/>
    </xf>
    <xf numFmtId="0" fontId="5" fillId="24" borderId="0" xfId="46" applyFill="1" applyAlignment="1" applyProtection="1">
      <alignment vertical="center"/>
    </xf>
    <xf numFmtId="0" fontId="6" fillId="34" borderId="62" xfId="46" applyFont="1" applyFill="1" applyBorder="1" applyAlignment="1" applyProtection="1">
      <alignment horizontal="center" vertical="center"/>
    </xf>
    <xf numFmtId="0" fontId="9" fillId="34" borderId="63" xfId="46" applyFont="1" applyFill="1" applyBorder="1" applyAlignment="1" applyProtection="1">
      <alignment horizontal="center" vertical="center"/>
    </xf>
    <xf numFmtId="0" fontId="8" fillId="34" borderId="64" xfId="46" applyNumberFormat="1" applyFont="1" applyFill="1" applyBorder="1" applyAlignment="1" applyProtection="1">
      <alignment horizontal="center" vertical="center"/>
    </xf>
    <xf numFmtId="16" fontId="8" fillId="34" borderId="14" xfId="46" applyNumberFormat="1" applyFont="1" applyFill="1" applyBorder="1" applyAlignment="1" applyProtection="1">
      <alignment horizontal="center" vertical="center"/>
    </xf>
    <xf numFmtId="0" fontId="8" fillId="34" borderId="14" xfId="46" applyFont="1" applyFill="1" applyBorder="1" applyAlignment="1" applyProtection="1">
      <alignment horizontal="center" vertical="center"/>
    </xf>
    <xf numFmtId="0" fontId="8" fillId="34" borderId="65" xfId="46" applyFont="1" applyFill="1" applyBorder="1" applyAlignment="1" applyProtection="1">
      <alignment horizontal="center" vertical="center"/>
    </xf>
    <xf numFmtId="0" fontId="8" fillId="37" borderId="64" xfId="46" applyNumberFormat="1" applyFont="1" applyFill="1" applyBorder="1" applyAlignment="1" applyProtection="1">
      <alignment horizontal="center" vertical="center"/>
    </xf>
    <xf numFmtId="16" fontId="8" fillId="37" borderId="14" xfId="46" applyNumberFormat="1" applyFont="1" applyFill="1" applyBorder="1" applyAlignment="1" applyProtection="1">
      <alignment horizontal="center" vertical="center"/>
    </xf>
    <xf numFmtId="0" fontId="8" fillId="37" borderId="14" xfId="46" applyFont="1" applyFill="1" applyBorder="1" applyAlignment="1" applyProtection="1">
      <alignment horizontal="center" vertical="center"/>
    </xf>
    <xf numFmtId="0" fontId="8" fillId="37" borderId="65" xfId="46" applyFont="1" applyFill="1" applyBorder="1" applyAlignment="1" applyProtection="1">
      <alignment horizontal="center" vertical="center"/>
    </xf>
    <xf numFmtId="0" fontId="16" fillId="24" borderId="52" xfId="46" applyFont="1" applyFill="1" applyBorder="1" applyAlignment="1" applyProtection="1">
      <alignment horizontal="center" vertical="center"/>
      <protection locked="0"/>
    </xf>
    <xf numFmtId="0" fontId="16" fillId="24" borderId="53" xfId="46" applyFont="1" applyFill="1" applyBorder="1" applyAlignment="1" applyProtection="1">
      <alignment horizontal="center" vertical="center"/>
      <protection locked="0"/>
    </xf>
    <xf numFmtId="0" fontId="16" fillId="34" borderId="66" xfId="46" applyFont="1" applyFill="1" applyBorder="1" applyAlignment="1" applyProtection="1">
      <alignment horizontal="center" vertical="center"/>
    </xf>
    <xf numFmtId="0" fontId="16" fillId="37" borderId="66" xfId="46" applyFont="1" applyFill="1" applyBorder="1" applyAlignment="1" applyProtection="1">
      <alignment horizontal="center" vertical="center"/>
    </xf>
    <xf numFmtId="0" fontId="16" fillId="34" borderId="67" xfId="46" applyFont="1" applyFill="1" applyBorder="1" applyAlignment="1" applyProtection="1">
      <alignment horizontal="center" vertical="center"/>
    </xf>
    <xf numFmtId="9" fontId="16" fillId="34" borderId="71" xfId="46" applyNumberFormat="1" applyFont="1" applyFill="1" applyBorder="1" applyAlignment="1" applyProtection="1">
      <alignment horizontal="center" vertical="center"/>
    </xf>
    <xf numFmtId="1" fontId="16" fillId="34" borderId="71" xfId="46" applyNumberFormat="1" applyFont="1" applyFill="1" applyBorder="1" applyAlignment="1" applyProtection="1">
      <alignment horizontal="center" vertical="center"/>
    </xf>
    <xf numFmtId="164" fontId="17" fillId="24" borderId="74" xfId="46" applyNumberFormat="1" applyFont="1" applyFill="1" applyBorder="1" applyAlignment="1" applyProtection="1">
      <alignment horizontal="center" vertical="center"/>
    </xf>
    <xf numFmtId="0" fontId="5" fillId="24" borderId="74" xfId="46" applyFill="1" applyBorder="1" applyAlignment="1" applyProtection="1">
      <alignment vertical="center"/>
    </xf>
    <xf numFmtId="0" fontId="5" fillId="24" borderId="74" xfId="46" applyFill="1" applyBorder="1" applyAlignment="1" applyProtection="1">
      <alignment horizontal="center" vertical="center"/>
    </xf>
    <xf numFmtId="3" fontId="16" fillId="34" borderId="13" xfId="46" applyNumberFormat="1" applyFont="1" applyFill="1" applyBorder="1" applyAlignment="1" applyProtection="1">
      <alignment horizontal="center" vertical="center"/>
    </xf>
    <xf numFmtId="0" fontId="16" fillId="24" borderId="0" xfId="46" applyFont="1" applyFill="1" applyAlignment="1" applyProtection="1">
      <alignment horizontal="center" vertical="center"/>
    </xf>
    <xf numFmtId="0" fontId="81" fillId="24" borderId="0" xfId="46" applyFont="1" applyFill="1" applyAlignment="1" applyProtection="1">
      <alignment horizontal="center" vertical="center"/>
    </xf>
    <xf numFmtId="164" fontId="16" fillId="24" borderId="0" xfId="46" applyNumberFormat="1" applyFont="1" applyFill="1" applyBorder="1" applyAlignment="1" applyProtection="1">
      <alignment vertical="center"/>
    </xf>
    <xf numFmtId="0" fontId="16" fillId="24" borderId="0" xfId="46" applyFont="1" applyFill="1" applyAlignment="1" applyProtection="1">
      <alignment vertical="center"/>
    </xf>
    <xf numFmtId="3" fontId="15" fillId="37" borderId="13" xfId="46" applyNumberFormat="1" applyFont="1" applyFill="1" applyBorder="1" applyAlignment="1" applyProtection="1">
      <alignment horizontal="center" vertical="center"/>
    </xf>
    <xf numFmtId="3" fontId="15" fillId="0" borderId="0" xfId="46" applyNumberFormat="1" applyFont="1" applyFill="1" applyBorder="1" applyAlignment="1" applyProtection="1">
      <alignment horizontal="center" vertical="center"/>
    </xf>
    <xf numFmtId="0" fontId="5" fillId="24" borderId="0" xfId="46" applyFill="1" applyAlignment="1" applyProtection="1">
      <alignment horizontal="center" vertical="center"/>
    </xf>
    <xf numFmtId="0" fontId="19" fillId="24" borderId="0" xfId="46" applyFont="1" applyFill="1" applyAlignment="1" applyProtection="1">
      <alignment vertical="center"/>
    </xf>
    <xf numFmtId="0" fontId="17" fillId="24" borderId="0" xfId="46" applyFont="1" applyFill="1" applyAlignment="1" applyProtection="1">
      <alignment vertical="center"/>
    </xf>
    <xf numFmtId="0" fontId="5" fillId="24" borderId="0" xfId="46" applyFill="1" applyBorder="1" applyAlignment="1" applyProtection="1">
      <alignment horizontal="center" vertical="center"/>
    </xf>
    <xf numFmtId="0" fontId="19" fillId="24" borderId="0" xfId="46" applyFont="1" applyFill="1" applyBorder="1" applyAlignment="1" applyProtection="1">
      <alignment vertical="center"/>
    </xf>
    <xf numFmtId="0" fontId="17" fillId="24" borderId="0" xfId="46" applyFont="1" applyFill="1" applyBorder="1" applyAlignment="1" applyProtection="1">
      <alignment vertical="center"/>
    </xf>
    <xf numFmtId="0" fontId="5" fillId="24" borderId="0" xfId="46" applyFill="1" applyBorder="1" applyAlignment="1" applyProtection="1">
      <alignment vertical="center"/>
    </xf>
    <xf numFmtId="178" fontId="21" fillId="24" borderId="0" xfId="46" applyNumberFormat="1" applyFont="1" applyFill="1" applyAlignment="1">
      <alignment horizontal="center" vertical="center"/>
    </xf>
    <xf numFmtId="0" fontId="21" fillId="24" borderId="0" xfId="46" applyFont="1" applyFill="1" applyAlignment="1">
      <alignment horizontal="center" vertical="center"/>
    </xf>
    <xf numFmtId="0" fontId="22" fillId="24" borderId="0" xfId="46" applyFont="1" applyFill="1" applyAlignment="1">
      <alignment horizontal="center" vertical="center"/>
    </xf>
    <xf numFmtId="0" fontId="24" fillId="29" borderId="0" xfId="46" applyFont="1" applyFill="1" applyBorder="1" applyAlignment="1">
      <alignment vertical="center"/>
    </xf>
    <xf numFmtId="0" fontId="21" fillId="24" borderId="0" xfId="46" applyFont="1" applyFill="1" applyAlignment="1">
      <alignment horizontal="right" vertical="center"/>
    </xf>
    <xf numFmtId="0" fontId="83" fillId="29" borderId="0" xfId="46" applyFont="1" applyFill="1" applyBorder="1" applyAlignment="1">
      <alignment horizontal="center" vertical="center"/>
    </xf>
    <xf numFmtId="0" fontId="28" fillId="24" borderId="0" xfId="46" applyFont="1" applyFill="1" applyAlignment="1">
      <alignment horizontal="center" vertical="center"/>
    </xf>
    <xf numFmtId="0" fontId="82" fillId="24" borderId="0" xfId="46" applyFont="1" applyFill="1" applyBorder="1" applyAlignment="1">
      <alignment horizontal="center" vertical="center"/>
    </xf>
    <xf numFmtId="176" fontId="30" fillId="26" borderId="75" xfId="46" applyNumberFormat="1" applyFont="1" applyFill="1" applyBorder="1" applyAlignment="1">
      <alignment horizontal="center" vertical="center"/>
    </xf>
    <xf numFmtId="176" fontId="30" fillId="26" borderId="76" xfId="46" applyNumberFormat="1" applyFont="1" applyFill="1" applyBorder="1" applyAlignment="1">
      <alignment horizontal="center" vertical="center"/>
    </xf>
    <xf numFmtId="176" fontId="30" fillId="26" borderId="57" xfId="46" applyNumberFormat="1" applyFont="1" applyFill="1" applyBorder="1" applyAlignment="1">
      <alignment horizontal="center" vertical="center"/>
    </xf>
    <xf numFmtId="176" fontId="30" fillId="27" borderId="36" xfId="46" applyNumberFormat="1" applyFont="1" applyFill="1" applyBorder="1" applyAlignment="1">
      <alignment horizontal="center" vertical="center"/>
    </xf>
    <xf numFmtId="176" fontId="30" fillId="27" borderId="37" xfId="46" applyNumberFormat="1" applyFont="1" applyFill="1" applyBorder="1" applyAlignment="1">
      <alignment horizontal="center" vertical="center"/>
    </xf>
    <xf numFmtId="176" fontId="30" fillId="27" borderId="38" xfId="46" applyNumberFormat="1" applyFont="1" applyFill="1" applyBorder="1" applyAlignment="1">
      <alignment horizontal="center" vertical="center"/>
    </xf>
    <xf numFmtId="0" fontId="31" fillId="28" borderId="77" xfId="46" applyFont="1" applyFill="1" applyBorder="1" applyAlignment="1" applyProtection="1">
      <alignment horizontal="center" vertical="center"/>
      <protection locked="0"/>
    </xf>
    <xf numFmtId="0" fontId="31" fillId="28" borderId="54" xfId="46" applyFont="1" applyFill="1" applyBorder="1" applyAlignment="1" applyProtection="1">
      <alignment horizontal="center" vertical="center"/>
      <protection locked="0"/>
    </xf>
    <xf numFmtId="0" fontId="31" fillId="28" borderId="55" xfId="46" applyFont="1" applyFill="1" applyBorder="1" applyAlignment="1" applyProtection="1">
      <alignment horizontal="center" vertical="center"/>
      <protection locked="0"/>
    </xf>
    <xf numFmtId="0" fontId="31" fillId="28" borderId="56" xfId="46" applyFont="1" applyFill="1" applyBorder="1" applyAlignment="1" applyProtection="1">
      <alignment horizontal="center" vertical="center"/>
      <protection locked="0"/>
    </xf>
    <xf numFmtId="0" fontId="30" fillId="24" borderId="0" xfId="46" applyFont="1" applyFill="1" applyAlignment="1">
      <alignment horizontal="left" vertical="center"/>
    </xf>
    <xf numFmtId="177" fontId="32" fillId="27" borderId="39" xfId="46" applyNumberFormat="1" applyFont="1" applyFill="1" applyBorder="1" applyAlignment="1">
      <alignment horizontal="right" vertical="center"/>
    </xf>
    <xf numFmtId="176" fontId="21" fillId="27" borderId="78" xfId="46" applyNumberFormat="1" applyFont="1" applyFill="1" applyBorder="1" applyAlignment="1">
      <alignment horizontal="center" vertical="center"/>
    </xf>
    <xf numFmtId="176" fontId="21" fillId="27" borderId="79" xfId="46" applyNumberFormat="1" applyFont="1" applyFill="1" applyBorder="1" applyAlignment="1">
      <alignment horizontal="center" vertical="center"/>
    </xf>
    <xf numFmtId="176" fontId="21" fillId="27" borderId="80" xfId="46" applyNumberFormat="1" applyFont="1" applyFill="1" applyBorder="1" applyAlignment="1" applyProtection="1">
      <alignment horizontal="center" vertical="center"/>
      <protection locked="0"/>
    </xf>
    <xf numFmtId="176" fontId="21" fillId="26" borderId="40" xfId="46" applyNumberFormat="1" applyFont="1" applyFill="1" applyBorder="1" applyAlignment="1">
      <alignment horizontal="center" vertical="center"/>
    </xf>
    <xf numFmtId="176" fontId="21" fillId="26" borderId="41" xfId="46" applyNumberFormat="1" applyFont="1" applyFill="1" applyBorder="1" applyAlignment="1">
      <alignment horizontal="center" vertical="center"/>
    </xf>
    <xf numFmtId="176" fontId="21" fillId="26" borderId="81" xfId="46" applyNumberFormat="1" applyFont="1" applyFill="1" applyBorder="1" applyAlignment="1" applyProtection="1">
      <alignment horizontal="center" vertical="center"/>
      <protection locked="0"/>
    </xf>
    <xf numFmtId="174" fontId="21" fillId="24" borderId="0" xfId="46" applyNumberFormat="1" applyFont="1" applyFill="1" applyAlignment="1">
      <alignment horizontal="left" vertical="center"/>
    </xf>
    <xf numFmtId="177" fontId="31" fillId="0" borderId="42" xfId="46" applyNumberFormat="1" applyFont="1" applyFill="1" applyBorder="1" applyAlignment="1">
      <alignment horizontal="right" vertical="center"/>
    </xf>
    <xf numFmtId="177" fontId="39" fillId="0" borderId="43" xfId="46" applyNumberFormat="1" applyFont="1" applyBorder="1"/>
    <xf numFmtId="177" fontId="21" fillId="24" borderId="0" xfId="46" applyNumberFormat="1" applyFont="1" applyFill="1" applyAlignment="1">
      <alignment horizontal="right" vertical="center"/>
    </xf>
    <xf numFmtId="178" fontId="31" fillId="0" borderId="43" xfId="46" applyNumberFormat="1" applyFont="1" applyFill="1" applyBorder="1" applyAlignment="1">
      <alignment horizontal="right" vertical="center"/>
    </xf>
    <xf numFmtId="0" fontId="21" fillId="24" borderId="0" xfId="46" applyFont="1" applyFill="1" applyBorder="1" applyAlignment="1">
      <alignment horizontal="center" vertical="center"/>
    </xf>
    <xf numFmtId="177" fontId="31" fillId="24" borderId="42" xfId="46" applyNumberFormat="1" applyFont="1" applyFill="1" applyBorder="1" applyAlignment="1">
      <alignment horizontal="right" vertical="center"/>
    </xf>
    <xf numFmtId="176" fontId="21" fillId="26" borderId="125" xfId="46" applyNumberFormat="1" applyFont="1" applyFill="1" applyBorder="1" applyAlignment="1">
      <alignment horizontal="center" vertical="center"/>
    </xf>
    <xf numFmtId="176" fontId="21" fillId="26" borderId="126" xfId="46" applyNumberFormat="1" applyFont="1" applyFill="1" applyBorder="1" applyAlignment="1">
      <alignment horizontal="center" vertical="center"/>
    </xf>
    <xf numFmtId="176" fontId="21" fillId="26" borderId="127" xfId="46" applyNumberFormat="1" applyFont="1" applyFill="1" applyBorder="1" applyAlignment="1" applyProtection="1">
      <alignment horizontal="center" vertical="center"/>
      <protection locked="0"/>
    </xf>
    <xf numFmtId="0" fontId="25" fillId="24" borderId="0" xfId="46" applyFont="1" applyFill="1" applyBorder="1" applyAlignment="1">
      <alignment horizontal="center" vertical="center"/>
    </xf>
    <xf numFmtId="0" fontId="31" fillId="24" borderId="0" xfId="46" applyFont="1" applyFill="1" applyBorder="1" applyAlignment="1">
      <alignment horizontal="right" vertical="center"/>
    </xf>
    <xf numFmtId="178" fontId="21" fillId="24" borderId="0" xfId="46" applyNumberFormat="1" applyFont="1" applyFill="1" applyBorder="1" applyAlignment="1">
      <alignment horizontal="center" vertical="center"/>
    </xf>
    <xf numFmtId="0" fontId="38" fillId="24" borderId="110" xfId="46" applyFont="1" applyFill="1" applyBorder="1" applyAlignment="1">
      <alignment horizontal="center" vertical="center"/>
    </xf>
    <xf numFmtId="0" fontId="36" fillId="24" borderId="137" xfId="46" applyFont="1" applyFill="1" applyBorder="1" applyAlignment="1">
      <alignment horizontal="center" vertical="center"/>
    </xf>
    <xf numFmtId="0" fontId="36" fillId="24" borderId="138" xfId="46" applyFont="1" applyFill="1" applyBorder="1" applyAlignment="1">
      <alignment horizontal="center" vertical="center"/>
    </xf>
    <xf numFmtId="0" fontId="37" fillId="24" borderId="0" xfId="46" applyFont="1" applyFill="1" applyAlignment="1">
      <alignment horizontal="left" vertical="center"/>
    </xf>
    <xf numFmtId="0" fontId="36" fillId="24" borderId="39" xfId="46" applyFont="1" applyFill="1" applyBorder="1" applyAlignment="1">
      <alignment horizontal="center" vertical="center"/>
    </xf>
    <xf numFmtId="0" fontId="33" fillId="24" borderId="111" xfId="46" applyFont="1" applyFill="1" applyBorder="1" applyAlignment="1">
      <alignment horizontal="left" vertical="center"/>
    </xf>
    <xf numFmtId="176" fontId="31" fillId="24" borderId="139" xfId="46" applyNumberFormat="1" applyFont="1" applyFill="1" applyBorder="1" applyAlignment="1">
      <alignment horizontal="center" vertical="center"/>
    </xf>
    <xf numFmtId="176" fontId="31" fillId="24" borderId="140" xfId="46" applyNumberFormat="1" applyFont="1" applyFill="1" applyBorder="1" applyAlignment="1">
      <alignment horizontal="center" vertical="center"/>
    </xf>
    <xf numFmtId="174" fontId="21" fillId="24" borderId="0" xfId="46" applyNumberFormat="1" applyFont="1" applyFill="1" applyBorder="1" applyAlignment="1">
      <alignment horizontal="center" vertical="center"/>
    </xf>
    <xf numFmtId="177" fontId="31" fillId="24" borderId="44" xfId="46" applyNumberFormat="1" applyFont="1" applyFill="1" applyBorder="1" applyAlignment="1">
      <alignment horizontal="center" vertical="center"/>
    </xf>
    <xf numFmtId="178" fontId="31" fillId="0" borderId="0" xfId="46" applyNumberFormat="1" applyFont="1" applyFill="1" applyBorder="1" applyAlignment="1">
      <alignment horizontal="right" vertical="center"/>
    </xf>
    <xf numFmtId="0" fontId="34" fillId="24" borderId="112" xfId="46" applyFont="1" applyFill="1" applyBorder="1" applyAlignment="1">
      <alignment horizontal="left" vertical="center"/>
    </xf>
    <xf numFmtId="176" fontId="32" fillId="24" borderId="141" xfId="46" applyNumberFormat="1" applyFont="1" applyFill="1" applyBorder="1" applyAlignment="1">
      <alignment horizontal="center" vertical="center"/>
    </xf>
    <xf numFmtId="176" fontId="32" fillId="24" borderId="142" xfId="46" applyNumberFormat="1" applyFont="1" applyFill="1" applyBorder="1" applyAlignment="1">
      <alignment horizontal="center" vertical="center"/>
    </xf>
    <xf numFmtId="174" fontId="35" fillId="24" borderId="0" xfId="46" applyNumberFormat="1" applyFont="1" applyFill="1" applyBorder="1" applyAlignment="1">
      <alignment horizontal="center" vertical="center"/>
    </xf>
    <xf numFmtId="176" fontId="32" fillId="24" borderId="42" xfId="46" applyNumberFormat="1" applyFont="1" applyFill="1" applyBorder="1" applyAlignment="1">
      <alignment horizontal="center" vertical="center"/>
    </xf>
    <xf numFmtId="178" fontId="57" fillId="24" borderId="0" xfId="46" applyNumberFormat="1" applyFont="1" applyFill="1" applyBorder="1" applyAlignment="1">
      <alignment horizontal="center" vertical="center"/>
    </xf>
    <xf numFmtId="0" fontId="35" fillId="24" borderId="0" xfId="46" applyFont="1" applyFill="1" applyBorder="1" applyAlignment="1">
      <alignment horizontal="center" vertical="center"/>
    </xf>
    <xf numFmtId="0" fontId="25" fillId="24" borderId="0" xfId="46" applyFont="1" applyFill="1" applyAlignment="1">
      <alignment horizontal="center" vertical="center"/>
    </xf>
    <xf numFmtId="0" fontId="31" fillId="24" borderId="0" xfId="46" applyFont="1" applyFill="1" applyAlignment="1">
      <alignment horizontal="right" vertical="center"/>
    </xf>
    <xf numFmtId="174" fontId="31" fillId="24" borderId="0" xfId="46" applyNumberFormat="1" applyFont="1" applyFill="1" applyAlignment="1">
      <alignment horizontal="right" vertical="center"/>
    </xf>
    <xf numFmtId="178" fontId="25" fillId="24" borderId="0" xfId="46" applyNumberFormat="1" applyFont="1" applyFill="1" applyAlignment="1">
      <alignment vertical="center"/>
    </xf>
    <xf numFmtId="0" fontId="25" fillId="24" borderId="0" xfId="46" applyFont="1" applyFill="1" applyAlignment="1">
      <alignment vertical="center"/>
    </xf>
    <xf numFmtId="179" fontId="21" fillId="24" borderId="0" xfId="46" applyNumberFormat="1" applyFont="1" applyFill="1" applyAlignment="1">
      <alignment horizontal="center" vertical="center"/>
    </xf>
    <xf numFmtId="0" fontId="5" fillId="24" borderId="0" xfId="46" applyFill="1" applyAlignment="1">
      <alignment vertical="center"/>
    </xf>
    <xf numFmtId="0" fontId="5" fillId="0" borderId="0" xfId="46" applyFill="1" applyBorder="1" applyAlignment="1">
      <alignment horizontal="center" vertical="center"/>
    </xf>
    <xf numFmtId="0" fontId="5" fillId="24" borderId="0" xfId="46" applyFill="1" applyBorder="1" applyAlignment="1">
      <alignment horizontal="center" vertical="center"/>
    </xf>
    <xf numFmtId="0" fontId="5" fillId="24" borderId="0" xfId="46" applyFill="1" applyAlignment="1">
      <alignment horizontal="center" vertical="center"/>
    </xf>
    <xf numFmtId="0" fontId="12" fillId="0" borderId="0" xfId="46" applyFont="1" applyFill="1" applyBorder="1" applyAlignment="1">
      <alignment horizontal="center" vertical="center"/>
    </xf>
    <xf numFmtId="0" fontId="5" fillId="24" borderId="20" xfId="46" applyFill="1" applyBorder="1" applyAlignment="1">
      <alignment horizontal="center" vertical="center"/>
    </xf>
    <xf numFmtId="0" fontId="5" fillId="24" borderId="21" xfId="46" applyFill="1" applyBorder="1" applyAlignment="1">
      <alignment horizontal="center" vertical="center"/>
    </xf>
    <xf numFmtId="0" fontId="12" fillId="39" borderId="22" xfId="46" applyFont="1" applyFill="1" applyBorder="1" applyAlignment="1">
      <alignment horizontal="center" vertical="center"/>
    </xf>
    <xf numFmtId="0" fontId="12" fillId="37" borderId="23" xfId="46" applyFont="1" applyFill="1" applyBorder="1" applyAlignment="1">
      <alignment horizontal="center" vertical="center"/>
    </xf>
    <xf numFmtId="0" fontId="12" fillId="37" borderId="24" xfId="46" applyFont="1" applyFill="1" applyBorder="1" applyAlignment="1">
      <alignment horizontal="center" vertical="center"/>
    </xf>
    <xf numFmtId="0" fontId="12" fillId="37" borderId="25" xfId="46" applyFont="1" applyFill="1" applyBorder="1" applyAlignment="1">
      <alignment horizontal="center" vertical="center"/>
    </xf>
    <xf numFmtId="0" fontId="12" fillId="37" borderId="26" xfId="46" applyFont="1" applyFill="1" applyBorder="1" applyAlignment="1">
      <alignment horizontal="center" vertical="center"/>
    </xf>
    <xf numFmtId="0" fontId="12" fillId="38" borderId="23" xfId="46" applyFont="1" applyFill="1" applyBorder="1" applyAlignment="1">
      <alignment horizontal="center" vertical="center"/>
    </xf>
    <xf numFmtId="0" fontId="12" fillId="38" borderId="24" xfId="46" applyFont="1" applyFill="1" applyBorder="1" applyAlignment="1">
      <alignment horizontal="center" vertical="center"/>
    </xf>
    <xf numFmtId="0" fontId="12" fillId="38" borderId="26" xfId="46" applyFont="1" applyFill="1" applyBorder="1" applyAlignment="1">
      <alignment horizontal="center" vertical="center"/>
    </xf>
    <xf numFmtId="0" fontId="12" fillId="38" borderId="27" xfId="46" applyFont="1" applyFill="1" applyBorder="1" applyAlignment="1">
      <alignment horizontal="center" vertical="center"/>
    </xf>
    <xf numFmtId="0" fontId="12" fillId="36" borderId="23" xfId="46" applyFont="1" applyFill="1" applyBorder="1" applyAlignment="1">
      <alignment horizontal="center" vertical="center"/>
    </xf>
    <xf numFmtId="0" fontId="12" fillId="36" borderId="26" xfId="46" applyFont="1" applyFill="1" applyBorder="1" applyAlignment="1">
      <alignment horizontal="center" vertical="center"/>
    </xf>
    <xf numFmtId="0" fontId="12" fillId="39" borderId="23" xfId="46" applyFont="1" applyFill="1" applyBorder="1" applyAlignment="1">
      <alignment horizontal="center" vertical="center"/>
    </xf>
    <xf numFmtId="0" fontId="12" fillId="39" borderId="24" xfId="46" applyFont="1" applyFill="1" applyBorder="1" applyAlignment="1">
      <alignment horizontal="center" vertical="center"/>
    </xf>
    <xf numFmtId="0" fontId="12" fillId="39" borderId="26" xfId="46" applyFont="1" applyFill="1" applyBorder="1" applyAlignment="1">
      <alignment horizontal="center" vertical="center"/>
    </xf>
    <xf numFmtId="168" fontId="8" fillId="39" borderId="28" xfId="46" applyNumberFormat="1" applyFont="1" applyFill="1" applyBorder="1" applyAlignment="1">
      <alignment horizontal="center" vertical="center"/>
    </xf>
    <xf numFmtId="0" fontId="8" fillId="37" borderId="23" xfId="46" applyNumberFormat="1" applyFont="1" applyFill="1" applyBorder="1" applyAlignment="1" applyProtection="1">
      <alignment horizontal="center" vertical="center"/>
      <protection locked="0"/>
    </xf>
    <xf numFmtId="0" fontId="8" fillId="37" borderId="24" xfId="46" applyNumberFormat="1" applyFont="1" applyFill="1" applyBorder="1" applyAlignment="1" applyProtection="1">
      <alignment horizontal="center" vertical="center"/>
      <protection locked="0"/>
    </xf>
    <xf numFmtId="9" fontId="8" fillId="37" borderId="25" xfId="46" applyNumberFormat="1" applyFont="1" applyFill="1" applyBorder="1" applyAlignment="1">
      <alignment horizontal="center" vertical="center"/>
    </xf>
    <xf numFmtId="9" fontId="8" fillId="37" borderId="26" xfId="46" applyNumberFormat="1" applyFont="1" applyFill="1" applyBorder="1" applyAlignment="1">
      <alignment horizontal="center" vertical="center"/>
    </xf>
    <xf numFmtId="0" fontId="8" fillId="37" borderId="28" xfId="46" applyNumberFormat="1" applyFont="1" applyFill="1" applyBorder="1" applyAlignment="1" applyProtection="1">
      <alignment horizontal="center" vertical="center"/>
      <protection locked="0"/>
    </xf>
    <xf numFmtId="0" fontId="8" fillId="38" borderId="23" xfId="46" applyNumberFormat="1" applyFont="1" applyFill="1" applyBorder="1" applyAlignment="1" applyProtection="1">
      <alignment horizontal="center" vertical="center"/>
      <protection locked="0"/>
    </xf>
    <xf numFmtId="0" fontId="8" fillId="38" borderId="24" xfId="46" applyNumberFormat="1" applyFont="1" applyFill="1" applyBorder="1" applyAlignment="1" applyProtection="1">
      <alignment horizontal="center" vertical="center"/>
      <protection locked="0"/>
    </xf>
    <xf numFmtId="9" fontId="8" fillId="38" borderId="26" xfId="46" applyNumberFormat="1" applyFont="1" applyFill="1" applyBorder="1" applyAlignment="1">
      <alignment horizontal="center" vertical="center"/>
    </xf>
    <xf numFmtId="0" fontId="8" fillId="38" borderId="27" xfId="46" applyNumberFormat="1" applyFont="1" applyFill="1" applyBorder="1" applyAlignment="1" applyProtection="1">
      <alignment horizontal="center" vertical="center"/>
      <protection locked="0"/>
    </xf>
    <xf numFmtId="0" fontId="8" fillId="36" borderId="23" xfId="46" applyNumberFormat="1" applyFont="1" applyFill="1" applyBorder="1" applyAlignment="1" applyProtection="1">
      <alignment horizontal="center" vertical="center"/>
      <protection locked="0"/>
    </xf>
    <xf numFmtId="9" fontId="8" fillId="36" borderId="26" xfId="46" applyNumberFormat="1" applyFont="1" applyFill="1" applyBorder="1" applyAlignment="1">
      <alignment horizontal="center" vertical="center"/>
    </xf>
    <xf numFmtId="0" fontId="8" fillId="39" borderId="23" xfId="46" applyNumberFormat="1" applyFont="1" applyFill="1" applyBorder="1" applyAlignment="1">
      <alignment horizontal="center" vertical="center"/>
    </xf>
    <xf numFmtId="0" fontId="8" fillId="39" borderId="24" xfId="46" applyNumberFormat="1" applyFont="1" applyFill="1" applyBorder="1" applyAlignment="1">
      <alignment horizontal="center" vertical="center"/>
    </xf>
    <xf numFmtId="9" fontId="8" fillId="39" borderId="26" xfId="46" applyNumberFormat="1" applyFont="1" applyFill="1" applyBorder="1" applyAlignment="1">
      <alignment horizontal="center" vertical="center"/>
    </xf>
    <xf numFmtId="0" fontId="5" fillId="24" borderId="0" xfId="46" applyFont="1" applyFill="1" applyBorder="1" applyAlignment="1">
      <alignment horizontal="center" vertical="center"/>
    </xf>
    <xf numFmtId="0" fontId="14" fillId="25" borderId="29" xfId="46" applyFont="1" applyFill="1" applyBorder="1" applyAlignment="1">
      <alignment horizontal="center" vertical="center"/>
    </xf>
    <xf numFmtId="0" fontId="8" fillId="37" borderId="29" xfId="46" applyFont="1" applyFill="1" applyBorder="1" applyAlignment="1">
      <alignment horizontal="center" vertical="center"/>
    </xf>
    <xf numFmtId="9" fontId="8" fillId="37" borderId="29" xfId="46" applyNumberFormat="1" applyFont="1" applyFill="1" applyBorder="1" applyAlignment="1">
      <alignment horizontal="center" vertical="center"/>
    </xf>
    <xf numFmtId="0" fontId="8" fillId="37" borderId="29" xfId="46" applyNumberFormat="1" applyFont="1" applyFill="1" applyBorder="1" applyAlignment="1">
      <alignment horizontal="center" vertical="center"/>
    </xf>
    <xf numFmtId="0" fontId="8" fillId="38" borderId="29" xfId="46" applyNumberFormat="1" applyFont="1" applyFill="1" applyBorder="1" applyAlignment="1">
      <alignment horizontal="center" vertical="center"/>
    </xf>
    <xf numFmtId="9" fontId="8" fillId="38" borderId="29" xfId="46" applyNumberFormat="1" applyFont="1" applyFill="1" applyBorder="1" applyAlignment="1">
      <alignment horizontal="center" vertical="center"/>
    </xf>
    <xf numFmtId="0" fontId="8" fillId="36" borderId="29" xfId="46" applyNumberFormat="1" applyFont="1" applyFill="1" applyBorder="1" applyAlignment="1">
      <alignment horizontal="center" vertical="center"/>
    </xf>
    <xf numFmtId="9" fontId="8" fillId="36" borderId="29" xfId="46" applyNumberFormat="1" applyFont="1" applyFill="1" applyBorder="1" applyAlignment="1">
      <alignment horizontal="center" vertical="center"/>
    </xf>
    <xf numFmtId="0" fontId="8" fillId="39" borderId="29" xfId="46" applyNumberFormat="1" applyFont="1" applyFill="1" applyBorder="1" applyAlignment="1">
      <alignment horizontal="center" vertical="center"/>
    </xf>
    <xf numFmtId="9" fontId="8" fillId="39" borderId="29" xfId="46" applyNumberFormat="1" applyFont="1" applyFill="1" applyBorder="1" applyAlignment="1">
      <alignment horizontal="center" vertical="center"/>
    </xf>
    <xf numFmtId="0" fontId="14" fillId="24" borderId="0" xfId="46" applyFont="1" applyFill="1" applyBorder="1" applyAlignment="1">
      <alignment vertical="center"/>
    </xf>
    <xf numFmtId="0" fontId="8" fillId="24" borderId="0" xfId="46" applyFont="1" applyFill="1" applyBorder="1" applyAlignment="1">
      <alignment vertical="center"/>
    </xf>
    <xf numFmtId="0" fontId="5" fillId="24" borderId="0" xfId="46" applyFont="1" applyFill="1" applyBorder="1" applyAlignment="1">
      <alignment vertical="center"/>
    </xf>
    <xf numFmtId="0" fontId="5" fillId="24" borderId="0" xfId="46" applyFill="1" applyBorder="1" applyAlignment="1">
      <alignment vertical="center"/>
    </xf>
    <xf numFmtId="0" fontId="14" fillId="24" borderId="0" xfId="46" applyFont="1" applyFill="1" applyAlignment="1">
      <alignment vertical="center"/>
    </xf>
    <xf numFmtId="0" fontId="60" fillId="31" borderId="13" xfId="46" applyFont="1" applyFill="1" applyBorder="1" applyAlignment="1">
      <alignment vertical="center"/>
    </xf>
    <xf numFmtId="0" fontId="8" fillId="0" borderId="0" xfId="46" applyFont="1" applyAlignment="1">
      <alignment horizontal="center" vertical="center"/>
    </xf>
    <xf numFmtId="0" fontId="5" fillId="0" borderId="0" xfId="46" applyAlignment="1">
      <alignment horizontal="center" vertical="center"/>
    </xf>
    <xf numFmtId="0" fontId="26" fillId="0" borderId="0" xfId="46" applyFont="1" applyAlignment="1">
      <alignment horizontal="center" vertical="center"/>
    </xf>
    <xf numFmtId="14" fontId="58" fillId="30" borderId="109" xfId="46" applyNumberFormat="1" applyFont="1" applyFill="1" applyBorder="1" applyAlignment="1" applyProtection="1">
      <alignment horizontal="center" vertical="center"/>
    </xf>
    <xf numFmtId="3" fontId="58" fillId="34" borderId="109" xfId="46" applyNumberFormat="1" applyFont="1" applyFill="1" applyBorder="1" applyAlignment="1" applyProtection="1">
      <alignment horizontal="center" vertical="center"/>
    </xf>
    <xf numFmtId="3" fontId="63" fillId="32" borderId="109" xfId="48" applyNumberFormat="1" applyFont="1" applyFill="1" applyBorder="1" applyAlignment="1" applyProtection="1">
      <alignment horizontal="center"/>
    </xf>
    <xf numFmtId="0" fontId="63" fillId="36" borderId="109" xfId="48" applyNumberFormat="1" applyFont="1" applyFill="1" applyBorder="1" applyAlignment="1" applyProtection="1">
      <alignment horizontal="center"/>
    </xf>
    <xf numFmtId="3" fontId="58" fillId="30" borderId="109" xfId="46" applyNumberFormat="1" applyFont="1" applyFill="1" applyBorder="1" applyAlignment="1" applyProtection="1">
      <alignment horizontal="center" vertical="center"/>
    </xf>
    <xf numFmtId="3" fontId="58" fillId="33" borderId="109" xfId="46" applyNumberFormat="1" applyFont="1" applyFill="1" applyBorder="1" applyAlignment="1" applyProtection="1">
      <alignment horizontal="center" vertical="center"/>
    </xf>
    <xf numFmtId="3" fontId="58" fillId="35" borderId="109" xfId="46" applyNumberFormat="1" applyFont="1" applyFill="1" applyBorder="1" applyAlignment="1" applyProtection="1">
      <alignment horizontal="center" vertical="center"/>
    </xf>
    <xf numFmtId="9" fontId="58" fillId="34" borderId="109" xfId="49" applyFont="1" applyFill="1" applyBorder="1" applyAlignment="1" applyProtection="1">
      <alignment horizontal="center" vertical="center"/>
    </xf>
    <xf numFmtId="9" fontId="58" fillId="39" borderId="109" xfId="49" applyFont="1" applyFill="1" applyBorder="1" applyAlignment="1" applyProtection="1">
      <alignment horizontal="center" vertical="center"/>
    </xf>
    <xf numFmtId="3" fontId="58" fillId="36" borderId="82" xfId="46" applyNumberFormat="1" applyFont="1" applyFill="1" applyBorder="1" applyAlignment="1" applyProtection="1">
      <alignment horizontal="center" vertical="center"/>
      <protection locked="0"/>
    </xf>
    <xf numFmtId="3" fontId="58" fillId="41" borderId="82" xfId="46" applyNumberFormat="1" applyFont="1" applyFill="1" applyBorder="1" applyAlignment="1" applyProtection="1">
      <alignment horizontal="center" vertical="center"/>
      <protection locked="0"/>
    </xf>
    <xf numFmtId="3" fontId="58" fillId="30" borderId="82" xfId="46" applyNumberFormat="1" applyFont="1" applyFill="1" applyBorder="1" applyAlignment="1" applyProtection="1">
      <alignment horizontal="center" vertical="center"/>
      <protection locked="0"/>
    </xf>
    <xf numFmtId="3" fontId="58" fillId="34" borderId="82" xfId="46" applyNumberFormat="1" applyFont="1" applyFill="1" applyBorder="1" applyAlignment="1" applyProtection="1">
      <alignment horizontal="center" vertical="center"/>
    </xf>
    <xf numFmtId="3" fontId="63" fillId="32" borderId="82" xfId="48" applyNumberFormat="1" applyFont="1" applyFill="1" applyBorder="1" applyAlignment="1" applyProtection="1">
      <alignment horizontal="center"/>
    </xf>
    <xf numFmtId="0" fontId="63" fillId="36" borderId="82" xfId="48" applyNumberFormat="1" applyFont="1" applyFill="1" applyBorder="1" applyAlignment="1" applyProtection="1">
      <alignment horizontal="center"/>
    </xf>
    <xf numFmtId="3" fontId="58" fillId="30" borderId="82" xfId="46" applyNumberFormat="1" applyFont="1" applyFill="1" applyBorder="1" applyAlignment="1" applyProtection="1">
      <alignment horizontal="center" vertical="center"/>
    </xf>
    <xf numFmtId="3" fontId="58" fillId="33" borderId="82" xfId="46" applyNumberFormat="1" applyFont="1" applyFill="1" applyBorder="1" applyAlignment="1" applyProtection="1">
      <alignment horizontal="center" vertical="center"/>
    </xf>
    <xf numFmtId="3" fontId="58" fillId="35" borderId="82" xfId="46" applyNumberFormat="1" applyFont="1" applyFill="1" applyBorder="1" applyAlignment="1" applyProtection="1">
      <alignment horizontal="center" vertical="center"/>
    </xf>
    <xf numFmtId="9" fontId="58" fillId="34" borderId="82" xfId="49" applyFont="1" applyFill="1" applyBorder="1" applyAlignment="1" applyProtection="1">
      <alignment horizontal="center" vertical="center"/>
    </xf>
    <xf numFmtId="9" fontId="58" fillId="39" borderId="82" xfId="49" applyFont="1" applyFill="1" applyBorder="1" applyAlignment="1" applyProtection="1">
      <alignment horizontal="center" vertical="center"/>
    </xf>
    <xf numFmtId="3" fontId="58" fillId="36" borderId="108" xfId="46" applyNumberFormat="1" applyFont="1" applyFill="1" applyBorder="1" applyAlignment="1" applyProtection="1">
      <alignment horizontal="center" vertical="center"/>
      <protection locked="0"/>
    </xf>
    <xf numFmtId="3" fontId="58" fillId="41" borderId="108" xfId="46" applyNumberFormat="1" applyFont="1" applyFill="1" applyBorder="1" applyAlignment="1" applyProtection="1">
      <alignment horizontal="center" vertical="center"/>
      <protection locked="0"/>
    </xf>
    <xf numFmtId="3" fontId="58" fillId="30" borderId="108" xfId="46" applyNumberFormat="1" applyFont="1" applyFill="1" applyBorder="1" applyAlignment="1" applyProtection="1">
      <alignment horizontal="center" vertical="center"/>
      <protection locked="0"/>
    </xf>
    <xf numFmtId="3" fontId="58" fillId="34" borderId="108" xfId="46" applyNumberFormat="1" applyFont="1" applyFill="1" applyBorder="1" applyAlignment="1" applyProtection="1">
      <alignment horizontal="center" vertical="center"/>
    </xf>
    <xf numFmtId="0" fontId="63" fillId="36" borderId="108" xfId="48" applyNumberFormat="1" applyFont="1" applyFill="1" applyBorder="1" applyAlignment="1" applyProtection="1">
      <alignment horizontal="center"/>
    </xf>
    <xf numFmtId="14" fontId="59" fillId="30" borderId="13" xfId="46" applyNumberFormat="1" applyFont="1" applyFill="1" applyBorder="1" applyAlignment="1">
      <alignment horizontal="center" vertical="center"/>
    </xf>
    <xf numFmtId="3" fontId="59" fillId="36" borderId="13" xfId="46" applyNumberFormat="1" applyFont="1" applyFill="1" applyBorder="1" applyAlignment="1">
      <alignment horizontal="center" vertical="center"/>
    </xf>
    <xf numFmtId="3" fontId="59" fillId="30" borderId="13" xfId="46" applyNumberFormat="1" applyFont="1" applyFill="1" applyBorder="1" applyAlignment="1">
      <alignment horizontal="center" vertical="center"/>
    </xf>
    <xf numFmtId="3" fontId="59" fillId="33" borderId="13" xfId="46" applyNumberFormat="1" applyFont="1" applyFill="1" applyBorder="1" applyAlignment="1">
      <alignment horizontal="center" vertical="center"/>
    </xf>
    <xf numFmtId="3" fontId="59" fillId="35" borderId="13" xfId="46" applyNumberFormat="1" applyFont="1" applyFill="1" applyBorder="1" applyAlignment="1">
      <alignment horizontal="center" vertical="center"/>
    </xf>
    <xf numFmtId="9" fontId="59" fillId="34" borderId="13" xfId="49" applyFont="1" applyFill="1" applyBorder="1" applyAlignment="1">
      <alignment horizontal="center" vertical="center"/>
    </xf>
    <xf numFmtId="9" fontId="59" fillId="39" borderId="13" xfId="49" applyFont="1" applyFill="1" applyBorder="1" applyAlignment="1">
      <alignment horizontal="center" vertical="center"/>
    </xf>
    <xf numFmtId="0" fontId="5" fillId="29" borderId="0" xfId="46" applyFill="1" applyAlignment="1">
      <alignment horizontal="center" vertical="center"/>
    </xf>
    <xf numFmtId="0" fontId="5" fillId="0" borderId="0" xfId="46" applyNumberFormat="1" applyAlignment="1">
      <alignment horizontal="center" vertical="center"/>
    </xf>
    <xf numFmtId="0" fontId="5" fillId="29" borderId="0" xfId="46" applyNumberFormat="1" applyFill="1" applyAlignment="1">
      <alignment horizontal="center" vertical="center"/>
    </xf>
    <xf numFmtId="0" fontId="8" fillId="37" borderId="23" xfId="46" applyNumberFormat="1" applyFont="1" applyFill="1" applyBorder="1" applyAlignment="1" applyProtection="1">
      <alignment horizontal="center" vertical="center"/>
      <protection locked="0"/>
    </xf>
    <xf numFmtId="0" fontId="8" fillId="37" borderId="24" xfId="46" applyNumberFormat="1" applyFont="1" applyFill="1" applyBorder="1" applyAlignment="1" applyProtection="1">
      <alignment horizontal="center" vertical="center"/>
      <protection locked="0"/>
    </xf>
    <xf numFmtId="0" fontId="8" fillId="37" borderId="23" xfId="46" applyNumberFormat="1" applyFont="1" applyFill="1" applyBorder="1" applyAlignment="1" applyProtection="1">
      <alignment horizontal="center" vertical="center"/>
      <protection locked="0"/>
    </xf>
    <xf numFmtId="0" fontId="8" fillId="37" borderId="24" xfId="46" applyNumberFormat="1" applyFont="1" applyFill="1" applyBorder="1" applyAlignment="1" applyProtection="1">
      <alignment horizontal="center" vertical="center"/>
      <protection locked="0"/>
    </xf>
    <xf numFmtId="0" fontId="8" fillId="37" borderId="28" xfId="46" applyNumberFormat="1" applyFont="1" applyFill="1" applyBorder="1" applyAlignment="1" applyProtection="1">
      <alignment horizontal="center" vertical="center"/>
      <protection locked="0"/>
    </xf>
    <xf numFmtId="0" fontId="8" fillId="38" borderId="23" xfId="46" applyNumberFormat="1" applyFont="1" applyFill="1" applyBorder="1" applyAlignment="1" applyProtection="1">
      <alignment horizontal="center" vertical="center"/>
      <protection locked="0"/>
    </xf>
    <xf numFmtId="0" fontId="8" fillId="38" borderId="24" xfId="46" applyNumberFormat="1" applyFont="1" applyFill="1" applyBorder="1" applyAlignment="1" applyProtection="1">
      <alignment horizontal="center" vertical="center"/>
      <protection locked="0"/>
    </xf>
    <xf numFmtId="0" fontId="8" fillId="38" borderId="24" xfId="46" applyNumberFormat="1" applyFont="1" applyFill="1" applyBorder="1" applyAlignment="1" applyProtection="1">
      <alignment horizontal="center" vertical="center"/>
      <protection locked="0"/>
    </xf>
    <xf numFmtId="0" fontId="8" fillId="38" borderId="27" xfId="46" applyNumberFormat="1" applyFont="1" applyFill="1" applyBorder="1" applyAlignment="1" applyProtection="1">
      <alignment horizontal="center" vertical="center"/>
      <protection locked="0"/>
    </xf>
    <xf numFmtId="0" fontId="8" fillId="38" borderId="24" xfId="46" applyNumberFormat="1" applyFont="1" applyFill="1" applyBorder="1" applyAlignment="1" applyProtection="1">
      <alignment horizontal="center" vertical="center"/>
      <protection locked="0"/>
    </xf>
    <xf numFmtId="0" fontId="8" fillId="38" borderId="27" xfId="46" applyNumberFormat="1" applyFont="1" applyFill="1" applyBorder="1" applyAlignment="1" applyProtection="1">
      <alignment horizontal="center" vertical="center"/>
      <protection locked="0"/>
    </xf>
    <xf numFmtId="0" fontId="8" fillId="36" borderId="23" xfId="46" applyNumberFormat="1" applyFont="1" applyFill="1" applyBorder="1" applyAlignment="1" applyProtection="1">
      <alignment horizontal="center" vertical="center"/>
      <protection locked="0"/>
    </xf>
    <xf numFmtId="3" fontId="58" fillId="36" borderId="109" xfId="46" applyNumberFormat="1" applyFont="1" applyFill="1" applyBorder="1" applyAlignment="1" applyProtection="1">
      <alignment horizontal="center" vertical="center"/>
      <protection locked="0"/>
    </xf>
    <xf numFmtId="3" fontId="58" fillId="41" borderId="109" xfId="46" applyNumberFormat="1" applyFont="1" applyFill="1" applyBorder="1" applyAlignment="1" applyProtection="1">
      <alignment horizontal="center" vertical="center"/>
      <protection locked="0"/>
    </xf>
    <xf numFmtId="3" fontId="58" fillId="30" borderId="109" xfId="46" applyNumberFormat="1" applyFont="1" applyFill="1" applyBorder="1" applyAlignment="1" applyProtection="1">
      <alignment horizontal="center" vertical="center"/>
      <protection locked="0"/>
    </xf>
    <xf numFmtId="3" fontId="58" fillId="36" borderId="82" xfId="46" applyNumberFormat="1" applyFont="1" applyFill="1" applyBorder="1" applyAlignment="1" applyProtection="1">
      <alignment horizontal="center" vertical="center"/>
      <protection locked="0"/>
    </xf>
    <xf numFmtId="3" fontId="58" fillId="41" borderId="82" xfId="46" applyNumberFormat="1" applyFont="1" applyFill="1" applyBorder="1" applyAlignment="1" applyProtection="1">
      <alignment horizontal="center" vertical="center"/>
      <protection locked="0"/>
    </xf>
    <xf numFmtId="3" fontId="58" fillId="30" borderId="82" xfId="46" applyNumberFormat="1" applyFont="1" applyFill="1" applyBorder="1" applyAlignment="1" applyProtection="1">
      <alignment horizontal="center" vertical="center"/>
      <protection locked="0"/>
    </xf>
    <xf numFmtId="0" fontId="91" fillId="24" borderId="0" xfId="46" applyFont="1" applyFill="1" applyBorder="1" applyAlignment="1">
      <alignment horizontal="center" vertical="center"/>
    </xf>
    <xf numFmtId="0" fontId="92" fillId="24" borderId="0" xfId="46" applyFont="1" applyFill="1" applyAlignment="1">
      <alignment horizontal="center" vertical="center"/>
    </xf>
    <xf numFmtId="0" fontId="92" fillId="24" borderId="0" xfId="46" applyFont="1" applyFill="1" applyAlignment="1">
      <alignment horizontal="right" vertical="center"/>
    </xf>
    <xf numFmtId="170" fontId="5" fillId="0" borderId="51" xfId="0" applyNumberFormat="1" applyFont="1" applyFill="1" applyBorder="1" applyAlignment="1" applyProtection="1">
      <alignment vertical="center"/>
      <protection locked="0"/>
    </xf>
    <xf numFmtId="17" fontId="88" fillId="0" borderId="82" xfId="46" applyNumberFormat="1" applyFont="1" applyBorder="1" applyAlignment="1">
      <alignment horizontal="center" vertical="center"/>
    </xf>
    <xf numFmtId="49" fontId="80" fillId="39" borderId="130" xfId="0" applyNumberFormat="1" applyFont="1" applyFill="1" applyBorder="1" applyAlignment="1">
      <alignment horizontal="center" vertical="center" wrapText="1" shrinkToFit="1"/>
    </xf>
    <xf numFmtId="49" fontId="80" fillId="39" borderId="131" xfId="0" applyNumberFormat="1" applyFont="1" applyFill="1" applyBorder="1" applyAlignment="1">
      <alignment horizontal="center" vertical="center" wrapText="1" shrinkToFit="1"/>
    </xf>
    <xf numFmtId="49" fontId="80" fillId="39" borderId="132" xfId="0" applyNumberFormat="1" applyFont="1" applyFill="1" applyBorder="1" applyAlignment="1">
      <alignment horizontal="center" vertical="center" wrapText="1" shrinkToFit="1"/>
    </xf>
    <xf numFmtId="49" fontId="80" fillId="39" borderId="129" xfId="0" applyNumberFormat="1" applyFont="1" applyFill="1" applyBorder="1" applyAlignment="1">
      <alignment horizontal="center" vertical="center" wrapText="1" shrinkToFit="1"/>
    </xf>
    <xf numFmtId="49" fontId="80" fillId="39" borderId="0" xfId="0" applyNumberFormat="1" applyFont="1" applyFill="1" applyBorder="1" applyAlignment="1">
      <alignment horizontal="center" vertical="center" wrapText="1" shrinkToFit="1"/>
    </xf>
    <xf numFmtId="49" fontId="80" fillId="39" borderId="133" xfId="0" applyNumberFormat="1" applyFont="1" applyFill="1" applyBorder="1" applyAlignment="1">
      <alignment horizontal="center" vertical="center" wrapText="1" shrinkToFit="1"/>
    </xf>
    <xf numFmtId="0" fontId="80" fillId="39" borderId="134" xfId="0" applyNumberFormat="1" applyFont="1" applyFill="1" applyBorder="1" applyAlignment="1">
      <alignment horizontal="center" vertical="center" shrinkToFit="1"/>
    </xf>
    <xf numFmtId="0" fontId="80" fillId="39" borderId="135" xfId="0" applyNumberFormat="1" applyFont="1" applyFill="1" applyBorder="1" applyAlignment="1">
      <alignment horizontal="center" vertical="center" shrinkToFit="1"/>
    </xf>
    <xf numFmtId="0" fontId="80" fillId="39" borderId="136" xfId="0" applyNumberFormat="1" applyFont="1" applyFill="1" applyBorder="1" applyAlignment="1">
      <alignment horizontal="center" vertical="center" shrinkToFit="1"/>
    </xf>
    <xf numFmtId="0" fontId="8" fillId="34" borderId="10" xfId="0" applyFont="1" applyFill="1" applyBorder="1" applyAlignment="1">
      <alignment horizontal="center" vertical="center"/>
    </xf>
    <xf numFmtId="0" fontId="8" fillId="34" borderId="11" xfId="0" applyFont="1" applyFill="1" applyBorder="1" applyAlignment="1">
      <alignment horizontal="center" vertical="center"/>
    </xf>
    <xf numFmtId="0" fontId="8" fillId="34" borderId="83" xfId="0" applyFont="1" applyFill="1" applyBorder="1" applyAlignment="1">
      <alignment horizontal="center" vertical="center"/>
    </xf>
    <xf numFmtId="0" fontId="8" fillId="34" borderId="15" xfId="0" applyFont="1" applyFill="1" applyBorder="1" applyAlignment="1">
      <alignment horizontal="center" vertical="center"/>
    </xf>
    <xf numFmtId="0" fontId="8" fillId="34" borderId="17" xfId="0" applyFont="1" applyFill="1" applyBorder="1" applyAlignment="1">
      <alignment horizontal="center" vertical="center"/>
    </xf>
    <xf numFmtId="166" fontId="10" fillId="34" borderId="84" xfId="0" applyNumberFormat="1" applyFont="1" applyFill="1" applyBorder="1" applyAlignment="1">
      <alignment horizontal="center" vertical="center"/>
    </xf>
    <xf numFmtId="166" fontId="10" fillId="34" borderId="85" xfId="0" applyNumberFormat="1" applyFont="1" applyFill="1" applyBorder="1" applyAlignment="1">
      <alignment horizontal="center" vertical="center"/>
    </xf>
    <xf numFmtId="166" fontId="10" fillId="34" borderId="23" xfId="0" applyNumberFormat="1" applyFont="1" applyFill="1" applyBorder="1" applyAlignment="1">
      <alignment horizontal="center" vertical="center"/>
    </xf>
    <xf numFmtId="166" fontId="10" fillId="34" borderId="24" xfId="0" applyNumberFormat="1" applyFont="1" applyFill="1" applyBorder="1" applyAlignment="1">
      <alignment horizontal="center" vertical="center"/>
    </xf>
    <xf numFmtId="166" fontId="8" fillId="34" borderId="86" xfId="0" applyNumberFormat="1" applyFont="1" applyFill="1" applyBorder="1" applyAlignment="1">
      <alignment horizontal="center" vertical="center"/>
    </xf>
    <xf numFmtId="166" fontId="8" fillId="34" borderId="87" xfId="0" applyNumberFormat="1" applyFont="1" applyFill="1" applyBorder="1" applyAlignment="1">
      <alignment horizontal="center" vertical="center"/>
    </xf>
    <xf numFmtId="0" fontId="8" fillId="34" borderId="31" xfId="0" applyFont="1" applyFill="1" applyBorder="1" applyAlignment="1">
      <alignment horizontal="center" vertical="center"/>
    </xf>
    <xf numFmtId="0" fontId="8" fillId="34" borderId="20" xfId="0" applyFont="1" applyFill="1" applyBorder="1" applyAlignment="1">
      <alignment horizontal="center" vertical="center"/>
    </xf>
    <xf numFmtId="0" fontId="8" fillId="34" borderId="20" xfId="0" applyFont="1" applyFill="1" applyBorder="1" applyAlignment="1">
      <alignment horizontal="center" vertical="center" wrapText="1"/>
    </xf>
    <xf numFmtId="0" fontId="8" fillId="34" borderId="21" xfId="0" applyFont="1" applyFill="1" applyBorder="1" applyAlignment="1">
      <alignment horizontal="center" vertical="center" wrapText="1"/>
    </xf>
    <xf numFmtId="0" fontId="8" fillId="34" borderId="17" xfId="0" applyFont="1" applyFill="1" applyBorder="1" applyAlignment="1">
      <alignment horizontal="center" vertical="center" wrapText="1"/>
    </xf>
    <xf numFmtId="0" fontId="8" fillId="34" borderId="18" xfId="0" applyFont="1" applyFill="1" applyBorder="1" applyAlignment="1">
      <alignment horizontal="center" vertical="center" wrapText="1"/>
    </xf>
    <xf numFmtId="0" fontId="8" fillId="42" borderId="31" xfId="0" applyFont="1" applyFill="1" applyBorder="1" applyAlignment="1">
      <alignment horizontal="center" vertical="center"/>
    </xf>
    <xf numFmtId="0" fontId="8" fillId="42" borderId="15" xfId="0" applyFont="1" applyFill="1" applyBorder="1" applyAlignment="1">
      <alignment horizontal="center" vertical="center"/>
    </xf>
    <xf numFmtId="181" fontId="8" fillId="34" borderId="63" xfId="46" applyNumberFormat="1" applyFont="1" applyFill="1" applyBorder="1" applyAlignment="1" applyProtection="1">
      <alignment horizontal="center" vertical="center"/>
    </xf>
    <xf numFmtId="181" fontId="8" fillId="34" borderId="91" xfId="46" applyNumberFormat="1" applyFont="1" applyFill="1" applyBorder="1" applyAlignment="1" applyProtection="1">
      <alignment horizontal="center" vertical="center"/>
    </xf>
    <xf numFmtId="0" fontId="80" fillId="39" borderId="92" xfId="46" applyFont="1" applyFill="1" applyBorder="1" applyAlignment="1" applyProtection="1">
      <alignment horizontal="center" vertical="center"/>
    </xf>
    <xf numFmtId="0" fontId="80" fillId="39" borderId="93" xfId="46" applyFont="1" applyFill="1" applyBorder="1" applyAlignment="1" applyProtection="1">
      <alignment horizontal="center" vertical="center"/>
    </xf>
    <xf numFmtId="0" fontId="80" fillId="39" borderId="94" xfId="46" applyFont="1" applyFill="1" applyBorder="1" applyAlignment="1" applyProtection="1">
      <alignment horizontal="center" vertical="center"/>
    </xf>
    <xf numFmtId="0" fontId="6" fillId="34" borderId="88" xfId="46" applyFont="1" applyFill="1" applyBorder="1" applyAlignment="1" applyProtection="1">
      <alignment horizontal="center" vertical="center"/>
    </xf>
    <xf numFmtId="0" fontId="6" fillId="34" borderId="89" xfId="46" applyFont="1" applyFill="1" applyBorder="1" applyAlignment="1" applyProtection="1">
      <alignment horizontal="center" vertical="center"/>
    </xf>
    <xf numFmtId="0" fontId="6" fillId="34" borderId="90" xfId="46" applyFont="1" applyFill="1" applyBorder="1" applyAlignment="1" applyProtection="1">
      <alignment horizontal="center" vertical="center"/>
    </xf>
    <xf numFmtId="0" fontId="6" fillId="37" borderId="88" xfId="46" applyFont="1" applyFill="1" applyBorder="1" applyAlignment="1" applyProtection="1">
      <alignment horizontal="center" vertical="center"/>
    </xf>
    <xf numFmtId="0" fontId="6" fillId="37" borderId="89" xfId="46" applyFont="1" applyFill="1" applyBorder="1" applyAlignment="1" applyProtection="1">
      <alignment horizontal="center" vertical="center"/>
    </xf>
    <xf numFmtId="0" fontId="6" fillId="37" borderId="90" xfId="46" applyFont="1" applyFill="1" applyBorder="1" applyAlignment="1" applyProtection="1">
      <alignment horizontal="center" vertical="center"/>
    </xf>
    <xf numFmtId="0" fontId="5" fillId="34" borderId="95" xfId="46" applyFill="1" applyBorder="1" applyAlignment="1" applyProtection="1">
      <alignment horizontal="center" vertical="center" wrapText="1"/>
    </xf>
    <xf numFmtId="0" fontId="5" fillId="34" borderId="91" xfId="46" applyFill="1" applyBorder="1" applyAlignment="1" applyProtection="1">
      <alignment horizontal="center" vertical="center" wrapText="1"/>
    </xf>
    <xf numFmtId="0" fontId="18" fillId="37" borderId="14" xfId="46" applyFont="1" applyFill="1" applyBorder="1" applyAlignment="1" applyProtection="1">
      <alignment horizontal="center" vertical="center"/>
    </xf>
    <xf numFmtId="0" fontId="18" fillId="37" borderId="15" xfId="46" applyFont="1" applyFill="1" applyBorder="1" applyAlignment="1" applyProtection="1">
      <alignment horizontal="center" vertical="center"/>
    </xf>
    <xf numFmtId="0" fontId="18" fillId="34" borderId="14" xfId="46" applyFont="1" applyFill="1" applyBorder="1" applyAlignment="1" applyProtection="1">
      <alignment horizontal="center" vertical="center"/>
    </xf>
    <xf numFmtId="0" fontId="18" fillId="34" borderId="15" xfId="46" applyFont="1" applyFill="1" applyBorder="1" applyAlignment="1" applyProtection="1">
      <alignment horizontal="center" vertical="center"/>
    </xf>
    <xf numFmtId="0" fontId="14" fillId="24" borderId="0" xfId="46" applyFont="1" applyFill="1" applyAlignment="1">
      <alignment horizontal="center" vertical="center"/>
    </xf>
    <xf numFmtId="0" fontId="24" fillId="26" borderId="25" xfId="46" applyFont="1" applyFill="1" applyBorder="1" applyAlignment="1">
      <alignment horizontal="center" vertical="center"/>
    </xf>
    <xf numFmtId="0" fontId="24" fillId="26" borderId="128" xfId="46" applyFont="1" applyFill="1" applyBorder="1" applyAlignment="1">
      <alignment horizontal="center" vertical="center"/>
    </xf>
    <xf numFmtId="0" fontId="24" fillId="26" borderId="27" xfId="46" applyFont="1" applyFill="1" applyBorder="1" applyAlignment="1">
      <alignment horizontal="center" vertical="center"/>
    </xf>
    <xf numFmtId="0" fontId="23" fillId="28" borderId="24" xfId="46" applyFont="1" applyFill="1" applyBorder="1" applyAlignment="1">
      <alignment horizontal="center" vertical="center"/>
    </xf>
    <xf numFmtId="0" fontId="24" fillId="43" borderId="24" xfId="46" applyFont="1" applyFill="1" applyBorder="1" applyAlignment="1">
      <alignment horizontal="center" vertical="center"/>
    </xf>
    <xf numFmtId="0" fontId="26" fillId="24" borderId="96" xfId="46" applyFont="1" applyFill="1" applyBorder="1" applyAlignment="1">
      <alignment horizontal="center" vertical="center"/>
    </xf>
    <xf numFmtId="0" fontId="26" fillId="24" borderId="97" xfId="46" applyFont="1" applyFill="1" applyBorder="1" applyAlignment="1">
      <alignment horizontal="center" vertical="center"/>
    </xf>
    <xf numFmtId="0" fontId="27" fillId="24" borderId="98" xfId="46" applyFont="1" applyFill="1" applyBorder="1" applyAlignment="1">
      <alignment horizontal="center" vertical="center"/>
    </xf>
    <xf numFmtId="0" fontId="27" fillId="24" borderId="99" xfId="46" applyFont="1" applyFill="1" applyBorder="1" applyAlignment="1">
      <alignment horizontal="center" vertical="center"/>
    </xf>
    <xf numFmtId="0" fontId="27" fillId="24" borderId="100" xfId="46" applyFont="1" applyFill="1" applyBorder="1" applyAlignment="1">
      <alignment horizontal="center" vertical="center"/>
    </xf>
    <xf numFmtId="0" fontId="27" fillId="24" borderId="101" xfId="46" applyFont="1" applyFill="1" applyBorder="1" applyAlignment="1">
      <alignment horizontal="center" vertical="center"/>
    </xf>
    <xf numFmtId="0" fontId="27" fillId="24" borderId="104" xfId="46" applyFont="1" applyFill="1" applyBorder="1" applyAlignment="1">
      <alignment horizontal="center" vertical="center"/>
    </xf>
    <xf numFmtId="0" fontId="27" fillId="24" borderId="105" xfId="46" applyFont="1" applyFill="1" applyBorder="1" applyAlignment="1">
      <alignment horizontal="center" vertical="center"/>
    </xf>
    <xf numFmtId="0" fontId="27" fillId="24" borderId="0" xfId="46" applyFont="1" applyFill="1" applyAlignment="1">
      <alignment horizontal="center" vertical="center"/>
    </xf>
    <xf numFmtId="0" fontId="24" fillId="26" borderId="24" xfId="46" applyFont="1" applyFill="1" applyBorder="1" applyAlignment="1">
      <alignment horizontal="center" vertical="center"/>
    </xf>
    <xf numFmtId="178" fontId="27" fillId="24" borderId="0" xfId="46" applyNumberFormat="1" applyFont="1" applyFill="1" applyAlignment="1">
      <alignment horizontal="center" vertical="center"/>
    </xf>
    <xf numFmtId="181" fontId="29" fillId="24" borderId="102" xfId="46" applyNumberFormat="1" applyFont="1" applyFill="1" applyBorder="1" applyAlignment="1">
      <alignment horizontal="center" vertical="center"/>
    </xf>
    <xf numFmtId="181" fontId="29" fillId="24" borderId="103" xfId="46" applyNumberFormat="1" applyFont="1" applyFill="1" applyBorder="1" applyAlignment="1">
      <alignment horizontal="center" vertical="center"/>
    </xf>
    <xf numFmtId="0" fontId="21" fillId="24" borderId="96" xfId="46" applyFont="1" applyFill="1" applyBorder="1" applyAlignment="1" applyProtection="1">
      <alignment horizontal="center" vertical="center" wrapText="1"/>
      <protection locked="0"/>
    </xf>
    <xf numFmtId="0" fontId="21" fillId="24" borderId="97" xfId="46" applyFont="1" applyFill="1" applyBorder="1" applyAlignment="1" applyProtection="1">
      <alignment horizontal="center" vertical="center" wrapText="1"/>
      <protection locked="0"/>
    </xf>
    <xf numFmtId="0" fontId="25" fillId="24" borderId="0" xfId="46" applyFont="1" applyFill="1" applyAlignment="1">
      <alignment horizontal="justify" vertical="center" wrapText="1"/>
    </xf>
    <xf numFmtId="0" fontId="12" fillId="24" borderId="27" xfId="46" applyFont="1" applyFill="1" applyBorder="1" applyAlignment="1">
      <alignment horizontal="center" vertical="center"/>
    </xf>
    <xf numFmtId="0" fontId="12" fillId="24" borderId="24" xfId="46" applyFont="1" applyFill="1" applyBorder="1" applyAlignment="1">
      <alignment horizontal="center" vertical="center"/>
    </xf>
    <xf numFmtId="0" fontId="12" fillId="24" borderId="26" xfId="46" applyFont="1" applyFill="1" applyBorder="1" applyAlignment="1">
      <alignment horizontal="center" vertical="center"/>
    </xf>
    <xf numFmtId="0" fontId="11" fillId="24" borderId="0" xfId="46" applyFont="1" applyFill="1" applyBorder="1" applyAlignment="1">
      <alignment horizontal="center" vertical="center"/>
    </xf>
    <xf numFmtId="0" fontId="12" fillId="37" borderId="84" xfId="46" applyFont="1" applyFill="1" applyBorder="1" applyAlignment="1">
      <alignment horizontal="center" vertical="center"/>
    </xf>
    <xf numFmtId="0" fontId="12" fillId="37" borderId="85" xfId="46" applyFont="1" applyFill="1" applyBorder="1" applyAlignment="1">
      <alignment horizontal="center" vertical="center"/>
    </xf>
    <xf numFmtId="0" fontId="12" fillId="37" borderId="106" xfId="46" applyFont="1" applyFill="1" applyBorder="1" applyAlignment="1">
      <alignment horizontal="center" vertical="center"/>
    </xf>
    <xf numFmtId="0" fontId="12" fillId="37" borderId="107" xfId="46" applyFont="1" applyFill="1" applyBorder="1" applyAlignment="1">
      <alignment horizontal="center" vertical="center"/>
    </xf>
    <xf numFmtId="0" fontId="13" fillId="37" borderId="22" xfId="46" applyFont="1" applyFill="1" applyBorder="1" applyAlignment="1">
      <alignment horizontal="center" vertical="center" wrapText="1"/>
    </xf>
    <xf numFmtId="0" fontId="13" fillId="37" borderId="28" xfId="46" applyFont="1" applyFill="1" applyBorder="1" applyAlignment="1">
      <alignment horizontal="center" vertical="center" wrapText="1"/>
    </xf>
    <xf numFmtId="0" fontId="12" fillId="38" borderId="16" xfId="46" applyFont="1" applyFill="1" applyBorder="1" applyAlignment="1">
      <alignment horizontal="center" vertical="center"/>
    </xf>
    <xf numFmtId="0" fontId="12" fillId="38" borderId="12" xfId="46" applyFont="1" applyFill="1" applyBorder="1" applyAlignment="1">
      <alignment horizontal="center" vertical="center"/>
    </xf>
    <xf numFmtId="0" fontId="12" fillId="38" borderId="143" xfId="46" applyFont="1" applyFill="1" applyBorder="1" applyAlignment="1">
      <alignment horizontal="center" vertical="center"/>
    </xf>
    <xf numFmtId="0" fontId="12" fillId="36" borderId="84" xfId="46" applyFont="1" applyFill="1" applyBorder="1" applyAlignment="1">
      <alignment horizontal="center" vertical="center"/>
    </xf>
    <xf numFmtId="0" fontId="12" fillId="36" borderId="35" xfId="46" applyFont="1" applyFill="1" applyBorder="1" applyAlignment="1">
      <alignment horizontal="center" vertical="center"/>
    </xf>
    <xf numFmtId="0" fontId="12" fillId="37" borderId="35" xfId="46" applyFont="1" applyFill="1" applyBorder="1" applyAlignment="1">
      <alignment horizontal="center" vertical="center"/>
    </xf>
    <xf numFmtId="0" fontId="12" fillId="39" borderId="84" xfId="46" applyFont="1" applyFill="1" applyBorder="1" applyAlignment="1">
      <alignment horizontal="center" vertical="center"/>
    </xf>
    <xf numFmtId="0" fontId="12" fillId="39" borderId="85" xfId="46" applyFont="1" applyFill="1" applyBorder="1" applyAlignment="1">
      <alignment horizontal="center" vertical="center"/>
    </xf>
    <xf numFmtId="0" fontId="12" fillId="39" borderId="35" xfId="46" applyFont="1" applyFill="1" applyBorder="1" applyAlignment="1">
      <alignment horizontal="center" vertical="center"/>
    </xf>
    <xf numFmtId="0" fontId="12" fillId="24" borderId="23" xfId="46" applyFont="1" applyFill="1" applyBorder="1" applyAlignment="1">
      <alignment horizontal="center" vertical="center"/>
    </xf>
    <xf numFmtId="0" fontId="12" fillId="24" borderId="25" xfId="46" applyFont="1" applyFill="1" applyBorder="1" applyAlignment="1">
      <alignment horizontal="center" vertical="center"/>
    </xf>
    <xf numFmtId="0" fontId="12" fillId="24" borderId="84" xfId="46" applyFont="1" applyFill="1" applyBorder="1" applyAlignment="1">
      <alignment horizontal="center" vertical="center"/>
    </xf>
    <xf numFmtId="0" fontId="12" fillId="24" borderId="85" xfId="46" applyFont="1" applyFill="1" applyBorder="1" applyAlignment="1">
      <alignment horizontal="center" vertical="center"/>
    </xf>
    <xf numFmtId="0" fontId="12" fillId="24" borderId="35" xfId="46" applyFont="1" applyFill="1" applyBorder="1" applyAlignment="1">
      <alignment horizontal="center" vertical="center"/>
    </xf>
    <xf numFmtId="0" fontId="59" fillId="30" borderId="13" xfId="46" applyFont="1" applyFill="1" applyBorder="1" applyAlignment="1">
      <alignment horizontal="center" vertical="center"/>
    </xf>
    <xf numFmtId="0" fontId="60" fillId="31" borderId="13" xfId="46" applyFont="1" applyFill="1" applyBorder="1" applyAlignment="1">
      <alignment horizontal="center" vertical="center"/>
    </xf>
    <xf numFmtId="0" fontId="61" fillId="32" borderId="14" xfId="48" applyNumberFormat="1" applyFont="1" applyFill="1" applyBorder="1" applyAlignment="1">
      <alignment horizontal="center" vertical="center" wrapText="1"/>
    </xf>
    <xf numFmtId="0" fontId="61" fillId="32" borderId="31" xfId="48" applyNumberFormat="1" applyFont="1" applyFill="1" applyBorder="1" applyAlignment="1">
      <alignment horizontal="center" vertical="center"/>
    </xf>
    <xf numFmtId="0" fontId="61" fillId="32" borderId="15" xfId="48" applyNumberFormat="1" applyFont="1" applyFill="1" applyBorder="1" applyAlignment="1">
      <alignment horizontal="center" vertical="center"/>
    </xf>
    <xf numFmtId="0" fontId="59" fillId="36" borderId="13" xfId="46" applyNumberFormat="1" applyFont="1" applyFill="1" applyBorder="1" applyAlignment="1">
      <alignment horizontal="center" vertical="center" wrapText="1"/>
    </xf>
    <xf numFmtId="0" fontId="59" fillId="30" borderId="13" xfId="46" applyFont="1" applyFill="1" applyBorder="1" applyAlignment="1">
      <alignment horizontal="center" vertical="center" wrapText="1"/>
    </xf>
    <xf numFmtId="0" fontId="59" fillId="35" borderId="13" xfId="46" applyFont="1" applyFill="1" applyBorder="1" applyAlignment="1">
      <alignment horizontal="center" vertical="center" wrapText="1"/>
    </xf>
    <xf numFmtId="0" fontId="59" fillId="34" borderId="13" xfId="46" applyFont="1" applyFill="1" applyBorder="1" applyAlignment="1">
      <alignment horizontal="center" vertical="center" wrapText="1"/>
    </xf>
    <xf numFmtId="0" fontId="59" fillId="39" borderId="13" xfId="46" applyFont="1" applyFill="1" applyBorder="1" applyAlignment="1">
      <alignment horizontal="center" vertical="center" wrapText="1"/>
    </xf>
    <xf numFmtId="0" fontId="62" fillId="36" borderId="13" xfId="46" applyFont="1" applyFill="1" applyBorder="1" applyAlignment="1">
      <alignment horizontal="center" vertical="center" wrapText="1"/>
    </xf>
    <xf numFmtId="0" fontId="62" fillId="41" borderId="13" xfId="46" applyFont="1" applyFill="1" applyBorder="1" applyAlignment="1">
      <alignment horizontal="center" vertical="center" wrapText="1"/>
    </xf>
    <xf numFmtId="0" fontId="62" fillId="30" borderId="13" xfId="46" applyFont="1" applyFill="1" applyBorder="1" applyAlignment="1">
      <alignment horizontal="center" vertical="center" wrapText="1"/>
    </xf>
    <xf numFmtId="0" fontId="62" fillId="34" borderId="13" xfId="46" applyFont="1" applyFill="1" applyBorder="1" applyAlignment="1">
      <alignment horizontal="center" vertical="center" wrapText="1"/>
    </xf>
    <xf numFmtId="0" fontId="59" fillId="33" borderId="13" xfId="46" applyFont="1" applyFill="1" applyBorder="1" applyAlignment="1">
      <alignment horizontal="center" vertical="center" wrapText="1"/>
    </xf>
    <xf numFmtId="0" fontId="74" fillId="34" borderId="17" xfId="0" applyFont="1" applyFill="1" applyBorder="1" applyAlignment="1" applyProtection="1">
      <alignment horizontal="center" vertical="center"/>
    </xf>
    <xf numFmtId="0" fontId="74" fillId="34" borderId="30" xfId="0" applyFont="1" applyFill="1" applyBorder="1" applyAlignment="1" applyProtection="1">
      <alignment horizontal="center" vertical="center"/>
    </xf>
    <xf numFmtId="0" fontId="66" fillId="34" borderId="20" xfId="0" applyFont="1" applyFill="1" applyBorder="1" applyAlignment="1" applyProtection="1">
      <alignment horizontal="center" vertical="center"/>
    </xf>
    <xf numFmtId="0" fontId="66" fillId="34" borderId="0" xfId="0" applyFont="1" applyFill="1" applyBorder="1" applyAlignment="1" applyProtection="1">
      <alignment horizontal="center" vertical="center"/>
    </xf>
    <xf numFmtId="0" fontId="79" fillId="24" borderId="0" xfId="0" applyNumberFormat="1" applyFont="1" applyFill="1" applyBorder="1" applyAlignment="1" applyProtection="1">
      <alignment horizontal="center" vertical="center"/>
    </xf>
    <xf numFmtId="182" fontId="69" fillId="0" borderId="14" xfId="0" applyNumberFormat="1" applyFont="1" applyFill="1" applyBorder="1" applyAlignment="1" applyProtection="1">
      <alignment horizontal="center" vertical="center"/>
    </xf>
    <xf numFmtId="182" fontId="69" fillId="0" borderId="31" xfId="0" applyNumberFormat="1" applyFont="1" applyFill="1" applyBorder="1" applyAlignment="1" applyProtection="1">
      <alignment horizontal="center" vertical="center"/>
    </xf>
    <xf numFmtId="182" fontId="69" fillId="0" borderId="17" xfId="0" applyNumberFormat="1" applyFont="1" applyFill="1" applyBorder="1" applyAlignment="1" applyProtection="1">
      <alignment horizontal="center" vertical="center"/>
    </xf>
    <xf numFmtId="0" fontId="70" fillId="24" borderId="0" xfId="0" applyFont="1" applyFill="1" applyBorder="1" applyAlignment="1" applyProtection="1">
      <alignment horizontal="center" vertical="center" wrapText="1"/>
    </xf>
    <xf numFmtId="0" fontId="70" fillId="24" borderId="0" xfId="0" applyFont="1" applyFill="1" applyBorder="1" applyAlignment="1" applyProtection="1">
      <alignment horizontal="center" vertical="center"/>
    </xf>
    <xf numFmtId="0" fontId="72" fillId="24" borderId="0" xfId="0" applyFont="1" applyFill="1" applyBorder="1" applyAlignment="1" applyProtection="1">
      <alignment horizontal="center" vertical="center"/>
    </xf>
    <xf numFmtId="14" fontId="73" fillId="24" borderId="0" xfId="0" applyNumberFormat="1" applyFont="1" applyFill="1" applyBorder="1" applyAlignment="1" applyProtection="1">
      <alignment horizontal="center" vertical="center"/>
    </xf>
    <xf numFmtId="0" fontId="73" fillId="24" borderId="0" xfId="0" applyFont="1" applyFill="1" applyBorder="1" applyAlignment="1" applyProtection="1">
      <alignment horizontal="center" vertical="center"/>
    </xf>
    <xf numFmtId="0" fontId="70" fillId="39" borderId="14" xfId="0" applyFont="1" applyFill="1" applyBorder="1" applyAlignment="1" applyProtection="1">
      <alignment horizontal="center" vertical="center" wrapText="1"/>
    </xf>
    <xf numFmtId="0" fontId="70" fillId="39" borderId="15" xfId="0" applyFont="1" applyFill="1" applyBorder="1" applyAlignment="1" applyProtection="1">
      <alignment horizontal="center" vertical="center"/>
    </xf>
    <xf numFmtId="0" fontId="72" fillId="0" borderId="14" xfId="0" applyFont="1" applyFill="1" applyBorder="1" applyAlignment="1" applyProtection="1">
      <alignment horizontal="center" vertical="center"/>
    </xf>
    <xf numFmtId="0" fontId="72" fillId="0" borderId="15" xfId="0" applyFont="1" applyFill="1" applyBorder="1" applyAlignment="1" applyProtection="1">
      <alignment horizontal="center" vertical="center"/>
    </xf>
    <xf numFmtId="0" fontId="86" fillId="39" borderId="92" xfId="46" applyFont="1" applyFill="1" applyBorder="1" applyAlignment="1">
      <alignment horizontal="center" vertical="center"/>
    </xf>
    <xf numFmtId="0" fontId="86" fillId="39" borderId="93" xfId="46" applyFont="1" applyFill="1" applyBorder="1" applyAlignment="1">
      <alignment horizontal="center" vertical="center"/>
    </xf>
    <xf numFmtId="0" fontId="86" fillId="39" borderId="94" xfId="46" applyFont="1" applyFill="1" applyBorder="1" applyAlignment="1">
      <alignment horizontal="center" vertical="center"/>
    </xf>
  </cellXfs>
  <cellStyles count="5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43"/>
    <cellStyle name="Normal 2 2" xfId="46"/>
    <cellStyle name="Normal 3" xfId="44"/>
    <cellStyle name="Normal 3 2" xfId="47"/>
    <cellStyle name="Normal 3 2 2" xfId="52"/>
    <cellStyle name="Normal 3 3" xfId="48"/>
    <cellStyle name="Normal 3 3 2" xfId="53"/>
    <cellStyle name="Normal 3 4" xfId="51"/>
    <cellStyle name="Note" xfId="37"/>
    <cellStyle name="Note 2" xfId="50"/>
    <cellStyle name="Output" xfId="38"/>
    <cellStyle name="Percent 2" xfId="45"/>
    <cellStyle name="Percent 2 2" xfId="49"/>
    <cellStyle name="Title" xfId="39"/>
    <cellStyle name="Total" xfId="40"/>
    <cellStyle name="Warning Text" xfId="41"/>
    <cellStyle name="Yüzde" xfId="4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tr-TR"/>
              <a:t>Saatlere Göre Araç Dağılımı Ortalama</a:t>
            </a:r>
          </a:p>
        </c:rich>
      </c:tx>
      <c:layout>
        <c:manualLayout>
          <c:xMode val="edge"/>
          <c:yMode val="edge"/>
          <c:x val="0.3538656253763377"/>
          <c:y val="7.5187969924812026E-3"/>
        </c:manualLayout>
      </c:layout>
      <c:overlay val="0"/>
      <c:spPr>
        <a:noFill/>
        <a:ln w="25400">
          <a:noFill/>
        </a:ln>
      </c:spPr>
    </c:title>
    <c:autoTitleDeleted val="0"/>
    <c:view3D>
      <c:rotX val="28"/>
      <c:hPercent val="39"/>
      <c:rotY val="44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C0C0C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397249296963783E-2"/>
          <c:y val="1.8045112781954888E-2"/>
          <c:w val="0.75612845330191469"/>
          <c:h val="0.900751879699248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'SAAT BAZLI ARAÇ DAĞILIMI'!$B$2:$L$2</c:f>
              <c:strCache>
                <c:ptCount val="11"/>
                <c:pt idx="0">
                  <c:v>ARAÇ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'SAAT BAZLI ARAÇ DAĞILIMI'!$B$3:$L$3</c:f>
              <c:strCache>
                <c:ptCount val="11"/>
                <c:pt idx="0">
                  <c:v>0-1 Saat</c:v>
                </c:pt>
                <c:pt idx="1">
                  <c:v>1-3 Saat</c:v>
                </c:pt>
                <c:pt idx="2">
                  <c:v>3-6 Saat</c:v>
                </c:pt>
                <c:pt idx="3">
                  <c:v>6-12 Saat</c:v>
                </c:pt>
                <c:pt idx="4">
                  <c:v>12-24 Saat</c:v>
                </c:pt>
                <c:pt idx="5">
                  <c:v>1 Gün</c:v>
                </c:pt>
                <c:pt idx="6">
                  <c:v>2 Gün</c:v>
                </c:pt>
                <c:pt idx="7">
                  <c:v>3 Gün</c:v>
                </c:pt>
                <c:pt idx="8">
                  <c:v>4 Gün</c:v>
                </c:pt>
                <c:pt idx="9">
                  <c:v>5 Gün (+)</c:v>
                </c:pt>
                <c:pt idx="10">
                  <c:v>Total</c:v>
                </c:pt>
              </c:strCache>
            </c:strRef>
          </c:cat>
          <c:val>
            <c:numRef>
              <c:f>'SAAT BAZLI ARAÇ DAĞILIMI'!$B$70:$L$70</c:f>
              <c:numCache>
                <c:formatCode>#,##0</c:formatCode>
                <c:ptCount val="11"/>
                <c:pt idx="0">
                  <c:v>145.60869565217391</c:v>
                </c:pt>
                <c:pt idx="1">
                  <c:v>99.478260869565219</c:v>
                </c:pt>
                <c:pt idx="2">
                  <c:v>20.130434782608695</c:v>
                </c:pt>
                <c:pt idx="3">
                  <c:v>5.3043478260869561</c:v>
                </c:pt>
                <c:pt idx="4">
                  <c:v>2.0869565217391304</c:v>
                </c:pt>
                <c:pt idx="5">
                  <c:v>0.21739130434782608</c:v>
                </c:pt>
                <c:pt idx="6">
                  <c:v>0.69565217391304346</c:v>
                </c:pt>
                <c:pt idx="7">
                  <c:v>0.65217391304347827</c:v>
                </c:pt>
                <c:pt idx="8">
                  <c:v>0.43478260869565216</c:v>
                </c:pt>
                <c:pt idx="9">
                  <c:v>1.5652173913043479</c:v>
                </c:pt>
                <c:pt idx="10">
                  <c:v>276.17391304347825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869-A618-88B41F7CBAAD}"/>
            </c:ext>
          </c:extLst>
        </c:ser>
        <c:ser>
          <c:idx val="1"/>
          <c:order val="1"/>
          <c:tx>
            <c:strRef>
              <c:f>'SAAT BAZLI ARAÇ DAĞILIMI'!$M$2:$W$2</c:f>
              <c:strCache>
                <c:ptCount val="11"/>
                <c:pt idx="0">
                  <c:v>OTOBÜS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'SAAT BAZLI ARAÇ DAĞILIMI'!$B$3:$L$3</c:f>
              <c:strCache>
                <c:ptCount val="11"/>
                <c:pt idx="0">
                  <c:v>0-1 Saat</c:v>
                </c:pt>
                <c:pt idx="1">
                  <c:v>1-3 Saat</c:v>
                </c:pt>
                <c:pt idx="2">
                  <c:v>3-6 Saat</c:v>
                </c:pt>
                <c:pt idx="3">
                  <c:v>6-12 Saat</c:v>
                </c:pt>
                <c:pt idx="4">
                  <c:v>12-24 Saat</c:v>
                </c:pt>
                <c:pt idx="5">
                  <c:v>1 Gün</c:v>
                </c:pt>
                <c:pt idx="6">
                  <c:v>2 Gün</c:v>
                </c:pt>
                <c:pt idx="7">
                  <c:v>3 Gün</c:v>
                </c:pt>
                <c:pt idx="8">
                  <c:v>4 Gün</c:v>
                </c:pt>
                <c:pt idx="9">
                  <c:v>5 Gün (+)</c:v>
                </c:pt>
                <c:pt idx="10">
                  <c:v>Total</c:v>
                </c:pt>
              </c:strCache>
            </c:strRef>
          </c:cat>
          <c:val>
            <c:numRef>
              <c:f>'SAAT BAZLI ARAÇ DAĞILIMI'!$M$70:$W$70</c:f>
              <c:numCache>
                <c:formatCode>#,##0</c:formatCode>
                <c:ptCount val="11"/>
                <c:pt idx="0">
                  <c:v>1.4347826086956521</c:v>
                </c:pt>
                <c:pt idx="1">
                  <c:v>4.7391304347826084</c:v>
                </c:pt>
                <c:pt idx="2">
                  <c:v>0.86956521739130432</c:v>
                </c:pt>
                <c:pt idx="3">
                  <c:v>4.3478260869565216E-2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180.47826086956522</c:v>
                </c:pt>
                <c:pt idx="10">
                  <c:v>171.56521739130434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9-4869-A618-88B41F7C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79326848"/>
        <c:axId val="-2079330656"/>
        <c:axId val="0"/>
      </c:bar3DChart>
      <c:catAx>
        <c:axId val="-20793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r-TR"/>
          </a:p>
        </c:txPr>
        <c:crossAx val="-207933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3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tr-TR"/>
                  <a:t>Araç
Sayısı</a:t>
                </a:r>
              </a:p>
            </c:rich>
          </c:tx>
          <c:layout>
            <c:manualLayout>
              <c:xMode val="edge"/>
              <c:yMode val="edge"/>
              <c:x val="2.2197894653488866E-2"/>
              <c:y val="0.533116097329939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r-TR"/>
          </a:p>
        </c:txPr>
        <c:crossAx val="-207932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212471398334797"/>
          <c:y val="0.10827067669172932"/>
          <c:w val="0.14079202073342334"/>
          <c:h val="0.135338345864661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tr-TR"/>
              <a:t>Saatlere Göre Araç Dağılımı
</a:t>
            </a:r>
          </a:p>
        </c:rich>
      </c:tx>
      <c:layout>
        <c:manualLayout>
          <c:xMode val="edge"/>
          <c:yMode val="edge"/>
          <c:x val="0.37067337948395218"/>
          <c:y val="7.5187969924812026E-3"/>
        </c:manualLayout>
      </c:layout>
      <c:overlay val="0"/>
      <c:spPr>
        <a:noFill/>
        <a:ln w="25400">
          <a:noFill/>
        </a:ln>
      </c:spPr>
    </c:title>
    <c:autoTitleDeleted val="0"/>
    <c:view3D>
      <c:rotX val="28"/>
      <c:hPercent val="39"/>
      <c:rotY val="44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C0C0C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458149779735685E-2"/>
          <c:y val="1.8045112781954888E-2"/>
          <c:w val="0.75707992448080552"/>
          <c:h val="0.900751879699248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'SAAT BAZLI ARAÇ DAĞILIMI'!$B$2:$L$2</c:f>
              <c:strCache>
                <c:ptCount val="11"/>
                <c:pt idx="0">
                  <c:v>ARAÇ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'SAAT BAZLI ARAÇ DAĞILIMI'!$B$3:$L$3</c:f>
              <c:strCache>
                <c:ptCount val="11"/>
                <c:pt idx="0">
                  <c:v>0-1 Saat</c:v>
                </c:pt>
                <c:pt idx="1">
                  <c:v>1-3 Saat</c:v>
                </c:pt>
                <c:pt idx="2">
                  <c:v>3-6 Saat</c:v>
                </c:pt>
                <c:pt idx="3">
                  <c:v>6-12 Saat</c:v>
                </c:pt>
                <c:pt idx="4">
                  <c:v>12-24 Saat</c:v>
                </c:pt>
                <c:pt idx="5">
                  <c:v>1 Gün</c:v>
                </c:pt>
                <c:pt idx="6">
                  <c:v>2 Gün</c:v>
                </c:pt>
                <c:pt idx="7">
                  <c:v>3 Gün</c:v>
                </c:pt>
                <c:pt idx="8">
                  <c:v>4 Gün</c:v>
                </c:pt>
                <c:pt idx="9">
                  <c:v>5 Gün (+)</c:v>
                </c:pt>
                <c:pt idx="10">
                  <c:v>Total</c:v>
                </c:pt>
              </c:strCache>
            </c:strRef>
          </c:cat>
          <c:val>
            <c:numRef>
              <c:f>'SAAT BAZLI ARAÇ DAĞILIMI'!$B$67:$L$67</c:f>
              <c:numCache>
                <c:formatCode>#,##0</c:formatCode>
                <c:ptCount val="11"/>
                <c:pt idx="0">
                  <c:v>3349</c:v>
                </c:pt>
                <c:pt idx="1">
                  <c:v>2288</c:v>
                </c:pt>
                <c:pt idx="2">
                  <c:v>463</c:v>
                </c:pt>
                <c:pt idx="3">
                  <c:v>122</c:v>
                </c:pt>
                <c:pt idx="4">
                  <c:v>48</c:v>
                </c:pt>
                <c:pt idx="5">
                  <c:v>5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36</c:v>
                </c:pt>
                <c:pt idx="10">
                  <c:v>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5-40D9-B186-1E4AA5A8EFA9}"/>
            </c:ext>
          </c:extLst>
        </c:ser>
        <c:ser>
          <c:idx val="1"/>
          <c:order val="1"/>
          <c:tx>
            <c:strRef>
              <c:f>'SAAT BAZLI ARAÇ DAĞILIMI'!$M$2:$W$2</c:f>
              <c:strCache>
                <c:ptCount val="11"/>
                <c:pt idx="0">
                  <c:v>OTOBÜS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'SAAT BAZLI ARAÇ DAĞILIMI'!$B$3:$L$3</c:f>
              <c:strCache>
                <c:ptCount val="11"/>
                <c:pt idx="0">
                  <c:v>0-1 Saat</c:v>
                </c:pt>
                <c:pt idx="1">
                  <c:v>1-3 Saat</c:v>
                </c:pt>
                <c:pt idx="2">
                  <c:v>3-6 Saat</c:v>
                </c:pt>
                <c:pt idx="3">
                  <c:v>6-12 Saat</c:v>
                </c:pt>
                <c:pt idx="4">
                  <c:v>12-24 Saat</c:v>
                </c:pt>
                <c:pt idx="5">
                  <c:v>1 Gün</c:v>
                </c:pt>
                <c:pt idx="6">
                  <c:v>2 Gün</c:v>
                </c:pt>
                <c:pt idx="7">
                  <c:v>3 Gün</c:v>
                </c:pt>
                <c:pt idx="8">
                  <c:v>4 Gün</c:v>
                </c:pt>
                <c:pt idx="9">
                  <c:v>5 Gün (+)</c:v>
                </c:pt>
                <c:pt idx="10">
                  <c:v>Total</c:v>
                </c:pt>
              </c:strCache>
            </c:strRef>
          </c:cat>
          <c:val>
            <c:numRef>
              <c:f>'SAAT BAZLI ARAÇ DAĞILIMI'!$M$67:$W$67</c:f>
              <c:numCache>
                <c:formatCode>#,##0</c:formatCode>
                <c:ptCount val="11"/>
                <c:pt idx="0">
                  <c:v>33</c:v>
                </c:pt>
                <c:pt idx="1">
                  <c:v>109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4151</c:v>
                </c:pt>
                <c:pt idx="10">
                  <c:v>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5-40D9-B186-1E4AA5A8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79325760"/>
        <c:axId val="-2079329568"/>
        <c:axId val="0"/>
      </c:bar3DChart>
      <c:catAx>
        <c:axId val="-20793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r-TR"/>
          </a:p>
        </c:txPr>
        <c:crossAx val="-207932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32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tr-TR"/>
                  <a:t>Araç
Sayısı</a:t>
                </a:r>
              </a:p>
            </c:rich>
          </c:tx>
          <c:layout>
            <c:manualLayout>
              <c:xMode val="edge"/>
              <c:yMode val="edge"/>
              <c:x val="2.2197886057194392E-2"/>
              <c:y val="0.533116097329939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r-TR"/>
          </a:p>
        </c:txPr>
        <c:crossAx val="-207932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90056639395848"/>
          <c:y val="0.10827067669172932"/>
          <c:w val="0.1409691629955947"/>
          <c:h val="0.135338345864661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106</xdr:row>
      <xdr:rowOff>142875</xdr:rowOff>
    </xdr:from>
    <xdr:to>
      <xdr:col>22</xdr:col>
      <xdr:colOff>0</xdr:colOff>
      <xdr:row>140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72</xdr:row>
      <xdr:rowOff>0</xdr:rowOff>
    </xdr:from>
    <xdr:to>
      <xdr:col>21</xdr:col>
      <xdr:colOff>723900</xdr:colOff>
      <xdr:row>105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9525</xdr:rowOff>
    </xdr:from>
    <xdr:to>
      <xdr:col>7</xdr:col>
      <xdr:colOff>1095375</xdr:colOff>
      <xdr:row>5</xdr:row>
      <xdr:rowOff>9525</xdr:rowOff>
    </xdr:to>
    <xdr:sp macro="" textlink="">
      <xdr:nvSpPr>
        <xdr:cNvPr id="11321" name="Line 1">
          <a:extLst>
            <a:ext uri="{FF2B5EF4-FFF2-40B4-BE49-F238E27FC236}">
              <a16:creationId xmlns:a16="http://schemas.microsoft.com/office/drawing/2014/main" id="{00000000-0008-0000-0500-0000392C0000}"/>
            </a:ext>
          </a:extLst>
        </xdr:cNvPr>
        <xdr:cNvSpPr>
          <a:spLocks noChangeShapeType="1"/>
        </xdr:cNvSpPr>
      </xdr:nvSpPr>
      <xdr:spPr bwMode="auto">
        <a:xfrm flipV="1">
          <a:off x="7924800" y="933450"/>
          <a:ext cx="106680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por\OTOPARK%202023\TAV%20MILAS%20DISHAT\ABONE%202023\DIS%20ABONE%20TAV%20BJV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AK 2024"/>
      <sheetName val="ŞUBAT 2024"/>
      <sheetName val="MART 2024"/>
      <sheetName val="NİSAN 2024"/>
      <sheetName val="MAYIS 2024"/>
      <sheetName val="HAZİRAN 2024"/>
      <sheetName val="TEMMUZ 2024"/>
      <sheetName val="AĞUSTOS 2024"/>
      <sheetName val="EYLÜL 2024"/>
      <sheetName val="EKİM 2024"/>
      <sheetName val="KASIM 2024"/>
      <sheetName val="ARALIK 2024"/>
    </sheetNames>
    <sheetDataSet>
      <sheetData sheetId="0">
        <row r="38">
          <cell r="I38">
            <v>31</v>
          </cell>
        </row>
      </sheetData>
      <sheetData sheetId="1">
        <row r="38">
          <cell r="I38">
            <v>59</v>
          </cell>
        </row>
      </sheetData>
      <sheetData sheetId="2">
        <row r="38">
          <cell r="I38">
            <v>51</v>
          </cell>
        </row>
      </sheetData>
      <sheetData sheetId="3">
        <row r="38">
          <cell r="I38">
            <v>132</v>
          </cell>
        </row>
      </sheetData>
      <sheetData sheetId="4">
        <row r="38">
          <cell r="I38">
            <v>235</v>
          </cell>
        </row>
      </sheetData>
      <sheetData sheetId="5">
        <row r="38">
          <cell r="I38">
            <v>201</v>
          </cell>
        </row>
      </sheetData>
      <sheetData sheetId="6">
        <row r="38">
          <cell r="I38">
            <v>265</v>
          </cell>
        </row>
      </sheetData>
      <sheetData sheetId="7">
        <row r="38">
          <cell r="I38">
            <v>170</v>
          </cell>
        </row>
      </sheetData>
      <sheetData sheetId="8">
        <row r="38">
          <cell r="I38">
            <v>199</v>
          </cell>
        </row>
      </sheetData>
      <sheetData sheetId="9">
        <row r="36">
          <cell r="B36">
            <v>1</v>
          </cell>
          <cell r="C36">
            <v>0</v>
          </cell>
          <cell r="D36">
            <v>24</v>
          </cell>
          <cell r="E36">
            <v>7</v>
          </cell>
          <cell r="F36">
            <v>0</v>
          </cell>
          <cell r="G36">
            <v>0</v>
          </cell>
          <cell r="H36">
            <v>301230</v>
          </cell>
          <cell r="J36">
            <v>0</v>
          </cell>
          <cell r="K36">
            <v>0</v>
          </cell>
          <cell r="L36">
            <v>13</v>
          </cell>
          <cell r="M36">
            <v>25</v>
          </cell>
          <cell r="N36">
            <v>0</v>
          </cell>
          <cell r="O36">
            <v>0</v>
          </cell>
          <cell r="P36">
            <v>42</v>
          </cell>
          <cell r="Q36">
            <v>0</v>
          </cell>
          <cell r="R36">
            <v>0</v>
          </cell>
          <cell r="S36">
            <v>2</v>
          </cell>
          <cell r="T36">
            <v>24445</v>
          </cell>
        </row>
        <row r="38">
          <cell r="I38">
            <v>113</v>
          </cell>
        </row>
      </sheetData>
      <sheetData sheetId="10">
        <row r="38">
          <cell r="I38">
            <v>0</v>
          </cell>
        </row>
      </sheetData>
      <sheetData sheetId="11">
        <row r="38">
          <cell r="I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tabColor indexed="15"/>
  </sheetPr>
  <dimension ref="A1:AA102"/>
  <sheetViews>
    <sheetView zoomScale="75" workbookViewId="0">
      <pane xSplit="1" ySplit="6" topLeftCell="B7" activePane="bottomRight" state="frozenSplit"/>
      <selection activeCell="E33" sqref="E33"/>
      <selection pane="topRight" activeCell="E33" sqref="E33"/>
      <selection pane="bottomLeft" activeCell="E33" sqref="E33"/>
      <selection pane="bottomRight" activeCell="B30" sqref="B30"/>
    </sheetView>
  </sheetViews>
  <sheetFormatPr defaultRowHeight="15" customHeight="1" x14ac:dyDescent="0.2"/>
  <cols>
    <col min="1" max="1" width="14.7109375" style="1" bestFit="1" customWidth="1"/>
    <col min="2" max="2" width="6.7109375" style="1" customWidth="1"/>
    <col min="3" max="3" width="16" style="1" customWidth="1"/>
    <col min="4" max="4" width="6.7109375" style="1" customWidth="1"/>
    <col min="5" max="5" width="16" style="1" customWidth="1"/>
    <col min="6" max="6" width="6.7109375" style="1" customWidth="1"/>
    <col min="7" max="7" width="16" style="1" customWidth="1"/>
    <col min="8" max="8" width="6.7109375" style="1" customWidth="1"/>
    <col min="9" max="9" width="16" style="1" customWidth="1"/>
    <col min="10" max="10" width="6.7109375" style="1" customWidth="1"/>
    <col min="11" max="11" width="16" style="1" customWidth="1"/>
    <col min="12" max="12" width="7" style="1" customWidth="1"/>
    <col min="13" max="13" width="16.42578125" style="1" customWidth="1"/>
    <col min="14" max="14" width="7" style="1" customWidth="1"/>
    <col min="15" max="15" width="16.42578125" style="1" customWidth="1"/>
    <col min="16" max="16" width="7" style="1" customWidth="1"/>
    <col min="17" max="17" width="16.42578125" style="1" customWidth="1"/>
    <col min="18" max="18" width="16" style="1" customWidth="1"/>
    <col min="19" max="19" width="8.140625" style="1" customWidth="1"/>
    <col min="20" max="20" width="17.28515625" style="1" customWidth="1"/>
    <col min="21" max="21" width="9.140625" style="1"/>
    <col min="22" max="22" width="17.28515625" style="1" customWidth="1"/>
    <col min="23" max="16384" width="9.140625" style="1"/>
  </cols>
  <sheetData>
    <row r="1" spans="1:25" ht="15" customHeight="1" x14ac:dyDescent="0.2">
      <c r="A1" s="358" t="s">
        <v>0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60"/>
    </row>
    <row r="2" spans="1:25" ht="11.25" customHeight="1" x14ac:dyDescent="0.2">
      <c r="A2" s="361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3"/>
    </row>
    <row r="3" spans="1:25" ht="24" customHeight="1" thickBot="1" x14ac:dyDescent="0.25">
      <c r="A3" s="364" t="str">
        <f>UPPER(TEXT(A7,"AAAA YYYY"))</f>
        <v>EKİM 2024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6"/>
    </row>
    <row r="4" spans="1:25" ht="15" customHeight="1" x14ac:dyDescent="0.2">
      <c r="A4" s="378" t="s">
        <v>1</v>
      </c>
      <c r="B4" s="378" t="s">
        <v>127</v>
      </c>
      <c r="C4" s="378"/>
      <c r="D4" s="384" t="s">
        <v>127</v>
      </c>
      <c r="E4" s="384"/>
      <c r="F4" s="384" t="s">
        <v>127</v>
      </c>
      <c r="G4" s="384"/>
      <c r="H4" s="378" t="s">
        <v>41</v>
      </c>
      <c r="I4" s="379"/>
      <c r="J4" s="380" t="s">
        <v>44</v>
      </c>
      <c r="K4" s="381"/>
      <c r="L4" s="380" t="s">
        <v>89</v>
      </c>
      <c r="M4" s="381"/>
      <c r="N4" s="378" t="s">
        <v>96</v>
      </c>
      <c r="O4" s="379"/>
      <c r="P4" s="384" t="s">
        <v>95</v>
      </c>
      <c r="Q4" s="384"/>
      <c r="R4" s="2"/>
      <c r="S4" s="108"/>
      <c r="T4" s="109" t="s">
        <v>2</v>
      </c>
      <c r="U4" s="109"/>
      <c r="V4" s="110" t="s">
        <v>3</v>
      </c>
      <c r="W4" s="2"/>
      <c r="X4" s="3"/>
      <c r="Y4" s="4"/>
    </row>
    <row r="5" spans="1:25" ht="15" customHeight="1" x14ac:dyDescent="0.2">
      <c r="A5" s="370"/>
      <c r="B5" s="370" t="s">
        <v>94</v>
      </c>
      <c r="C5" s="370"/>
      <c r="D5" s="385" t="s">
        <v>65</v>
      </c>
      <c r="E5" s="385"/>
      <c r="F5" s="385" t="s">
        <v>99</v>
      </c>
      <c r="G5" s="385"/>
      <c r="H5" s="370" t="s">
        <v>42</v>
      </c>
      <c r="I5" s="371"/>
      <c r="J5" s="382"/>
      <c r="K5" s="383"/>
      <c r="L5" s="382"/>
      <c r="M5" s="383"/>
      <c r="N5" s="370" t="s">
        <v>127</v>
      </c>
      <c r="O5" s="371"/>
      <c r="P5" s="385" t="s">
        <v>127</v>
      </c>
      <c r="Q5" s="385"/>
      <c r="R5" s="2"/>
      <c r="S5" s="78"/>
      <c r="T5" s="79" t="s">
        <v>49</v>
      </c>
      <c r="U5" s="80"/>
      <c r="V5" s="81" t="s">
        <v>48</v>
      </c>
      <c r="W5" s="2"/>
      <c r="X5" s="2"/>
      <c r="Y5" s="2"/>
    </row>
    <row r="6" spans="1:25" ht="1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" customHeight="1" x14ac:dyDescent="0.2">
      <c r="A7" s="111">
        <v>45566</v>
      </c>
      <c r="B7" s="32">
        <v>274</v>
      </c>
      <c r="C7" s="33">
        <v>26465</v>
      </c>
      <c r="D7" s="32">
        <v>2</v>
      </c>
      <c r="E7" s="33">
        <v>375</v>
      </c>
      <c r="F7" s="32">
        <v>0</v>
      </c>
      <c r="G7" s="33">
        <v>0</v>
      </c>
      <c r="H7" s="19">
        <v>0</v>
      </c>
      <c r="I7" s="20">
        <v>0</v>
      </c>
      <c r="J7" s="46">
        <v>0</v>
      </c>
      <c r="K7" s="47">
        <v>0</v>
      </c>
      <c r="L7" s="21">
        <v>0</v>
      </c>
      <c r="M7" s="22">
        <v>0</v>
      </c>
      <c r="N7" s="24">
        <v>98</v>
      </c>
      <c r="O7" s="23">
        <v>12470</v>
      </c>
      <c r="P7" s="24">
        <v>1</v>
      </c>
      <c r="Q7" s="23">
        <v>375</v>
      </c>
      <c r="R7" s="2"/>
      <c r="S7" s="15">
        <f>+B7+H7+J7+L7</f>
        <v>274</v>
      </c>
      <c r="T7" s="40">
        <f>+K7+C7+M7+I7</f>
        <v>26465</v>
      </c>
      <c r="U7" s="15">
        <f>S7-D7-F7-H7-J7-L7</f>
        <v>272</v>
      </c>
      <c r="V7" s="40">
        <f>T7-E7-I7-K7-M7-G7</f>
        <v>26090</v>
      </c>
      <c r="W7" s="2"/>
      <c r="X7" s="3"/>
      <c r="Y7" s="4"/>
    </row>
    <row r="8" spans="1:25" ht="18" customHeight="1" x14ac:dyDescent="0.2">
      <c r="A8" s="112">
        <f>A7+1</f>
        <v>45567</v>
      </c>
      <c r="B8" s="34">
        <v>435</v>
      </c>
      <c r="C8" s="35">
        <v>35345</v>
      </c>
      <c r="D8" s="34">
        <v>1</v>
      </c>
      <c r="E8" s="35">
        <v>0</v>
      </c>
      <c r="F8" s="34">
        <v>0</v>
      </c>
      <c r="G8" s="35">
        <v>0</v>
      </c>
      <c r="H8" s="26">
        <v>0</v>
      </c>
      <c r="I8" s="25">
        <v>0</v>
      </c>
      <c r="J8" s="48">
        <v>0</v>
      </c>
      <c r="K8" s="49">
        <v>0</v>
      </c>
      <c r="L8" s="27">
        <v>16</v>
      </c>
      <c r="M8" s="28">
        <v>56970</v>
      </c>
      <c r="N8" s="30">
        <v>177</v>
      </c>
      <c r="O8" s="29">
        <v>15545</v>
      </c>
      <c r="P8" s="30">
        <v>0</v>
      </c>
      <c r="Q8" s="29">
        <v>0</v>
      </c>
      <c r="R8" s="2"/>
      <c r="S8" s="16">
        <f t="shared" ref="S8:S37" si="0">+B8+H8+J8+L8</f>
        <v>451</v>
      </c>
      <c r="T8" s="41">
        <f t="shared" ref="T8:T37" si="1">+K8+C8+M8+I8</f>
        <v>92315</v>
      </c>
      <c r="U8" s="16">
        <f t="shared" ref="U8:U37" si="2">S8-D8-F8-H8-J8-L8</f>
        <v>434</v>
      </c>
      <c r="V8" s="41">
        <f t="shared" ref="V8:V37" si="3">T8-E8-I8-K8-M8-G8</f>
        <v>35345</v>
      </c>
      <c r="W8" s="2"/>
      <c r="X8" s="2"/>
      <c r="Y8" s="2"/>
    </row>
    <row r="9" spans="1:25" ht="18" customHeight="1" x14ac:dyDescent="0.2">
      <c r="A9" s="112">
        <f t="shared" ref="A9:A34" si="4">A8+1</f>
        <v>45568</v>
      </c>
      <c r="B9" s="34">
        <v>407</v>
      </c>
      <c r="C9" s="35">
        <v>39685</v>
      </c>
      <c r="D9" s="34">
        <v>1</v>
      </c>
      <c r="E9" s="35">
        <v>0</v>
      </c>
      <c r="F9" s="34">
        <v>0</v>
      </c>
      <c r="G9" s="35">
        <v>0</v>
      </c>
      <c r="H9" s="26">
        <v>0</v>
      </c>
      <c r="I9" s="25">
        <v>0</v>
      </c>
      <c r="J9" s="48">
        <v>0</v>
      </c>
      <c r="K9" s="49">
        <v>0</v>
      </c>
      <c r="L9" s="27">
        <v>0</v>
      </c>
      <c r="M9" s="28">
        <v>0</v>
      </c>
      <c r="N9" s="30">
        <v>146</v>
      </c>
      <c r="O9" s="29">
        <v>17570</v>
      </c>
      <c r="P9" s="30">
        <v>0</v>
      </c>
      <c r="Q9" s="29">
        <v>0</v>
      </c>
      <c r="R9" s="2"/>
      <c r="S9" s="16">
        <f t="shared" si="0"/>
        <v>407</v>
      </c>
      <c r="T9" s="41">
        <f t="shared" si="1"/>
        <v>39685</v>
      </c>
      <c r="U9" s="16">
        <f t="shared" si="2"/>
        <v>406</v>
      </c>
      <c r="V9" s="41">
        <f t="shared" si="3"/>
        <v>39685</v>
      </c>
      <c r="W9" s="2"/>
      <c r="X9" s="3"/>
      <c r="Y9" s="4"/>
    </row>
    <row r="10" spans="1:25" ht="18" customHeight="1" x14ac:dyDescent="0.2">
      <c r="A10" s="112">
        <f t="shared" si="4"/>
        <v>45569</v>
      </c>
      <c r="B10" s="34">
        <v>327</v>
      </c>
      <c r="C10" s="35">
        <v>26135</v>
      </c>
      <c r="D10" s="34">
        <v>1</v>
      </c>
      <c r="E10" s="35">
        <v>25</v>
      </c>
      <c r="F10" s="34">
        <v>0</v>
      </c>
      <c r="G10" s="35">
        <v>0</v>
      </c>
      <c r="H10" s="26">
        <v>0</v>
      </c>
      <c r="I10" s="25">
        <v>0</v>
      </c>
      <c r="J10" s="48">
        <v>0</v>
      </c>
      <c r="K10" s="49">
        <v>0</v>
      </c>
      <c r="L10" s="27">
        <v>0</v>
      </c>
      <c r="M10" s="28">
        <v>0</v>
      </c>
      <c r="N10" s="30">
        <v>137</v>
      </c>
      <c r="O10" s="29">
        <v>11200</v>
      </c>
      <c r="P10" s="30">
        <v>1</v>
      </c>
      <c r="Q10" s="29">
        <v>25</v>
      </c>
      <c r="R10" s="2"/>
      <c r="S10" s="16">
        <f t="shared" si="0"/>
        <v>327</v>
      </c>
      <c r="T10" s="41">
        <f t="shared" si="1"/>
        <v>26135</v>
      </c>
      <c r="U10" s="16">
        <f t="shared" si="2"/>
        <v>326</v>
      </c>
      <c r="V10" s="41">
        <f t="shared" si="3"/>
        <v>26110</v>
      </c>
      <c r="W10" s="2"/>
      <c r="X10" s="2"/>
      <c r="Y10" s="2"/>
    </row>
    <row r="11" spans="1:25" ht="18" customHeight="1" x14ac:dyDescent="0.2">
      <c r="A11" s="112">
        <f t="shared" si="4"/>
        <v>45570</v>
      </c>
      <c r="B11" s="34">
        <v>470</v>
      </c>
      <c r="C11" s="35">
        <v>43715</v>
      </c>
      <c r="D11" s="34">
        <v>8</v>
      </c>
      <c r="E11" s="35">
        <v>4480</v>
      </c>
      <c r="F11" s="34">
        <v>0</v>
      </c>
      <c r="G11" s="35">
        <v>0</v>
      </c>
      <c r="H11" s="26">
        <v>0</v>
      </c>
      <c r="I11" s="25">
        <v>0</v>
      </c>
      <c r="J11" s="48">
        <v>0</v>
      </c>
      <c r="K11" s="49">
        <v>0</v>
      </c>
      <c r="L11" s="27">
        <v>16</v>
      </c>
      <c r="M11" s="28">
        <v>55525</v>
      </c>
      <c r="N11" s="30">
        <v>163</v>
      </c>
      <c r="O11" s="29">
        <v>18850</v>
      </c>
      <c r="P11" s="30">
        <v>2</v>
      </c>
      <c r="Q11" s="29">
        <v>4480</v>
      </c>
      <c r="R11" s="2"/>
      <c r="S11" s="16">
        <f t="shared" si="0"/>
        <v>486</v>
      </c>
      <c r="T11" s="41">
        <f t="shared" si="1"/>
        <v>99240</v>
      </c>
      <c r="U11" s="16">
        <f t="shared" si="2"/>
        <v>462</v>
      </c>
      <c r="V11" s="41">
        <f t="shared" si="3"/>
        <v>39235</v>
      </c>
      <c r="W11" s="2"/>
      <c r="X11" s="3"/>
      <c r="Y11" s="4"/>
    </row>
    <row r="12" spans="1:25" ht="18" customHeight="1" x14ac:dyDescent="0.2">
      <c r="A12" s="112">
        <f t="shared" si="4"/>
        <v>45571</v>
      </c>
      <c r="B12" s="34">
        <v>485</v>
      </c>
      <c r="C12" s="35">
        <v>50530</v>
      </c>
      <c r="D12" s="34">
        <v>3</v>
      </c>
      <c r="E12" s="35">
        <v>4165</v>
      </c>
      <c r="F12" s="34">
        <v>0</v>
      </c>
      <c r="G12" s="35">
        <v>0</v>
      </c>
      <c r="H12" s="26">
        <v>0</v>
      </c>
      <c r="I12" s="25">
        <v>0</v>
      </c>
      <c r="J12" s="48">
        <v>0</v>
      </c>
      <c r="K12" s="49">
        <v>0</v>
      </c>
      <c r="L12" s="27">
        <v>15</v>
      </c>
      <c r="M12" s="28">
        <v>52010</v>
      </c>
      <c r="N12" s="30">
        <v>172</v>
      </c>
      <c r="O12" s="29">
        <v>23485</v>
      </c>
      <c r="P12" s="30">
        <v>3</v>
      </c>
      <c r="Q12" s="29">
        <v>4165</v>
      </c>
      <c r="R12" s="2"/>
      <c r="S12" s="16">
        <f t="shared" si="0"/>
        <v>500</v>
      </c>
      <c r="T12" s="41">
        <f t="shared" si="1"/>
        <v>102540</v>
      </c>
      <c r="U12" s="16">
        <f t="shared" si="2"/>
        <v>482</v>
      </c>
      <c r="V12" s="41">
        <f t="shared" si="3"/>
        <v>46365</v>
      </c>
      <c r="W12" s="2"/>
      <c r="X12" s="2"/>
      <c r="Y12" s="2"/>
    </row>
    <row r="13" spans="1:25" ht="18" customHeight="1" x14ac:dyDescent="0.2">
      <c r="A13" s="112">
        <f t="shared" si="4"/>
        <v>45572</v>
      </c>
      <c r="B13" s="34">
        <v>295</v>
      </c>
      <c r="C13" s="35">
        <v>26925</v>
      </c>
      <c r="D13" s="34">
        <v>1</v>
      </c>
      <c r="E13" s="35">
        <v>2240</v>
      </c>
      <c r="F13" s="34">
        <v>0</v>
      </c>
      <c r="G13" s="35">
        <v>0</v>
      </c>
      <c r="H13" s="26">
        <v>0</v>
      </c>
      <c r="I13" s="25">
        <v>0</v>
      </c>
      <c r="J13" s="48">
        <v>0</v>
      </c>
      <c r="K13" s="49">
        <v>0</v>
      </c>
      <c r="L13" s="27">
        <v>6</v>
      </c>
      <c r="M13" s="356">
        <v>81900</v>
      </c>
      <c r="N13" s="30">
        <v>98</v>
      </c>
      <c r="O13" s="29">
        <v>8500</v>
      </c>
      <c r="P13" s="30">
        <v>0</v>
      </c>
      <c r="Q13" s="29">
        <v>0</v>
      </c>
      <c r="R13" s="2"/>
      <c r="S13" s="16">
        <f t="shared" si="0"/>
        <v>301</v>
      </c>
      <c r="T13" s="41">
        <f t="shared" si="1"/>
        <v>108825</v>
      </c>
      <c r="U13" s="16">
        <f t="shared" si="2"/>
        <v>294</v>
      </c>
      <c r="V13" s="41">
        <f t="shared" si="3"/>
        <v>24685</v>
      </c>
      <c r="W13" s="2"/>
      <c r="X13" s="3"/>
      <c r="Y13" s="4"/>
    </row>
    <row r="14" spans="1:25" ht="18" customHeight="1" x14ac:dyDescent="0.2">
      <c r="A14" s="112">
        <f t="shared" si="4"/>
        <v>45573</v>
      </c>
      <c r="B14" s="34">
        <v>261</v>
      </c>
      <c r="C14" s="35">
        <v>24290</v>
      </c>
      <c r="D14" s="34">
        <v>1</v>
      </c>
      <c r="E14" s="35">
        <v>0</v>
      </c>
      <c r="F14" s="34">
        <v>0</v>
      </c>
      <c r="G14" s="35">
        <v>0</v>
      </c>
      <c r="H14" s="26">
        <v>0</v>
      </c>
      <c r="I14" s="25">
        <v>0</v>
      </c>
      <c r="J14" s="48">
        <v>0</v>
      </c>
      <c r="K14" s="49">
        <v>0</v>
      </c>
      <c r="L14" s="27">
        <v>0</v>
      </c>
      <c r="M14" s="28">
        <v>0</v>
      </c>
      <c r="N14" s="30">
        <v>102</v>
      </c>
      <c r="O14" s="29">
        <v>10765</v>
      </c>
      <c r="P14" s="30">
        <v>0</v>
      </c>
      <c r="Q14" s="29">
        <v>0</v>
      </c>
      <c r="R14" s="2"/>
      <c r="S14" s="16">
        <f t="shared" si="0"/>
        <v>261</v>
      </c>
      <c r="T14" s="41">
        <f t="shared" si="1"/>
        <v>24290</v>
      </c>
      <c r="U14" s="16">
        <f t="shared" si="2"/>
        <v>260</v>
      </c>
      <c r="V14" s="41">
        <f t="shared" si="3"/>
        <v>24290</v>
      </c>
      <c r="W14" s="2"/>
      <c r="X14" s="2"/>
      <c r="Y14" s="2"/>
    </row>
    <row r="15" spans="1:25" ht="18" customHeight="1" x14ac:dyDescent="0.2">
      <c r="A15" s="112">
        <f t="shared" si="4"/>
        <v>45574</v>
      </c>
      <c r="B15" s="34">
        <v>375</v>
      </c>
      <c r="C15" s="35">
        <v>37630</v>
      </c>
      <c r="D15" s="34">
        <v>1</v>
      </c>
      <c r="E15" s="35">
        <v>1400</v>
      </c>
      <c r="F15" s="34">
        <v>0</v>
      </c>
      <c r="G15" s="35">
        <v>0</v>
      </c>
      <c r="H15" s="26">
        <v>0</v>
      </c>
      <c r="I15" s="25">
        <v>0</v>
      </c>
      <c r="J15" s="48">
        <v>0</v>
      </c>
      <c r="K15" s="49">
        <v>0</v>
      </c>
      <c r="L15" s="27">
        <v>0</v>
      </c>
      <c r="M15" s="28">
        <v>0</v>
      </c>
      <c r="N15" s="30">
        <v>149</v>
      </c>
      <c r="O15" s="29">
        <v>19410</v>
      </c>
      <c r="P15" s="30">
        <v>1</v>
      </c>
      <c r="Q15" s="29">
        <v>1400</v>
      </c>
      <c r="R15" s="2"/>
      <c r="S15" s="16">
        <f t="shared" si="0"/>
        <v>375</v>
      </c>
      <c r="T15" s="41">
        <f t="shared" si="1"/>
        <v>37630</v>
      </c>
      <c r="U15" s="16">
        <f t="shared" si="2"/>
        <v>374</v>
      </c>
      <c r="V15" s="41">
        <f t="shared" si="3"/>
        <v>36230</v>
      </c>
      <c r="W15" s="2"/>
      <c r="X15" s="3"/>
      <c r="Y15" s="4"/>
    </row>
    <row r="16" spans="1:25" ht="18" customHeight="1" x14ac:dyDescent="0.2">
      <c r="A16" s="112">
        <f t="shared" si="4"/>
        <v>45575</v>
      </c>
      <c r="B16" s="34">
        <v>324</v>
      </c>
      <c r="C16" s="35">
        <v>32490</v>
      </c>
      <c r="D16" s="34">
        <v>1</v>
      </c>
      <c r="E16" s="35">
        <v>2765</v>
      </c>
      <c r="F16" s="34">
        <v>0</v>
      </c>
      <c r="G16" s="35">
        <v>0</v>
      </c>
      <c r="H16" s="26">
        <v>0</v>
      </c>
      <c r="I16" s="25">
        <v>0</v>
      </c>
      <c r="J16" s="48">
        <v>0</v>
      </c>
      <c r="K16" s="49">
        <v>0</v>
      </c>
      <c r="L16" s="27">
        <v>0</v>
      </c>
      <c r="M16" s="28">
        <v>0</v>
      </c>
      <c r="N16" s="30">
        <v>123</v>
      </c>
      <c r="O16" s="29">
        <v>15405</v>
      </c>
      <c r="P16" s="30">
        <v>1</v>
      </c>
      <c r="Q16" s="29">
        <v>2765</v>
      </c>
      <c r="R16" s="2"/>
      <c r="S16" s="16">
        <f t="shared" si="0"/>
        <v>324</v>
      </c>
      <c r="T16" s="41">
        <f t="shared" si="1"/>
        <v>32490</v>
      </c>
      <c r="U16" s="16">
        <f t="shared" si="2"/>
        <v>323</v>
      </c>
      <c r="V16" s="41">
        <f t="shared" si="3"/>
        <v>29725</v>
      </c>
      <c r="W16" s="2"/>
      <c r="X16" s="2"/>
      <c r="Y16" s="2"/>
    </row>
    <row r="17" spans="1:25" ht="18" customHeight="1" x14ac:dyDescent="0.2">
      <c r="A17" s="112">
        <f t="shared" si="4"/>
        <v>45576</v>
      </c>
      <c r="B17" s="34">
        <v>288</v>
      </c>
      <c r="C17" s="35">
        <v>27330</v>
      </c>
      <c r="D17" s="34">
        <v>0</v>
      </c>
      <c r="E17" s="35">
        <v>0</v>
      </c>
      <c r="F17" s="34">
        <v>0</v>
      </c>
      <c r="G17" s="35">
        <v>0</v>
      </c>
      <c r="H17" s="26">
        <v>0</v>
      </c>
      <c r="I17" s="25">
        <v>0</v>
      </c>
      <c r="J17" s="48">
        <v>0</v>
      </c>
      <c r="K17" s="49">
        <v>0</v>
      </c>
      <c r="L17" s="27">
        <v>0</v>
      </c>
      <c r="M17" s="28">
        <v>0</v>
      </c>
      <c r="N17" s="30">
        <v>113</v>
      </c>
      <c r="O17" s="29">
        <v>12890</v>
      </c>
      <c r="P17" s="30">
        <v>0</v>
      </c>
      <c r="Q17" s="29">
        <v>0</v>
      </c>
      <c r="R17" s="2"/>
      <c r="S17" s="16">
        <f t="shared" si="0"/>
        <v>288</v>
      </c>
      <c r="T17" s="41">
        <f t="shared" si="1"/>
        <v>27330</v>
      </c>
      <c r="U17" s="16">
        <f t="shared" si="2"/>
        <v>288</v>
      </c>
      <c r="V17" s="41">
        <f t="shared" si="3"/>
        <v>27330</v>
      </c>
      <c r="W17" s="2"/>
      <c r="X17" s="3"/>
      <c r="Y17" s="4"/>
    </row>
    <row r="18" spans="1:25" ht="18" customHeight="1" x14ac:dyDescent="0.2">
      <c r="A18" s="112">
        <f t="shared" si="4"/>
        <v>45577</v>
      </c>
      <c r="B18" s="34">
        <v>402</v>
      </c>
      <c r="C18" s="35">
        <v>36645</v>
      </c>
      <c r="D18" s="34">
        <v>4</v>
      </c>
      <c r="E18" s="35">
        <v>3160</v>
      </c>
      <c r="F18" s="34">
        <v>0</v>
      </c>
      <c r="G18" s="35">
        <v>0</v>
      </c>
      <c r="H18" s="26">
        <v>0</v>
      </c>
      <c r="I18" s="25">
        <v>0</v>
      </c>
      <c r="J18" s="48">
        <v>0</v>
      </c>
      <c r="K18" s="49">
        <v>0</v>
      </c>
      <c r="L18" s="27">
        <v>0</v>
      </c>
      <c r="M18" s="28">
        <v>0</v>
      </c>
      <c r="N18" s="30">
        <v>134</v>
      </c>
      <c r="O18" s="29">
        <v>14990</v>
      </c>
      <c r="P18" s="30">
        <v>2</v>
      </c>
      <c r="Q18" s="29">
        <v>3160</v>
      </c>
      <c r="R18" s="2"/>
      <c r="S18" s="16">
        <f t="shared" si="0"/>
        <v>402</v>
      </c>
      <c r="T18" s="41">
        <f t="shared" si="1"/>
        <v>36645</v>
      </c>
      <c r="U18" s="16">
        <f t="shared" si="2"/>
        <v>398</v>
      </c>
      <c r="V18" s="41">
        <f t="shared" si="3"/>
        <v>33485</v>
      </c>
      <c r="W18" s="2"/>
      <c r="X18" s="2"/>
      <c r="Y18" s="2"/>
    </row>
    <row r="19" spans="1:25" ht="18" customHeight="1" x14ac:dyDescent="0.2">
      <c r="A19" s="112">
        <f t="shared" si="4"/>
        <v>45578</v>
      </c>
      <c r="B19" s="34">
        <v>449</v>
      </c>
      <c r="C19" s="35">
        <v>39440</v>
      </c>
      <c r="D19" s="34">
        <v>1</v>
      </c>
      <c r="E19" s="35">
        <v>0</v>
      </c>
      <c r="F19" s="34">
        <v>0</v>
      </c>
      <c r="G19" s="35">
        <v>0</v>
      </c>
      <c r="H19" s="26">
        <v>0</v>
      </c>
      <c r="I19" s="25">
        <v>0</v>
      </c>
      <c r="J19" s="48">
        <v>0</v>
      </c>
      <c r="K19" s="49">
        <v>0</v>
      </c>
      <c r="L19" s="27">
        <v>0</v>
      </c>
      <c r="M19" s="28">
        <v>0</v>
      </c>
      <c r="N19" s="30">
        <v>151</v>
      </c>
      <c r="O19" s="29">
        <v>13735</v>
      </c>
      <c r="P19" s="30">
        <v>0</v>
      </c>
      <c r="Q19" s="29">
        <v>0</v>
      </c>
      <c r="R19" s="2"/>
      <c r="S19" s="16">
        <f t="shared" si="0"/>
        <v>449</v>
      </c>
      <c r="T19" s="41">
        <f t="shared" si="1"/>
        <v>39440</v>
      </c>
      <c r="U19" s="16">
        <f t="shared" si="2"/>
        <v>448</v>
      </c>
      <c r="V19" s="41">
        <f t="shared" si="3"/>
        <v>39440</v>
      </c>
      <c r="W19" s="2"/>
      <c r="X19" s="3"/>
      <c r="Y19" s="4"/>
    </row>
    <row r="20" spans="1:25" ht="18" customHeight="1" x14ac:dyDescent="0.2">
      <c r="A20" s="112">
        <f t="shared" si="4"/>
        <v>45579</v>
      </c>
      <c r="B20" s="34">
        <v>292</v>
      </c>
      <c r="C20" s="35">
        <v>30780</v>
      </c>
      <c r="D20" s="34">
        <v>1</v>
      </c>
      <c r="E20" s="35">
        <v>2240</v>
      </c>
      <c r="F20" s="34">
        <v>0</v>
      </c>
      <c r="G20" s="35">
        <v>0</v>
      </c>
      <c r="H20" s="26">
        <v>0</v>
      </c>
      <c r="I20" s="25">
        <v>0</v>
      </c>
      <c r="J20" s="48">
        <v>0</v>
      </c>
      <c r="K20" s="49">
        <v>0</v>
      </c>
      <c r="L20" s="27">
        <v>0</v>
      </c>
      <c r="M20" s="28">
        <v>0</v>
      </c>
      <c r="N20" s="30">
        <v>98</v>
      </c>
      <c r="O20" s="29">
        <v>12400</v>
      </c>
      <c r="P20" s="30">
        <v>0</v>
      </c>
      <c r="Q20" s="29">
        <v>0</v>
      </c>
      <c r="R20" s="2"/>
      <c r="S20" s="16">
        <f t="shared" si="0"/>
        <v>292</v>
      </c>
      <c r="T20" s="41">
        <f t="shared" si="1"/>
        <v>30780</v>
      </c>
      <c r="U20" s="16">
        <f t="shared" si="2"/>
        <v>291</v>
      </c>
      <c r="V20" s="41">
        <f t="shared" si="3"/>
        <v>28540</v>
      </c>
      <c r="W20" s="2"/>
      <c r="X20" s="2"/>
      <c r="Y20" s="2"/>
    </row>
    <row r="21" spans="1:25" ht="18" customHeight="1" x14ac:dyDescent="0.2">
      <c r="A21" s="112">
        <f t="shared" si="4"/>
        <v>45580</v>
      </c>
      <c r="B21" s="34">
        <v>273</v>
      </c>
      <c r="C21" s="35">
        <v>26625</v>
      </c>
      <c r="D21" s="34">
        <v>1</v>
      </c>
      <c r="E21" s="35">
        <v>1400</v>
      </c>
      <c r="F21" s="34">
        <v>0</v>
      </c>
      <c r="G21" s="35">
        <v>0</v>
      </c>
      <c r="H21" s="26">
        <v>0</v>
      </c>
      <c r="I21" s="25">
        <v>0</v>
      </c>
      <c r="J21" s="48">
        <v>0</v>
      </c>
      <c r="K21" s="49">
        <v>0</v>
      </c>
      <c r="L21" s="27">
        <v>0</v>
      </c>
      <c r="M21" s="28">
        <v>0</v>
      </c>
      <c r="N21" s="30">
        <v>96</v>
      </c>
      <c r="O21" s="29">
        <v>12230</v>
      </c>
      <c r="P21" s="30">
        <v>1</v>
      </c>
      <c r="Q21" s="29">
        <v>1400</v>
      </c>
      <c r="R21" s="2"/>
      <c r="S21" s="16">
        <f t="shared" si="0"/>
        <v>273</v>
      </c>
      <c r="T21" s="41">
        <f t="shared" si="1"/>
        <v>26625</v>
      </c>
      <c r="U21" s="16">
        <f t="shared" si="2"/>
        <v>272</v>
      </c>
      <c r="V21" s="41">
        <f t="shared" si="3"/>
        <v>25225</v>
      </c>
      <c r="W21" s="2"/>
      <c r="X21" s="3"/>
      <c r="Y21" s="4"/>
    </row>
    <row r="22" spans="1:25" ht="18" customHeight="1" x14ac:dyDescent="0.2">
      <c r="A22" s="112">
        <f t="shared" si="4"/>
        <v>45581</v>
      </c>
      <c r="B22" s="34">
        <v>330</v>
      </c>
      <c r="C22" s="35">
        <v>27140</v>
      </c>
      <c r="D22" s="34">
        <v>1</v>
      </c>
      <c r="E22" s="35">
        <v>0</v>
      </c>
      <c r="F22" s="34">
        <v>0</v>
      </c>
      <c r="G22" s="35">
        <v>0</v>
      </c>
      <c r="H22" s="26">
        <v>0</v>
      </c>
      <c r="I22" s="25">
        <v>0</v>
      </c>
      <c r="J22" s="48">
        <v>0</v>
      </c>
      <c r="K22" s="49">
        <v>0</v>
      </c>
      <c r="L22" s="27">
        <v>0</v>
      </c>
      <c r="M22" s="28">
        <v>0</v>
      </c>
      <c r="N22" s="30">
        <v>132</v>
      </c>
      <c r="O22" s="29">
        <v>11460</v>
      </c>
      <c r="P22" s="30">
        <v>0</v>
      </c>
      <c r="Q22" s="29">
        <v>0</v>
      </c>
      <c r="R22" s="2"/>
      <c r="S22" s="16">
        <f t="shared" si="0"/>
        <v>330</v>
      </c>
      <c r="T22" s="41">
        <f t="shared" si="1"/>
        <v>27140</v>
      </c>
      <c r="U22" s="16">
        <f t="shared" si="2"/>
        <v>329</v>
      </c>
      <c r="V22" s="41">
        <f t="shared" si="3"/>
        <v>27140</v>
      </c>
      <c r="W22" s="2"/>
      <c r="X22" s="2"/>
      <c r="Y22" s="2"/>
    </row>
    <row r="23" spans="1:25" ht="18" customHeight="1" x14ac:dyDescent="0.2">
      <c r="A23" s="112">
        <f t="shared" si="4"/>
        <v>45582</v>
      </c>
      <c r="B23" s="34">
        <v>298</v>
      </c>
      <c r="C23" s="35">
        <v>28900</v>
      </c>
      <c r="D23" s="34">
        <v>2</v>
      </c>
      <c r="E23" s="35">
        <v>0</v>
      </c>
      <c r="F23" s="34">
        <v>0</v>
      </c>
      <c r="G23" s="35">
        <v>0</v>
      </c>
      <c r="H23" s="26">
        <v>0</v>
      </c>
      <c r="I23" s="25">
        <v>0</v>
      </c>
      <c r="J23" s="48">
        <v>0</v>
      </c>
      <c r="K23" s="49">
        <v>0</v>
      </c>
      <c r="L23" s="27">
        <v>0</v>
      </c>
      <c r="M23" s="28">
        <v>0</v>
      </c>
      <c r="N23" s="30">
        <v>96</v>
      </c>
      <c r="O23" s="29">
        <v>11710</v>
      </c>
      <c r="P23" s="30">
        <v>0</v>
      </c>
      <c r="Q23" s="29">
        <v>0</v>
      </c>
      <c r="R23" s="2" t="s">
        <v>46</v>
      </c>
      <c r="S23" s="16">
        <f t="shared" si="0"/>
        <v>298</v>
      </c>
      <c r="T23" s="41">
        <f t="shared" si="1"/>
        <v>28900</v>
      </c>
      <c r="U23" s="16">
        <f t="shared" si="2"/>
        <v>296</v>
      </c>
      <c r="V23" s="41">
        <f t="shared" si="3"/>
        <v>28900</v>
      </c>
      <c r="W23" s="2"/>
      <c r="X23" s="3"/>
      <c r="Y23" s="4"/>
    </row>
    <row r="24" spans="1:25" ht="18" customHeight="1" x14ac:dyDescent="0.2">
      <c r="A24" s="112">
        <f t="shared" si="4"/>
        <v>45583</v>
      </c>
      <c r="B24" s="34">
        <v>259</v>
      </c>
      <c r="C24" s="35">
        <v>21940</v>
      </c>
      <c r="D24" s="34">
        <v>1</v>
      </c>
      <c r="E24" s="35">
        <v>0</v>
      </c>
      <c r="F24" s="34">
        <v>0</v>
      </c>
      <c r="G24" s="35">
        <v>0</v>
      </c>
      <c r="H24" s="26">
        <v>0</v>
      </c>
      <c r="I24" s="25">
        <v>0</v>
      </c>
      <c r="J24" s="48">
        <v>0</v>
      </c>
      <c r="K24" s="49">
        <v>0</v>
      </c>
      <c r="L24" s="27">
        <v>0</v>
      </c>
      <c r="M24" s="28">
        <v>0</v>
      </c>
      <c r="N24" s="30">
        <v>58</v>
      </c>
      <c r="O24" s="29">
        <v>5110</v>
      </c>
      <c r="P24" s="30">
        <v>0</v>
      </c>
      <c r="Q24" s="29">
        <v>0</v>
      </c>
      <c r="R24" s="2"/>
      <c r="S24" s="16">
        <f t="shared" si="0"/>
        <v>259</v>
      </c>
      <c r="T24" s="41">
        <f t="shared" si="1"/>
        <v>21940</v>
      </c>
      <c r="U24" s="16">
        <f t="shared" si="2"/>
        <v>258</v>
      </c>
      <c r="V24" s="41">
        <f t="shared" si="3"/>
        <v>21940</v>
      </c>
      <c r="W24" s="2"/>
      <c r="X24" s="2"/>
      <c r="Y24" s="2"/>
    </row>
    <row r="25" spans="1:25" ht="18" customHeight="1" x14ac:dyDescent="0.2">
      <c r="A25" s="112">
        <f t="shared" si="4"/>
        <v>45584</v>
      </c>
      <c r="B25" s="34">
        <v>355</v>
      </c>
      <c r="C25" s="35">
        <v>32085</v>
      </c>
      <c r="D25" s="34">
        <v>1</v>
      </c>
      <c r="E25" s="35">
        <v>0</v>
      </c>
      <c r="F25" s="34">
        <v>0</v>
      </c>
      <c r="G25" s="35">
        <v>0</v>
      </c>
      <c r="H25" s="26">
        <v>0</v>
      </c>
      <c r="I25" s="25">
        <v>0</v>
      </c>
      <c r="J25" s="48">
        <v>0</v>
      </c>
      <c r="K25" s="49">
        <v>0</v>
      </c>
      <c r="L25" s="27">
        <v>0</v>
      </c>
      <c r="M25" s="28">
        <v>0</v>
      </c>
      <c r="N25" s="30">
        <v>135</v>
      </c>
      <c r="O25" s="29">
        <v>14920</v>
      </c>
      <c r="P25" s="30">
        <v>0</v>
      </c>
      <c r="Q25" s="29">
        <v>0</v>
      </c>
      <c r="R25" s="2"/>
      <c r="S25" s="16">
        <f t="shared" si="0"/>
        <v>355</v>
      </c>
      <c r="T25" s="41">
        <f t="shared" si="1"/>
        <v>32085</v>
      </c>
      <c r="U25" s="16">
        <f t="shared" si="2"/>
        <v>354</v>
      </c>
      <c r="V25" s="41">
        <f t="shared" si="3"/>
        <v>32085</v>
      </c>
      <c r="W25" s="2"/>
      <c r="X25" s="3"/>
      <c r="Y25" s="4"/>
    </row>
    <row r="26" spans="1:25" ht="18" customHeight="1" x14ac:dyDescent="0.2">
      <c r="A26" s="112">
        <f t="shared" si="4"/>
        <v>45585</v>
      </c>
      <c r="B26" s="34">
        <v>327</v>
      </c>
      <c r="C26" s="35">
        <v>30100</v>
      </c>
      <c r="D26" s="34">
        <v>0</v>
      </c>
      <c r="E26" s="35">
        <v>0</v>
      </c>
      <c r="F26" s="34">
        <v>0</v>
      </c>
      <c r="G26" s="35">
        <v>0</v>
      </c>
      <c r="H26" s="26">
        <v>0</v>
      </c>
      <c r="I26" s="25">
        <v>0</v>
      </c>
      <c r="J26" s="48">
        <v>0</v>
      </c>
      <c r="K26" s="49">
        <v>0</v>
      </c>
      <c r="L26" s="27">
        <v>0</v>
      </c>
      <c r="M26" s="28">
        <v>0</v>
      </c>
      <c r="N26" s="31">
        <v>122</v>
      </c>
      <c r="O26" s="25">
        <v>11980</v>
      </c>
      <c r="P26" s="31">
        <v>0</v>
      </c>
      <c r="Q26" s="25">
        <v>0</v>
      </c>
      <c r="R26" s="2"/>
      <c r="S26" s="16">
        <f t="shared" si="0"/>
        <v>327</v>
      </c>
      <c r="T26" s="41">
        <f t="shared" si="1"/>
        <v>30100</v>
      </c>
      <c r="U26" s="16">
        <f t="shared" si="2"/>
        <v>327</v>
      </c>
      <c r="V26" s="41">
        <f t="shared" si="3"/>
        <v>30100</v>
      </c>
      <c r="W26" s="2"/>
      <c r="X26" s="2"/>
      <c r="Y26" s="2"/>
    </row>
    <row r="27" spans="1:25" ht="18" customHeight="1" x14ac:dyDescent="0.2">
      <c r="A27" s="112">
        <f t="shared" si="4"/>
        <v>45586</v>
      </c>
      <c r="B27" s="34">
        <v>246</v>
      </c>
      <c r="C27" s="35">
        <v>22425</v>
      </c>
      <c r="D27" s="34">
        <v>1</v>
      </c>
      <c r="E27" s="35">
        <v>0</v>
      </c>
      <c r="F27" s="34">
        <v>0</v>
      </c>
      <c r="G27" s="35">
        <v>0</v>
      </c>
      <c r="H27" s="26">
        <v>0</v>
      </c>
      <c r="I27" s="25">
        <v>0</v>
      </c>
      <c r="J27" s="48">
        <v>0</v>
      </c>
      <c r="K27" s="49">
        <v>0</v>
      </c>
      <c r="L27" s="27">
        <v>0</v>
      </c>
      <c r="M27" s="28">
        <v>0</v>
      </c>
      <c r="N27" s="30">
        <v>82</v>
      </c>
      <c r="O27" s="29">
        <v>7675</v>
      </c>
      <c r="P27" s="30">
        <v>0</v>
      </c>
      <c r="Q27" s="29">
        <v>0</v>
      </c>
      <c r="R27" s="2"/>
      <c r="S27" s="16">
        <f t="shared" si="0"/>
        <v>246</v>
      </c>
      <c r="T27" s="41">
        <f t="shared" si="1"/>
        <v>22425</v>
      </c>
      <c r="U27" s="16">
        <f t="shared" si="2"/>
        <v>245</v>
      </c>
      <c r="V27" s="41">
        <f t="shared" si="3"/>
        <v>22425</v>
      </c>
      <c r="W27" s="2"/>
      <c r="X27" s="3"/>
      <c r="Y27" s="4"/>
    </row>
    <row r="28" spans="1:25" ht="18" customHeight="1" x14ac:dyDescent="0.2">
      <c r="A28" s="112">
        <f t="shared" si="4"/>
        <v>45587</v>
      </c>
      <c r="B28" s="34">
        <v>396</v>
      </c>
      <c r="C28" s="35">
        <v>16630</v>
      </c>
      <c r="D28" s="34">
        <v>2</v>
      </c>
      <c r="E28" s="35">
        <v>1400</v>
      </c>
      <c r="F28" s="34">
        <v>0</v>
      </c>
      <c r="G28" s="35">
        <v>0</v>
      </c>
      <c r="H28" s="26">
        <v>0</v>
      </c>
      <c r="I28" s="25">
        <v>0</v>
      </c>
      <c r="J28" s="48">
        <v>0</v>
      </c>
      <c r="K28" s="49">
        <v>0</v>
      </c>
      <c r="L28" s="27">
        <v>0</v>
      </c>
      <c r="M28" s="28">
        <v>0</v>
      </c>
      <c r="N28" s="30">
        <v>55</v>
      </c>
      <c r="O28" s="29">
        <v>7890</v>
      </c>
      <c r="P28" s="30">
        <v>0</v>
      </c>
      <c r="Q28" s="29">
        <v>0</v>
      </c>
      <c r="R28" s="2"/>
      <c r="S28" s="16">
        <f t="shared" si="0"/>
        <v>396</v>
      </c>
      <c r="T28" s="41">
        <f t="shared" si="1"/>
        <v>16630</v>
      </c>
      <c r="U28" s="16">
        <f t="shared" si="2"/>
        <v>394</v>
      </c>
      <c r="V28" s="41">
        <f t="shared" si="3"/>
        <v>15230</v>
      </c>
      <c r="W28" s="2"/>
      <c r="X28" s="2"/>
      <c r="Y28" s="2"/>
    </row>
    <row r="29" spans="1:25" ht="18" customHeight="1" x14ac:dyDescent="0.2">
      <c r="A29" s="112">
        <f t="shared" si="4"/>
        <v>45588</v>
      </c>
      <c r="B29" s="34">
        <v>221</v>
      </c>
      <c r="C29" s="35">
        <v>23325</v>
      </c>
      <c r="D29" s="34">
        <v>3</v>
      </c>
      <c r="E29" s="35">
        <v>795</v>
      </c>
      <c r="F29" s="34">
        <v>0</v>
      </c>
      <c r="G29" s="35">
        <v>0</v>
      </c>
      <c r="H29" s="26">
        <v>0</v>
      </c>
      <c r="I29" s="25">
        <v>0</v>
      </c>
      <c r="J29" s="48">
        <v>0</v>
      </c>
      <c r="K29" s="49">
        <v>0</v>
      </c>
      <c r="L29" s="27">
        <v>0</v>
      </c>
      <c r="M29" s="28">
        <v>0</v>
      </c>
      <c r="N29" s="30">
        <v>85</v>
      </c>
      <c r="O29" s="29">
        <v>11040</v>
      </c>
      <c r="P29" s="30">
        <v>3</v>
      </c>
      <c r="Q29" s="29">
        <v>795</v>
      </c>
      <c r="R29" s="2"/>
      <c r="S29" s="16">
        <f t="shared" si="0"/>
        <v>221</v>
      </c>
      <c r="T29" s="41">
        <f t="shared" si="1"/>
        <v>23325</v>
      </c>
      <c r="U29" s="16">
        <f t="shared" si="2"/>
        <v>218</v>
      </c>
      <c r="V29" s="41">
        <f t="shared" si="3"/>
        <v>22530</v>
      </c>
      <c r="W29" s="2"/>
      <c r="X29" s="3"/>
      <c r="Y29" s="4"/>
    </row>
    <row r="30" spans="1:25" ht="18" customHeight="1" x14ac:dyDescent="0.2">
      <c r="A30" s="112">
        <f t="shared" si="4"/>
        <v>45589</v>
      </c>
      <c r="B30" s="34"/>
      <c r="C30" s="35"/>
      <c r="D30" s="34"/>
      <c r="E30" s="35"/>
      <c r="F30" s="34"/>
      <c r="G30" s="35"/>
      <c r="H30" s="26"/>
      <c r="I30" s="25"/>
      <c r="J30" s="48"/>
      <c r="K30" s="49"/>
      <c r="L30" s="27"/>
      <c r="M30" s="28"/>
      <c r="N30" s="30"/>
      <c r="O30" s="29"/>
      <c r="P30" s="30"/>
      <c r="Q30" s="29"/>
      <c r="R30" s="2"/>
      <c r="S30" s="16">
        <f t="shared" si="0"/>
        <v>0</v>
      </c>
      <c r="T30" s="41">
        <f t="shared" si="1"/>
        <v>0</v>
      </c>
      <c r="U30" s="16">
        <f t="shared" si="2"/>
        <v>0</v>
      </c>
      <c r="V30" s="41">
        <f t="shared" si="3"/>
        <v>0</v>
      </c>
      <c r="W30" s="2"/>
      <c r="X30" s="2"/>
      <c r="Y30" s="2"/>
    </row>
    <row r="31" spans="1:25" ht="18" customHeight="1" x14ac:dyDescent="0.2">
      <c r="A31" s="112">
        <f t="shared" si="4"/>
        <v>45590</v>
      </c>
      <c r="B31" s="34"/>
      <c r="C31" s="35"/>
      <c r="D31" s="34"/>
      <c r="E31" s="35"/>
      <c r="F31" s="34"/>
      <c r="G31" s="35"/>
      <c r="H31" s="26"/>
      <c r="I31" s="25"/>
      <c r="J31" s="48"/>
      <c r="K31" s="49"/>
      <c r="L31" s="27"/>
      <c r="M31" s="28"/>
      <c r="N31" s="30"/>
      <c r="O31" s="29"/>
      <c r="P31" s="30"/>
      <c r="Q31" s="29"/>
      <c r="R31" s="2"/>
      <c r="S31" s="16">
        <f t="shared" si="0"/>
        <v>0</v>
      </c>
      <c r="T31" s="41">
        <f t="shared" si="1"/>
        <v>0</v>
      </c>
      <c r="U31" s="16">
        <f t="shared" si="2"/>
        <v>0</v>
      </c>
      <c r="V31" s="41">
        <f t="shared" si="3"/>
        <v>0</v>
      </c>
      <c r="W31" s="2"/>
      <c r="X31" s="3"/>
      <c r="Y31" s="4"/>
    </row>
    <row r="32" spans="1:25" ht="18" customHeight="1" x14ac:dyDescent="0.2">
      <c r="A32" s="112">
        <f t="shared" si="4"/>
        <v>45591</v>
      </c>
      <c r="B32" s="34"/>
      <c r="C32" s="35"/>
      <c r="D32" s="34"/>
      <c r="E32" s="35"/>
      <c r="F32" s="34"/>
      <c r="G32" s="35"/>
      <c r="H32" s="26"/>
      <c r="I32" s="25"/>
      <c r="J32" s="48"/>
      <c r="K32" s="49"/>
      <c r="L32" s="27"/>
      <c r="M32" s="28"/>
      <c r="N32" s="30"/>
      <c r="O32" s="29"/>
      <c r="P32" s="30"/>
      <c r="Q32" s="29"/>
      <c r="R32" s="2"/>
      <c r="S32" s="16">
        <f t="shared" si="0"/>
        <v>0</v>
      </c>
      <c r="T32" s="41">
        <f t="shared" si="1"/>
        <v>0</v>
      </c>
      <c r="U32" s="16">
        <f t="shared" si="2"/>
        <v>0</v>
      </c>
      <c r="V32" s="41">
        <f t="shared" si="3"/>
        <v>0</v>
      </c>
      <c r="W32" s="2"/>
      <c r="X32" s="2"/>
      <c r="Y32" s="2"/>
    </row>
    <row r="33" spans="1:27" ht="18" customHeight="1" x14ac:dyDescent="0.2">
      <c r="A33" s="112">
        <f t="shared" si="4"/>
        <v>45592</v>
      </c>
      <c r="B33" s="34"/>
      <c r="C33" s="35"/>
      <c r="D33" s="34"/>
      <c r="E33" s="35"/>
      <c r="F33" s="34"/>
      <c r="G33" s="35"/>
      <c r="H33" s="26"/>
      <c r="I33" s="25"/>
      <c r="J33" s="48"/>
      <c r="K33" s="49"/>
      <c r="L33" s="27"/>
      <c r="M33" s="28"/>
      <c r="N33" s="30"/>
      <c r="O33" s="29"/>
      <c r="P33" s="30"/>
      <c r="Q33" s="29"/>
      <c r="R33" s="2"/>
      <c r="S33" s="16">
        <f t="shared" si="0"/>
        <v>0</v>
      </c>
      <c r="T33" s="41">
        <f t="shared" si="1"/>
        <v>0</v>
      </c>
      <c r="U33" s="16">
        <f t="shared" si="2"/>
        <v>0</v>
      </c>
      <c r="V33" s="41">
        <f t="shared" si="3"/>
        <v>0</v>
      </c>
      <c r="W33" s="2"/>
      <c r="X33" s="2"/>
      <c r="Y33" s="2"/>
    </row>
    <row r="34" spans="1:27" ht="18" customHeight="1" x14ac:dyDescent="0.2">
      <c r="A34" s="112">
        <f t="shared" si="4"/>
        <v>45593</v>
      </c>
      <c r="B34" s="34"/>
      <c r="C34" s="35"/>
      <c r="D34" s="34"/>
      <c r="E34" s="35"/>
      <c r="F34" s="34"/>
      <c r="G34" s="35"/>
      <c r="H34" s="26"/>
      <c r="I34" s="25"/>
      <c r="J34" s="48"/>
      <c r="K34" s="49"/>
      <c r="L34" s="27"/>
      <c r="M34" s="28"/>
      <c r="N34" s="30"/>
      <c r="O34" s="29"/>
      <c r="P34" s="30"/>
      <c r="Q34" s="29"/>
      <c r="R34" s="2"/>
      <c r="S34" s="16">
        <f t="shared" si="0"/>
        <v>0</v>
      </c>
      <c r="T34" s="41">
        <f t="shared" si="1"/>
        <v>0</v>
      </c>
      <c r="U34" s="16">
        <f t="shared" si="2"/>
        <v>0</v>
      </c>
      <c r="V34" s="41">
        <f t="shared" si="3"/>
        <v>0</v>
      </c>
      <c r="W34" s="2"/>
      <c r="X34" s="2"/>
      <c r="Y34" s="2"/>
    </row>
    <row r="35" spans="1:27" ht="18" customHeight="1" x14ac:dyDescent="0.2">
      <c r="A35" s="112">
        <f>IF(TEXT(A34+1,"G")&lt;"29","",VALUE(A34)+1)</f>
        <v>45594</v>
      </c>
      <c r="B35" s="34"/>
      <c r="C35" s="35"/>
      <c r="D35" s="34"/>
      <c r="E35" s="35"/>
      <c r="F35" s="34"/>
      <c r="G35" s="35"/>
      <c r="H35" s="26"/>
      <c r="I35" s="25"/>
      <c r="J35" s="48"/>
      <c r="K35" s="49"/>
      <c r="L35" s="27"/>
      <c r="M35" s="28"/>
      <c r="N35" s="30"/>
      <c r="O35" s="29"/>
      <c r="P35" s="30"/>
      <c r="Q35" s="29"/>
      <c r="R35" s="2"/>
      <c r="S35" s="16">
        <f t="shared" si="0"/>
        <v>0</v>
      </c>
      <c r="T35" s="41">
        <f t="shared" si="1"/>
        <v>0</v>
      </c>
      <c r="U35" s="16">
        <f t="shared" si="2"/>
        <v>0</v>
      </c>
      <c r="V35" s="41">
        <f t="shared" si="3"/>
        <v>0</v>
      </c>
      <c r="W35" s="2"/>
      <c r="X35" s="2"/>
      <c r="Y35" s="2"/>
    </row>
    <row r="36" spans="1:27" ht="18" customHeight="1" x14ac:dyDescent="0.2">
      <c r="A36" s="112">
        <f>IF(A35="","",IF(TEXT(A35+1,"G")&lt;"30","",VALUE(A35)+1))</f>
        <v>45595</v>
      </c>
      <c r="B36" s="34"/>
      <c r="C36" s="35"/>
      <c r="D36" s="34"/>
      <c r="E36" s="35"/>
      <c r="F36" s="34"/>
      <c r="G36" s="35"/>
      <c r="H36" s="26"/>
      <c r="I36" s="25"/>
      <c r="J36" s="48"/>
      <c r="K36" s="49"/>
      <c r="L36" s="27"/>
      <c r="M36" s="28"/>
      <c r="N36" s="30"/>
      <c r="O36" s="29"/>
      <c r="P36" s="30"/>
      <c r="Q36" s="29"/>
      <c r="R36" s="2"/>
      <c r="S36" s="16">
        <f t="shared" si="0"/>
        <v>0</v>
      </c>
      <c r="T36" s="41">
        <f t="shared" si="1"/>
        <v>0</v>
      </c>
      <c r="U36" s="16">
        <f t="shared" si="2"/>
        <v>0</v>
      </c>
      <c r="V36" s="41">
        <f t="shared" si="3"/>
        <v>0</v>
      </c>
      <c r="W36" s="2"/>
      <c r="X36" s="2"/>
      <c r="Y36" s="2"/>
    </row>
    <row r="37" spans="1:27" ht="18" customHeight="1" x14ac:dyDescent="0.2">
      <c r="A37" s="113">
        <f>IF(A36="","",IF(TEXT(A36+1,"G")&lt;"31","",VALUE(A36)+1))</f>
        <v>45596</v>
      </c>
      <c r="B37" s="89"/>
      <c r="C37" s="90"/>
      <c r="D37" s="89"/>
      <c r="E37" s="90"/>
      <c r="F37" s="89"/>
      <c r="G37" s="90"/>
      <c r="H37" s="92"/>
      <c r="I37" s="91"/>
      <c r="J37" s="93"/>
      <c r="K37" s="94"/>
      <c r="L37" s="95"/>
      <c r="M37" s="96"/>
      <c r="N37" s="98"/>
      <c r="O37" s="97"/>
      <c r="P37" s="98"/>
      <c r="Q37" s="97"/>
      <c r="R37" s="2"/>
      <c r="S37" s="99">
        <f t="shared" si="0"/>
        <v>0</v>
      </c>
      <c r="T37" s="100">
        <f t="shared" si="1"/>
        <v>0</v>
      </c>
      <c r="U37" s="99">
        <f t="shared" si="2"/>
        <v>0</v>
      </c>
      <c r="V37" s="100">
        <f t="shared" si="3"/>
        <v>0</v>
      </c>
      <c r="W37" s="2"/>
      <c r="X37" s="2"/>
      <c r="Y37" s="2"/>
    </row>
    <row r="38" spans="1:27" ht="18" customHeight="1" x14ac:dyDescent="0.2">
      <c r="A38" s="5"/>
      <c r="B38" s="6"/>
      <c r="C38" s="5"/>
      <c r="D38" s="6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/>
      <c r="S38" s="7"/>
      <c r="T38" s="5"/>
      <c r="U38" s="7"/>
      <c r="V38" s="5"/>
      <c r="W38" s="2"/>
      <c r="X38" s="2"/>
      <c r="Y38" s="2"/>
      <c r="Z38" s="2"/>
      <c r="AA38" s="2"/>
    </row>
    <row r="39" spans="1:27" ht="18" customHeight="1" x14ac:dyDescent="0.2">
      <c r="A39" s="82" t="s">
        <v>2</v>
      </c>
      <c r="B39" s="83">
        <f t="shared" ref="B39:G39" si="5">SUM(B7:B37)</f>
        <v>7789</v>
      </c>
      <c r="C39" s="84">
        <f t="shared" si="5"/>
        <v>706575</v>
      </c>
      <c r="D39" s="83">
        <f t="shared" si="5"/>
        <v>38</v>
      </c>
      <c r="E39" s="84">
        <f t="shared" si="5"/>
        <v>24445</v>
      </c>
      <c r="F39" s="83">
        <f t="shared" si="5"/>
        <v>0</v>
      </c>
      <c r="G39" s="84">
        <f t="shared" si="5"/>
        <v>0</v>
      </c>
      <c r="H39" s="85">
        <f t="shared" ref="H39:Q39" si="6">SUM(H7:H37)</f>
        <v>0</v>
      </c>
      <c r="I39" s="86">
        <f t="shared" si="6"/>
        <v>0</v>
      </c>
      <c r="J39" s="85">
        <f t="shared" si="6"/>
        <v>0</v>
      </c>
      <c r="K39" s="84">
        <f t="shared" si="6"/>
        <v>0</v>
      </c>
      <c r="L39" s="85">
        <f t="shared" si="6"/>
        <v>53</v>
      </c>
      <c r="M39" s="84">
        <f t="shared" si="6"/>
        <v>246405</v>
      </c>
      <c r="N39" s="87">
        <f t="shared" si="6"/>
        <v>2722</v>
      </c>
      <c r="O39" s="86">
        <f t="shared" si="6"/>
        <v>301230</v>
      </c>
      <c r="P39" s="87">
        <f t="shared" si="6"/>
        <v>15</v>
      </c>
      <c r="Q39" s="86">
        <f t="shared" si="6"/>
        <v>18565</v>
      </c>
      <c r="R39" s="2"/>
      <c r="S39" s="83">
        <f>SUM(S7:S37)</f>
        <v>7842</v>
      </c>
      <c r="T39" s="88">
        <f>SUM(T7:T37)</f>
        <v>952980</v>
      </c>
      <c r="U39" s="83">
        <f>SUM(U7:U37)</f>
        <v>7751</v>
      </c>
      <c r="V39" s="88">
        <f>SUM(V7:V37)</f>
        <v>682130</v>
      </c>
      <c r="W39" s="8"/>
      <c r="X39" s="3"/>
      <c r="Y39" s="2"/>
    </row>
    <row r="40" spans="1:27" ht="15" customHeight="1" x14ac:dyDescent="0.2">
      <c r="B40" s="9"/>
      <c r="C40" s="10"/>
      <c r="D40" s="10"/>
      <c r="E40" s="10"/>
      <c r="F40" s="10"/>
      <c r="G40" s="10"/>
      <c r="H40" s="10"/>
      <c r="I40" s="10"/>
      <c r="J40" s="2"/>
      <c r="K40" s="10"/>
      <c r="L40" s="2"/>
      <c r="M40" s="10"/>
      <c r="N40" s="10"/>
      <c r="O40" s="10"/>
      <c r="P40" s="10"/>
      <c r="S40" s="10"/>
    </row>
    <row r="41" spans="1:27" ht="15" customHeight="1" x14ac:dyDescent="0.2">
      <c r="J41" s="2"/>
      <c r="L41" s="2"/>
      <c r="N41" s="17"/>
    </row>
    <row r="42" spans="1:27" ht="15" customHeight="1" x14ac:dyDescent="0.2">
      <c r="J42" s="2"/>
      <c r="L42" s="2"/>
      <c r="N42" s="18"/>
    </row>
    <row r="43" spans="1:27" ht="15" customHeight="1" x14ac:dyDescent="0.2">
      <c r="B43" s="9"/>
      <c r="C43" s="11"/>
      <c r="D43" s="11"/>
      <c r="E43" s="5"/>
      <c r="F43" s="11"/>
      <c r="G43" s="5"/>
      <c r="H43" s="10"/>
      <c r="I43" s="10"/>
      <c r="J43" s="10"/>
      <c r="K43" s="10"/>
      <c r="L43" s="10"/>
      <c r="M43" s="10"/>
      <c r="N43" s="10"/>
      <c r="O43" s="10"/>
      <c r="P43" s="10"/>
      <c r="S43" s="10"/>
    </row>
    <row r="44" spans="1:27" ht="15" customHeight="1" x14ac:dyDescent="0.2">
      <c r="B44" s="9"/>
      <c r="C44" s="11"/>
      <c r="D44" s="11"/>
      <c r="E44" s="5"/>
      <c r="F44" s="11"/>
      <c r="G44" s="5"/>
      <c r="H44" s="10"/>
      <c r="I44" s="10"/>
      <c r="J44" s="10"/>
      <c r="K44" s="10"/>
      <c r="L44" s="10"/>
      <c r="M44" s="10"/>
      <c r="N44" s="10"/>
      <c r="O44" s="10"/>
      <c r="P44" s="10"/>
      <c r="S44" s="10"/>
    </row>
    <row r="45" spans="1:27" ht="15" customHeight="1" x14ac:dyDescent="0.2">
      <c r="B45" s="6"/>
      <c r="C45" s="12"/>
      <c r="D45" s="12"/>
      <c r="E45" s="13"/>
      <c r="F45" s="12"/>
      <c r="G45" s="13"/>
      <c r="H45" s="5"/>
      <c r="I45" s="5"/>
      <c r="J45" s="5"/>
      <c r="K45" s="5"/>
      <c r="L45" s="5"/>
      <c r="M45" s="5"/>
      <c r="N45" s="5"/>
      <c r="O45" s="5"/>
      <c r="P45" s="10"/>
      <c r="S45" s="10"/>
    </row>
    <row r="46" spans="1:27" ht="15" customHeight="1" x14ac:dyDescent="0.2">
      <c r="B46" s="372" t="s">
        <v>5</v>
      </c>
      <c r="C46" s="373"/>
      <c r="D46" s="373"/>
      <c r="E46" s="42">
        <f>SUM(T39)</f>
        <v>952980</v>
      </c>
      <c r="F46" s="114"/>
      <c r="G46" s="5"/>
      <c r="H46" s="5"/>
      <c r="I46" s="10"/>
      <c r="L46" s="10"/>
    </row>
    <row r="47" spans="1:27" ht="15" customHeight="1" x14ac:dyDescent="0.2">
      <c r="B47" s="374" t="s">
        <v>7</v>
      </c>
      <c r="C47" s="375"/>
      <c r="D47" s="375"/>
      <c r="E47" s="50">
        <f>E46/COUNTA(B7:B37)</f>
        <v>41433.913043478264</v>
      </c>
      <c r="F47" s="10"/>
      <c r="G47" s="5"/>
      <c r="H47" s="10"/>
      <c r="I47" s="10"/>
      <c r="L47" s="10"/>
    </row>
    <row r="48" spans="1:27" ht="15" customHeight="1" x14ac:dyDescent="0.2">
      <c r="B48" s="376" t="s">
        <v>6</v>
      </c>
      <c r="C48" s="377"/>
      <c r="D48" s="377"/>
      <c r="E48" s="43">
        <f>SUM(V39)</f>
        <v>682130</v>
      </c>
      <c r="F48" s="115"/>
      <c r="G48" s="10"/>
      <c r="H48" s="10"/>
      <c r="I48" s="10"/>
      <c r="L48" s="10"/>
    </row>
    <row r="49" spans="2:19" ht="15" customHeight="1" x14ac:dyDescent="0.2">
      <c r="C49" s="10"/>
      <c r="D49" s="10"/>
      <c r="E49" s="44"/>
      <c r="F49" s="10"/>
      <c r="G49" s="10"/>
      <c r="H49" s="10"/>
      <c r="I49" s="10"/>
      <c r="L49" s="10"/>
    </row>
    <row r="50" spans="2:19" ht="15" customHeight="1" x14ac:dyDescent="0.2">
      <c r="B50" s="367" t="s">
        <v>38</v>
      </c>
      <c r="C50" s="368"/>
      <c r="D50" s="369"/>
      <c r="E50" s="45">
        <f>O39</f>
        <v>301230</v>
      </c>
      <c r="F50" s="115"/>
      <c r="G50" s="10"/>
      <c r="H50" s="10"/>
      <c r="I50" s="10"/>
      <c r="L50" s="10"/>
    </row>
    <row r="51" spans="2:19" ht="15" customHeight="1" x14ac:dyDescent="0.2">
      <c r="C51" s="10"/>
      <c r="D51" s="10"/>
      <c r="E51" s="44"/>
      <c r="G51" s="10"/>
      <c r="H51" s="10"/>
      <c r="I51" s="10"/>
      <c r="L51" s="10"/>
    </row>
    <row r="52" spans="2:19" ht="15" customHeight="1" x14ac:dyDescent="0.2">
      <c r="B52" s="367" t="s">
        <v>43</v>
      </c>
      <c r="C52" s="368"/>
      <c r="D52" s="369"/>
      <c r="E52" s="45">
        <f>I39</f>
        <v>0</v>
      </c>
      <c r="F52" s="115"/>
      <c r="G52" s="10"/>
      <c r="H52" s="10"/>
      <c r="I52" s="10"/>
      <c r="L52" s="10"/>
    </row>
    <row r="53" spans="2:19" ht="15" customHeight="1" x14ac:dyDescent="0.2">
      <c r="E53" s="44"/>
      <c r="L53" s="10"/>
    </row>
    <row r="54" spans="2:19" ht="15" customHeight="1" x14ac:dyDescent="0.2">
      <c r="B54" s="367" t="s">
        <v>45</v>
      </c>
      <c r="C54" s="368"/>
      <c r="D54" s="369"/>
      <c r="E54" s="45">
        <f>K39</f>
        <v>0</v>
      </c>
      <c r="F54" s="115"/>
      <c r="L54" s="10"/>
    </row>
    <row r="55" spans="2:19" ht="15" customHeight="1" x14ac:dyDescent="0.2">
      <c r="L55" s="10"/>
    </row>
    <row r="56" spans="2:19" ht="15" customHeight="1" x14ac:dyDescent="0.2">
      <c r="B56" s="367" t="s">
        <v>90</v>
      </c>
      <c r="C56" s="368"/>
      <c r="D56" s="369"/>
      <c r="E56" s="45">
        <f>M39</f>
        <v>246405</v>
      </c>
      <c r="L56" s="10"/>
    </row>
    <row r="57" spans="2:19" ht="15" customHeight="1" x14ac:dyDescent="0.2">
      <c r="S57" s="10"/>
    </row>
    <row r="58" spans="2:19" ht="15" customHeight="1" x14ac:dyDescent="0.2">
      <c r="S58" s="10"/>
    </row>
    <row r="59" spans="2:19" ht="15" customHeight="1" x14ac:dyDescent="0.2">
      <c r="S59" s="10"/>
    </row>
    <row r="60" spans="2:19" ht="15" customHeight="1" x14ac:dyDescent="0.2">
      <c r="S60" s="10"/>
    </row>
    <row r="61" spans="2:19" ht="15" customHeight="1" x14ac:dyDescent="0.2">
      <c r="S61" s="10"/>
    </row>
    <row r="62" spans="2:19" ht="15" customHeight="1" x14ac:dyDescent="0.2">
      <c r="S62" s="10"/>
    </row>
    <row r="63" spans="2:19" ht="15" customHeight="1" x14ac:dyDescent="0.2">
      <c r="S63" s="10"/>
    </row>
    <row r="64" spans="2:19" ht="15" customHeight="1" x14ac:dyDescent="0.2">
      <c r="S64" s="10"/>
    </row>
    <row r="65" spans="19:19" ht="15" customHeight="1" x14ac:dyDescent="0.2">
      <c r="S65" s="10"/>
    </row>
    <row r="66" spans="19:19" ht="15" customHeight="1" x14ac:dyDescent="0.2">
      <c r="S66" s="10"/>
    </row>
    <row r="67" spans="19:19" ht="15" customHeight="1" x14ac:dyDescent="0.2">
      <c r="S67" s="10"/>
    </row>
    <row r="68" spans="19:19" ht="15" customHeight="1" x14ac:dyDescent="0.2">
      <c r="S68" s="10"/>
    </row>
    <row r="69" spans="19:19" ht="15" customHeight="1" x14ac:dyDescent="0.2">
      <c r="S69" s="10"/>
    </row>
    <row r="70" spans="19:19" ht="15" customHeight="1" x14ac:dyDescent="0.2">
      <c r="S70" s="10"/>
    </row>
    <row r="71" spans="19:19" ht="15" customHeight="1" x14ac:dyDescent="0.2">
      <c r="S71" s="10"/>
    </row>
    <row r="72" spans="19:19" ht="15" customHeight="1" x14ac:dyDescent="0.2">
      <c r="S72" s="10"/>
    </row>
    <row r="73" spans="19:19" ht="15" customHeight="1" x14ac:dyDescent="0.2">
      <c r="S73" s="10"/>
    </row>
    <row r="74" spans="19:19" ht="15" customHeight="1" x14ac:dyDescent="0.2">
      <c r="S74" s="10"/>
    </row>
    <row r="75" spans="19:19" ht="15" customHeight="1" x14ac:dyDescent="0.2">
      <c r="S75" s="10"/>
    </row>
    <row r="76" spans="19:19" ht="15" customHeight="1" x14ac:dyDescent="0.2">
      <c r="S76" s="10"/>
    </row>
    <row r="77" spans="19:19" ht="15" customHeight="1" x14ac:dyDescent="0.2">
      <c r="S77" s="10"/>
    </row>
    <row r="78" spans="19:19" ht="15" customHeight="1" x14ac:dyDescent="0.2">
      <c r="S78" s="10"/>
    </row>
    <row r="79" spans="19:19" ht="15" customHeight="1" x14ac:dyDescent="0.2">
      <c r="S79" s="10"/>
    </row>
    <row r="80" spans="19:19" ht="15" customHeight="1" x14ac:dyDescent="0.2">
      <c r="S80" s="10"/>
    </row>
    <row r="81" spans="6:19" ht="15" customHeight="1" x14ac:dyDescent="0.2">
      <c r="S81" s="10"/>
    </row>
    <row r="82" spans="6:19" ht="15" customHeight="1" x14ac:dyDescent="0.2">
      <c r="S82" s="10"/>
    </row>
    <row r="83" spans="6:19" ht="15" customHeight="1" x14ac:dyDescent="0.2">
      <c r="S83" s="10"/>
    </row>
    <row r="84" spans="6:19" ht="15" customHeight="1" x14ac:dyDescent="0.2">
      <c r="S84" s="10"/>
    </row>
    <row r="85" spans="6:19" ht="15" customHeight="1" x14ac:dyDescent="0.2">
      <c r="S85" s="10"/>
    </row>
    <row r="86" spans="6:19" ht="15" customHeight="1" x14ac:dyDescent="0.2">
      <c r="S86" s="10"/>
    </row>
    <row r="87" spans="6:19" ht="15" customHeight="1" x14ac:dyDescent="0.2">
      <c r="S87" s="10"/>
    </row>
    <row r="88" spans="6:19" ht="15" customHeight="1" x14ac:dyDescent="0.2">
      <c r="S88" s="10"/>
    </row>
    <row r="89" spans="6:19" ht="15" customHeight="1" x14ac:dyDescent="0.2">
      <c r="S89" s="10"/>
    </row>
    <row r="90" spans="6:19" ht="15" customHeight="1" x14ac:dyDescent="0.2">
      <c r="S90" s="10"/>
    </row>
    <row r="91" spans="6:19" ht="15" customHeight="1" x14ac:dyDescent="0.2">
      <c r="S91" s="10"/>
    </row>
    <row r="92" spans="6:19" ht="15" customHeight="1" x14ac:dyDescent="0.2">
      <c r="S92" s="10"/>
    </row>
    <row r="93" spans="6:19" ht="15" customHeight="1" x14ac:dyDescent="0.2">
      <c r="S93" s="10"/>
    </row>
    <row r="94" spans="6:19" ht="15" customHeight="1" x14ac:dyDescent="0.2">
      <c r="S94" s="10"/>
    </row>
    <row r="95" spans="6:19" ht="15" customHeight="1" x14ac:dyDescent="0.2">
      <c r="S95" s="10"/>
    </row>
    <row r="96" spans="6:19" ht="15" customHeight="1" x14ac:dyDescent="0.2">
      <c r="F96" s="3"/>
      <c r="S96" s="10"/>
    </row>
    <row r="97" spans="1:19" ht="15" customHeight="1" x14ac:dyDescent="0.2">
      <c r="F97" s="2"/>
      <c r="S97" s="10"/>
    </row>
    <row r="98" spans="1:19" ht="15" customHeight="1" x14ac:dyDescent="0.2">
      <c r="B98" s="2"/>
      <c r="C98" s="4"/>
      <c r="D98" s="3"/>
      <c r="E98" s="3"/>
      <c r="F98" s="14"/>
      <c r="G98" s="3"/>
      <c r="R98" s="3"/>
      <c r="S98" s="10"/>
    </row>
    <row r="99" spans="1:19" ht="15" customHeight="1" x14ac:dyDescent="0.2">
      <c r="A99" s="2"/>
      <c r="B99" s="2"/>
      <c r="C99" s="2"/>
      <c r="D99" s="2"/>
      <c r="E99" s="2"/>
      <c r="F99" s="3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2"/>
      <c r="S99" s="3"/>
    </row>
    <row r="100" spans="1:19" ht="15" customHeight="1" x14ac:dyDescent="0.2">
      <c r="A100" s="2"/>
      <c r="B100" s="2"/>
      <c r="C100" s="14"/>
      <c r="D100" s="14"/>
      <c r="E100" s="14"/>
      <c r="G100" s="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4"/>
      <c r="S100" s="2"/>
    </row>
    <row r="101" spans="1:19" ht="15" customHeight="1" x14ac:dyDescent="0.2">
      <c r="A101" s="2"/>
      <c r="B101" s="2"/>
      <c r="C101" s="3"/>
      <c r="D101" s="3"/>
      <c r="E101" s="3"/>
      <c r="G101" s="3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3"/>
      <c r="S101" s="14"/>
    </row>
    <row r="102" spans="1:19" ht="15" customHeight="1" x14ac:dyDescent="0.2">
      <c r="A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S102" s="3"/>
    </row>
  </sheetData>
  <sheetProtection selectLockedCells="1"/>
  <customSheetViews>
    <customSheetView guid="{B3F40701-2DC5-4D63-BF75-47A2E97895C7}" scale="75" hiddenColumns="1" showRuler="0">
      <pane ySplit="6" topLeftCell="A19" activePane="bottomLeft" state="frozenSplit"/>
      <selection pane="bottomLeft" activeCell="E50" sqref="E50"/>
      <pageMargins left="0.75" right="0.75" top="1" bottom="1" header="0.5" footer="0.5"/>
      <pageSetup paperSize="9" orientation="portrait" r:id="rId1"/>
      <headerFooter alignWithMargins="0"/>
    </customSheetView>
  </customSheetViews>
  <mergeCells count="24">
    <mergeCell ref="P5:Q5"/>
    <mergeCell ref="D4:E4"/>
    <mergeCell ref="D5:E5"/>
    <mergeCell ref="H4:I4"/>
    <mergeCell ref="H5:I5"/>
    <mergeCell ref="J4:K5"/>
    <mergeCell ref="F4:G4"/>
    <mergeCell ref="F5:G5"/>
    <mergeCell ref="A1:V2"/>
    <mergeCell ref="A3:V3"/>
    <mergeCell ref="B56:D56"/>
    <mergeCell ref="B54:D54"/>
    <mergeCell ref="B52:D52"/>
    <mergeCell ref="N5:O5"/>
    <mergeCell ref="B50:D50"/>
    <mergeCell ref="B46:D46"/>
    <mergeCell ref="B47:D47"/>
    <mergeCell ref="B48:D48"/>
    <mergeCell ref="A4:A5"/>
    <mergeCell ref="B4:C4"/>
    <mergeCell ref="N4:O4"/>
    <mergeCell ref="B5:C5"/>
    <mergeCell ref="L4:M5"/>
    <mergeCell ref="P4:Q4"/>
  </mergeCells>
  <phoneticPr fontId="0" type="noConversion"/>
  <pageMargins left="0.75" right="0.75" top="1" bottom="1" header="0.5" footer="0.5"/>
  <pageSetup paperSize="9" orientation="portrait" r:id="rId2"/>
  <headerFooter alignWithMargins="0"/>
  <ignoredErrors>
    <ignoredError sqref="P39" formula="1"/>
    <ignoredError sqref="E4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Y127"/>
  <sheetViews>
    <sheetView zoomScale="70" zoomScaleNormal="70" workbookViewId="0">
      <pane xSplit="1" ySplit="3" topLeftCell="B10" activePane="bottomRight" state="frozenSplit"/>
      <selection activeCell="P4" sqref="P4:Q5"/>
      <selection pane="topRight" activeCell="P4" sqref="P4:Q5"/>
      <selection pane="bottomLeft" activeCell="P4" sqref="P4:Q5"/>
      <selection pane="bottomRight" activeCell="B50" sqref="B50"/>
    </sheetView>
  </sheetViews>
  <sheetFormatPr defaultRowHeight="15" customHeight="1" x14ac:dyDescent="0.2"/>
  <cols>
    <col min="1" max="1" width="14.28515625" style="174" customWidth="1"/>
    <col min="2" max="2" width="10.85546875" style="146" bestFit="1" customWidth="1"/>
    <col min="3" max="3" width="11.140625" style="146" customWidth="1"/>
    <col min="4" max="4" width="10" style="146" bestFit="1" customWidth="1"/>
    <col min="5" max="5" width="10" style="146" customWidth="1"/>
    <col min="6" max="11" width="11.140625" style="146" customWidth="1"/>
    <col min="12" max="12" width="12" style="146" customWidth="1"/>
    <col min="13" max="15" width="10" style="146" bestFit="1" customWidth="1"/>
    <col min="16" max="16" width="10" style="146" customWidth="1"/>
    <col min="17" max="20" width="11.140625" style="146" customWidth="1"/>
    <col min="21" max="22" width="11.140625" style="146" bestFit="1" customWidth="1"/>
    <col min="23" max="23" width="10.85546875" style="146" bestFit="1" customWidth="1"/>
    <col min="24" max="24" width="12" style="174" bestFit="1" customWidth="1"/>
    <col min="25" max="16384" width="9.140625" style="146"/>
  </cols>
  <sheetData>
    <row r="1" spans="1:24" ht="30" customHeight="1" thickBot="1" x14ac:dyDescent="0.25">
      <c r="A1" s="388" t="str">
        <f>"SAAT BAZLI ARAÇ DAĞILIMI "&amp;'GENEL HASILAT'!A3:S3</f>
        <v>SAAT BAZLI ARAÇ DAĞILIMI EKİM 2024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90"/>
    </row>
    <row r="2" spans="1:24" ht="21.75" customHeight="1" x14ac:dyDescent="0.2">
      <c r="A2" s="147" t="s">
        <v>1</v>
      </c>
      <c r="B2" s="391" t="s">
        <v>128</v>
      </c>
      <c r="C2" s="392"/>
      <c r="D2" s="392"/>
      <c r="E2" s="392"/>
      <c r="F2" s="392"/>
      <c r="G2" s="392"/>
      <c r="H2" s="392"/>
      <c r="I2" s="392"/>
      <c r="J2" s="392"/>
      <c r="K2" s="392"/>
      <c r="L2" s="393"/>
      <c r="M2" s="394" t="s">
        <v>129</v>
      </c>
      <c r="N2" s="395"/>
      <c r="O2" s="395"/>
      <c r="P2" s="395"/>
      <c r="Q2" s="395"/>
      <c r="R2" s="395"/>
      <c r="S2" s="395"/>
      <c r="T2" s="395"/>
      <c r="U2" s="395"/>
      <c r="V2" s="395"/>
      <c r="W2" s="396"/>
      <c r="X2" s="397" t="s">
        <v>26</v>
      </c>
    </row>
    <row r="3" spans="1:24" ht="15" customHeight="1" x14ac:dyDescent="0.2">
      <c r="A3" s="148"/>
      <c r="B3" s="149" t="s">
        <v>27</v>
      </c>
      <c r="C3" s="150" t="s">
        <v>28</v>
      </c>
      <c r="D3" s="151" t="s">
        <v>29</v>
      </c>
      <c r="E3" s="151" t="s">
        <v>30</v>
      </c>
      <c r="F3" s="151" t="s">
        <v>31</v>
      </c>
      <c r="G3" s="151" t="s">
        <v>72</v>
      </c>
      <c r="H3" s="151" t="s">
        <v>73</v>
      </c>
      <c r="I3" s="151" t="s">
        <v>74</v>
      </c>
      <c r="J3" s="151" t="s">
        <v>75</v>
      </c>
      <c r="K3" s="151" t="s">
        <v>76</v>
      </c>
      <c r="L3" s="152" t="s">
        <v>20</v>
      </c>
      <c r="M3" s="153" t="s">
        <v>27</v>
      </c>
      <c r="N3" s="154" t="s">
        <v>28</v>
      </c>
      <c r="O3" s="155" t="s">
        <v>29</v>
      </c>
      <c r="P3" s="155" t="s">
        <v>30</v>
      </c>
      <c r="Q3" s="155" t="s">
        <v>31</v>
      </c>
      <c r="R3" s="155" t="s">
        <v>72</v>
      </c>
      <c r="S3" s="155" t="s">
        <v>73</v>
      </c>
      <c r="T3" s="155" t="s">
        <v>74</v>
      </c>
      <c r="U3" s="155" t="s">
        <v>75</v>
      </c>
      <c r="V3" s="155" t="s">
        <v>76</v>
      </c>
      <c r="W3" s="156" t="s">
        <v>20</v>
      </c>
      <c r="X3" s="398"/>
    </row>
    <row r="4" spans="1:24" ht="15" customHeight="1" x14ac:dyDescent="0.2">
      <c r="A4" s="386">
        <f>'GENEL HASILAT'!A7</f>
        <v>45566</v>
      </c>
      <c r="B4" s="157">
        <v>41</v>
      </c>
      <c r="C4" s="158">
        <v>9</v>
      </c>
      <c r="D4" s="158">
        <v>4</v>
      </c>
      <c r="E4" s="158">
        <v>4</v>
      </c>
      <c r="F4" s="158">
        <v>0</v>
      </c>
      <c r="G4" s="158">
        <v>0</v>
      </c>
      <c r="H4" s="158">
        <v>0</v>
      </c>
      <c r="I4" s="158">
        <v>0</v>
      </c>
      <c r="J4" s="158">
        <v>0</v>
      </c>
      <c r="K4" s="158">
        <v>1</v>
      </c>
      <c r="L4" s="159">
        <f>SUM(B4:K4)</f>
        <v>59</v>
      </c>
      <c r="M4" s="157">
        <v>3</v>
      </c>
      <c r="N4" s="158">
        <v>13</v>
      </c>
      <c r="O4" s="158">
        <v>1</v>
      </c>
      <c r="P4" s="158">
        <v>0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3100</v>
      </c>
      <c r="W4" s="160">
        <f>SUM(M4:V4)</f>
        <v>3117</v>
      </c>
      <c r="X4" s="161">
        <f>W4+L4</f>
        <v>3176</v>
      </c>
    </row>
    <row r="5" spans="1:24" ht="15" customHeight="1" x14ac:dyDescent="0.2">
      <c r="A5" s="387"/>
      <c r="B5" s="36">
        <f>B4/L4</f>
        <v>0.69491525423728817</v>
      </c>
      <c r="C5" s="37">
        <f>C4/L4</f>
        <v>0.15254237288135594</v>
      </c>
      <c r="D5" s="37">
        <f>D4/L4</f>
        <v>6.7796610169491525E-2</v>
      </c>
      <c r="E5" s="37">
        <f>E4/L4</f>
        <v>6.7796610169491525E-2</v>
      </c>
      <c r="F5" s="37">
        <f>F4/L4</f>
        <v>0</v>
      </c>
      <c r="G5" s="37">
        <f>G4/L4</f>
        <v>0</v>
      </c>
      <c r="H5" s="37">
        <f>H4/L4</f>
        <v>0</v>
      </c>
      <c r="I5" s="37">
        <f>I4/L4</f>
        <v>0</v>
      </c>
      <c r="J5" s="37">
        <f>J4/L4</f>
        <v>0</v>
      </c>
      <c r="K5" s="37">
        <f>K4/L4</f>
        <v>1.6949152542372881E-2</v>
      </c>
      <c r="L5" s="104">
        <f>L4/X4</f>
        <v>1.857682619647355E-2</v>
      </c>
      <c r="M5" s="36">
        <f>M4/W4</f>
        <v>9.6246390760346492E-4</v>
      </c>
      <c r="N5" s="37">
        <f>N4/W4</f>
        <v>4.1706769329483478E-3</v>
      </c>
      <c r="O5" s="37">
        <f>O4/W4</f>
        <v>3.2082130253448829E-4</v>
      </c>
      <c r="P5" s="37">
        <f>P4/W4</f>
        <v>0</v>
      </c>
      <c r="Q5" s="37">
        <f>Q4/W4</f>
        <v>0</v>
      </c>
      <c r="R5" s="37">
        <f>R4/W4</f>
        <v>0</v>
      </c>
      <c r="S5" s="37">
        <f>S4/W4</f>
        <v>0</v>
      </c>
      <c r="T5" s="37">
        <v>0</v>
      </c>
      <c r="U5" s="37">
        <f>U4/W4</f>
        <v>0</v>
      </c>
      <c r="V5" s="37">
        <f>V4/W4</f>
        <v>0.99454603785691365</v>
      </c>
      <c r="W5" s="101">
        <f>W4/X4</f>
        <v>0.98142317380352639</v>
      </c>
      <c r="X5" s="162">
        <f t="shared" ref="X5:X65" si="0">+L5+W5</f>
        <v>1</v>
      </c>
    </row>
    <row r="6" spans="1:24" ht="15" customHeight="1" x14ac:dyDescent="0.2">
      <c r="A6" s="386">
        <f>'GENEL HASILAT'!A8</f>
        <v>45567</v>
      </c>
      <c r="B6" s="157">
        <v>295</v>
      </c>
      <c r="C6" s="158">
        <v>143</v>
      </c>
      <c r="D6" s="158">
        <v>10</v>
      </c>
      <c r="E6" s="158">
        <v>7</v>
      </c>
      <c r="F6" s="158">
        <v>0</v>
      </c>
      <c r="G6" s="158">
        <v>0</v>
      </c>
      <c r="H6" s="158">
        <v>2</v>
      </c>
      <c r="I6" s="158">
        <v>1</v>
      </c>
      <c r="J6" s="158">
        <v>0</v>
      </c>
      <c r="K6" s="158">
        <v>3</v>
      </c>
      <c r="L6" s="159">
        <f>SUM(B6:K6)</f>
        <v>461</v>
      </c>
      <c r="M6" s="157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60">
        <f>SUM(M6:V6)</f>
        <v>0</v>
      </c>
      <c r="X6" s="163">
        <f t="shared" si="0"/>
        <v>461</v>
      </c>
    </row>
    <row r="7" spans="1:24" ht="15" customHeight="1" x14ac:dyDescent="0.2">
      <c r="A7" s="387"/>
      <c r="B7" s="36">
        <f>B6/L6</f>
        <v>0.63991323210412143</v>
      </c>
      <c r="C7" s="37">
        <f>C6/L6</f>
        <v>0.31019522776572667</v>
      </c>
      <c r="D7" s="37">
        <f>D6/L6</f>
        <v>2.1691973969631236E-2</v>
      </c>
      <c r="E7" s="37">
        <f>E6/L6</f>
        <v>1.5184381778741865E-2</v>
      </c>
      <c r="F7" s="37">
        <f>F6/L6</f>
        <v>0</v>
      </c>
      <c r="G7" s="37">
        <f>G6/L6</f>
        <v>0</v>
      </c>
      <c r="H7" s="37">
        <f>H6/L6</f>
        <v>4.3383947939262474E-3</v>
      </c>
      <c r="I7" s="37">
        <f>I6/L6</f>
        <v>2.1691973969631237E-3</v>
      </c>
      <c r="J7" s="37">
        <f>J6/L6</f>
        <v>0</v>
      </c>
      <c r="K7" s="37">
        <f>K6/L6</f>
        <v>6.5075921908893707E-3</v>
      </c>
      <c r="L7" s="104">
        <f>L6/X6</f>
        <v>1</v>
      </c>
      <c r="M7" s="36" t="e">
        <f>M6/W6</f>
        <v>#DIV/0!</v>
      </c>
      <c r="N7" s="37" t="e">
        <f>N6/W6</f>
        <v>#DIV/0!</v>
      </c>
      <c r="O7" s="37" t="e">
        <f>O6/W6</f>
        <v>#DIV/0!</v>
      </c>
      <c r="P7" s="37" t="e">
        <f>P6/W6</f>
        <v>#DIV/0!</v>
      </c>
      <c r="Q7" s="37" t="e">
        <f>Q6/W6</f>
        <v>#DIV/0!</v>
      </c>
      <c r="R7" s="37" t="e">
        <f>R6/W6</f>
        <v>#DIV/0!</v>
      </c>
      <c r="S7" s="37" t="e">
        <f>S6/W6</f>
        <v>#DIV/0!</v>
      </c>
      <c r="T7" s="37" t="e">
        <f>T6/W6</f>
        <v>#DIV/0!</v>
      </c>
      <c r="U7" s="37" t="e">
        <f>U6/W6</f>
        <v>#DIV/0!</v>
      </c>
      <c r="V7" s="37" t="e">
        <f>V6/W6</f>
        <v>#DIV/0!</v>
      </c>
      <c r="W7" s="101">
        <f>W6/X6</f>
        <v>0</v>
      </c>
      <c r="X7" s="162">
        <f t="shared" si="0"/>
        <v>1</v>
      </c>
    </row>
    <row r="8" spans="1:24" ht="15" customHeight="1" x14ac:dyDescent="0.2">
      <c r="A8" s="386">
        <f>'GENEL HASILAT'!A9</f>
        <v>45568</v>
      </c>
      <c r="B8" s="157">
        <v>134</v>
      </c>
      <c r="C8" s="158">
        <v>191</v>
      </c>
      <c r="D8" s="158">
        <v>80</v>
      </c>
      <c r="E8" s="158">
        <v>5</v>
      </c>
      <c r="F8" s="158">
        <v>3</v>
      </c>
      <c r="G8" s="158">
        <v>1</v>
      </c>
      <c r="H8" s="158">
        <v>1</v>
      </c>
      <c r="I8" s="158">
        <v>0</v>
      </c>
      <c r="J8" s="158">
        <v>0</v>
      </c>
      <c r="K8" s="158">
        <v>2</v>
      </c>
      <c r="L8" s="159">
        <f>SUM(B8:K8)</f>
        <v>417</v>
      </c>
      <c r="M8" s="157">
        <v>0</v>
      </c>
      <c r="N8" s="158">
        <v>0</v>
      </c>
      <c r="O8" s="158">
        <v>0</v>
      </c>
      <c r="P8" s="158">
        <v>0</v>
      </c>
      <c r="Q8" s="158">
        <v>0</v>
      </c>
      <c r="R8" s="158">
        <v>0</v>
      </c>
      <c r="S8" s="158">
        <v>0</v>
      </c>
      <c r="T8" s="158">
        <v>0</v>
      </c>
      <c r="U8" s="158">
        <v>0</v>
      </c>
      <c r="V8" s="158">
        <v>0</v>
      </c>
      <c r="W8" s="160">
        <f>SUM(M8:V8)</f>
        <v>0</v>
      </c>
      <c r="X8" s="163">
        <f t="shared" si="0"/>
        <v>417</v>
      </c>
    </row>
    <row r="9" spans="1:24" ht="15" customHeight="1" x14ac:dyDescent="0.2">
      <c r="A9" s="387"/>
      <c r="B9" s="36">
        <f>B8/L8</f>
        <v>0.32134292565947242</v>
      </c>
      <c r="C9" s="37">
        <f>C8/L8</f>
        <v>0.45803357314148679</v>
      </c>
      <c r="D9" s="37">
        <f>D8/L8</f>
        <v>0.19184652278177458</v>
      </c>
      <c r="E9" s="37">
        <f>E8/L8</f>
        <v>1.1990407673860911E-2</v>
      </c>
      <c r="F9" s="37">
        <f>F8/L8</f>
        <v>7.1942446043165471E-3</v>
      </c>
      <c r="G9" s="37">
        <f>G8/L8</f>
        <v>2.3980815347721821E-3</v>
      </c>
      <c r="H9" s="37">
        <f>H8/L8</f>
        <v>2.3980815347721821E-3</v>
      </c>
      <c r="I9" s="37">
        <f>I8/L8</f>
        <v>0</v>
      </c>
      <c r="J9" s="37">
        <f>J8/L8</f>
        <v>0</v>
      </c>
      <c r="K9" s="37">
        <f>K8/L8</f>
        <v>4.7961630695443642E-3</v>
      </c>
      <c r="L9" s="104">
        <f>L8/X8</f>
        <v>1</v>
      </c>
      <c r="M9" s="36" t="e">
        <f>M8/W8</f>
        <v>#DIV/0!</v>
      </c>
      <c r="N9" s="37" t="e">
        <f>N8/W8</f>
        <v>#DIV/0!</v>
      </c>
      <c r="O9" s="37" t="e">
        <f>O8/W8</f>
        <v>#DIV/0!</v>
      </c>
      <c r="P9" s="37" t="e">
        <f>P8/W8</f>
        <v>#DIV/0!</v>
      </c>
      <c r="Q9" s="37" t="e">
        <f>Q8/W8</f>
        <v>#DIV/0!</v>
      </c>
      <c r="R9" s="37" t="e">
        <f>R8/W8</f>
        <v>#DIV/0!</v>
      </c>
      <c r="S9" s="37" t="e">
        <f>S8/W8</f>
        <v>#DIV/0!</v>
      </c>
      <c r="T9" s="37" t="e">
        <f>T8/W8</f>
        <v>#DIV/0!</v>
      </c>
      <c r="U9" s="37" t="e">
        <f>U8/W8</f>
        <v>#DIV/0!</v>
      </c>
      <c r="V9" s="37" t="e">
        <f>V8/W8</f>
        <v>#DIV/0!</v>
      </c>
      <c r="W9" s="101">
        <f>W8/X8</f>
        <v>0</v>
      </c>
      <c r="X9" s="162">
        <f t="shared" si="0"/>
        <v>1</v>
      </c>
    </row>
    <row r="10" spans="1:24" ht="15" customHeight="1" x14ac:dyDescent="0.2">
      <c r="A10" s="386">
        <f>'GENEL HASILAT'!A10</f>
        <v>45569</v>
      </c>
      <c r="B10" s="157">
        <v>219</v>
      </c>
      <c r="C10" s="158">
        <v>110</v>
      </c>
      <c r="D10" s="158">
        <v>10</v>
      </c>
      <c r="E10" s="158">
        <v>3</v>
      </c>
      <c r="F10" s="158">
        <v>0</v>
      </c>
      <c r="G10" s="158">
        <v>0</v>
      </c>
      <c r="H10" s="158">
        <v>0</v>
      </c>
      <c r="I10" s="158">
        <v>0</v>
      </c>
      <c r="J10" s="158">
        <v>1</v>
      </c>
      <c r="K10" s="158">
        <v>0</v>
      </c>
      <c r="L10" s="159">
        <f>SUM(B10:K10)</f>
        <v>343</v>
      </c>
      <c r="M10" s="157">
        <v>0</v>
      </c>
      <c r="N10" s="158">
        <v>0</v>
      </c>
      <c r="O10" s="158">
        <v>0</v>
      </c>
      <c r="P10" s="158">
        <v>0</v>
      </c>
      <c r="Q10" s="158">
        <v>0</v>
      </c>
      <c r="R10" s="158">
        <v>0</v>
      </c>
      <c r="S10" s="158">
        <v>0</v>
      </c>
      <c r="T10" s="158">
        <v>0</v>
      </c>
      <c r="U10" s="158">
        <v>0</v>
      </c>
      <c r="V10" s="158">
        <v>0</v>
      </c>
      <c r="W10" s="160">
        <f>SUM(M10:V10)</f>
        <v>0</v>
      </c>
      <c r="X10" s="163">
        <f t="shared" si="0"/>
        <v>343</v>
      </c>
    </row>
    <row r="11" spans="1:24" ht="15" customHeight="1" x14ac:dyDescent="0.2">
      <c r="A11" s="387"/>
      <c r="B11" s="36">
        <f>B10/L10</f>
        <v>0.63848396501457727</v>
      </c>
      <c r="C11" s="37">
        <f>C10/L10</f>
        <v>0.32069970845481049</v>
      </c>
      <c r="D11" s="37">
        <f>D10/L10</f>
        <v>2.9154518950437316E-2</v>
      </c>
      <c r="E11" s="37">
        <f>E10/L10</f>
        <v>8.7463556851311956E-3</v>
      </c>
      <c r="F11" s="37">
        <f>F10/L10</f>
        <v>0</v>
      </c>
      <c r="G11" s="37">
        <f>G10/L10</f>
        <v>0</v>
      </c>
      <c r="H11" s="37">
        <f>H10/L10</f>
        <v>0</v>
      </c>
      <c r="I11" s="37">
        <f>I10/L10</f>
        <v>0</v>
      </c>
      <c r="J11" s="37">
        <f>J10/L10</f>
        <v>2.9154518950437317E-3</v>
      </c>
      <c r="K11" s="37">
        <f>K10/L10</f>
        <v>0</v>
      </c>
      <c r="L11" s="104">
        <f>L10/X10</f>
        <v>1</v>
      </c>
      <c r="M11" s="36" t="e">
        <f>M10/W10</f>
        <v>#DIV/0!</v>
      </c>
      <c r="N11" s="37" t="e">
        <f>N10/W10</f>
        <v>#DIV/0!</v>
      </c>
      <c r="O11" s="37" t="e">
        <f>O10/W10</f>
        <v>#DIV/0!</v>
      </c>
      <c r="P11" s="37" t="e">
        <f>P10/W10</f>
        <v>#DIV/0!</v>
      </c>
      <c r="Q11" s="37" t="e">
        <f>Q10/W10</f>
        <v>#DIV/0!</v>
      </c>
      <c r="R11" s="37" t="e">
        <f>R10/W10</f>
        <v>#DIV/0!</v>
      </c>
      <c r="S11" s="37" t="e">
        <f>S10/W10</f>
        <v>#DIV/0!</v>
      </c>
      <c r="T11" s="37" t="e">
        <f>T10/W10</f>
        <v>#DIV/0!</v>
      </c>
      <c r="U11" s="37" t="e">
        <f>U10/W10</f>
        <v>#DIV/0!</v>
      </c>
      <c r="V11" s="37" t="e">
        <f>V10/W10</f>
        <v>#DIV/0!</v>
      </c>
      <c r="W11" s="101">
        <f>W10/X10</f>
        <v>0</v>
      </c>
      <c r="X11" s="162">
        <f t="shared" si="0"/>
        <v>1</v>
      </c>
    </row>
    <row r="12" spans="1:24" ht="15" customHeight="1" x14ac:dyDescent="0.2">
      <c r="A12" s="386">
        <f>'GENEL HASILAT'!A11</f>
        <v>45570</v>
      </c>
      <c r="B12" s="157">
        <v>74</v>
      </c>
      <c r="C12" s="158">
        <v>25</v>
      </c>
      <c r="D12" s="158">
        <v>5</v>
      </c>
      <c r="E12" s="158">
        <v>2</v>
      </c>
      <c r="F12" s="158">
        <v>2</v>
      </c>
      <c r="G12" s="158">
        <v>0</v>
      </c>
      <c r="H12" s="158">
        <v>0</v>
      </c>
      <c r="I12" s="158">
        <v>1</v>
      </c>
      <c r="J12" s="158">
        <v>0</v>
      </c>
      <c r="K12" s="158">
        <v>1</v>
      </c>
      <c r="L12" s="159">
        <f>SUM(B12:K12)</f>
        <v>110</v>
      </c>
      <c r="M12" s="157">
        <v>3</v>
      </c>
      <c r="N12" s="158">
        <v>23</v>
      </c>
      <c r="O12" s="158">
        <v>6</v>
      </c>
      <c r="P12" s="158">
        <v>0</v>
      </c>
      <c r="Q12" s="158">
        <v>0</v>
      </c>
      <c r="R12" s="158">
        <v>0</v>
      </c>
      <c r="S12" s="158">
        <v>0</v>
      </c>
      <c r="T12" s="158">
        <v>0</v>
      </c>
      <c r="U12" s="158">
        <v>0</v>
      </c>
      <c r="V12" s="158">
        <v>326</v>
      </c>
      <c r="W12" s="160">
        <f>SUM(M12:V12)</f>
        <v>358</v>
      </c>
      <c r="X12" s="163">
        <f t="shared" si="0"/>
        <v>468</v>
      </c>
    </row>
    <row r="13" spans="1:24" ht="15" customHeight="1" x14ac:dyDescent="0.2">
      <c r="A13" s="387"/>
      <c r="B13" s="36">
        <f>B12/L12</f>
        <v>0.67272727272727273</v>
      </c>
      <c r="C13" s="37">
        <f>C12/L12</f>
        <v>0.22727272727272727</v>
      </c>
      <c r="D13" s="37">
        <f>D12/L12</f>
        <v>4.5454545454545456E-2</v>
      </c>
      <c r="E13" s="37">
        <f>E12/L12</f>
        <v>1.8181818181818181E-2</v>
      </c>
      <c r="F13" s="37">
        <f>F12/L12</f>
        <v>1.8181818181818181E-2</v>
      </c>
      <c r="G13" s="37">
        <f>G12/L12</f>
        <v>0</v>
      </c>
      <c r="H13" s="37">
        <f>H12/L12</f>
        <v>0</v>
      </c>
      <c r="I13" s="37">
        <f>I12/L12</f>
        <v>9.0909090909090905E-3</v>
      </c>
      <c r="J13" s="37">
        <f>J12/L12</f>
        <v>0</v>
      </c>
      <c r="K13" s="37">
        <f>K12/L12</f>
        <v>9.0909090909090905E-3</v>
      </c>
      <c r="L13" s="104">
        <f>L12/X12</f>
        <v>0.23504273504273504</v>
      </c>
      <c r="M13" s="36">
        <f>M12/W12</f>
        <v>8.3798882681564244E-3</v>
      </c>
      <c r="N13" s="37">
        <f>N12/W12</f>
        <v>6.4245810055865923E-2</v>
      </c>
      <c r="O13" s="37">
        <f>O12/W12</f>
        <v>1.6759776536312849E-2</v>
      </c>
      <c r="P13" s="37">
        <f>P12/W12</f>
        <v>0</v>
      </c>
      <c r="Q13" s="37">
        <f>Q12/W12</f>
        <v>0</v>
      </c>
      <c r="R13" s="37">
        <f>R12/W12</f>
        <v>0</v>
      </c>
      <c r="S13" s="37">
        <f>S12/W12</f>
        <v>0</v>
      </c>
      <c r="T13" s="37">
        <f>T12/W12</f>
        <v>0</v>
      </c>
      <c r="U13" s="37">
        <f>U12/W12</f>
        <v>0</v>
      </c>
      <c r="V13" s="37">
        <f>V12/W12</f>
        <v>0.91061452513966479</v>
      </c>
      <c r="W13" s="101">
        <f>W12/X12</f>
        <v>0.7649572649572649</v>
      </c>
      <c r="X13" s="162">
        <f t="shared" si="0"/>
        <v>1</v>
      </c>
    </row>
    <row r="14" spans="1:24" ht="15" customHeight="1" x14ac:dyDescent="0.2">
      <c r="A14" s="386">
        <f>'GENEL HASILAT'!A12</f>
        <v>45571</v>
      </c>
      <c r="B14" s="157">
        <f>66+123+88</f>
        <v>277</v>
      </c>
      <c r="C14" s="158">
        <f>47+35+30+56</f>
        <v>168</v>
      </c>
      <c r="D14" s="158">
        <f>24+3+6</f>
        <v>33</v>
      </c>
      <c r="E14" s="158">
        <v>9</v>
      </c>
      <c r="F14" s="158">
        <v>2</v>
      </c>
      <c r="G14" s="158">
        <v>1</v>
      </c>
      <c r="H14" s="158">
        <v>2</v>
      </c>
      <c r="I14" s="158">
        <v>1</v>
      </c>
      <c r="J14" s="158">
        <v>1</v>
      </c>
      <c r="K14" s="158">
        <v>4</v>
      </c>
      <c r="L14" s="159">
        <f>SUM(B14:K14)</f>
        <v>498</v>
      </c>
      <c r="M14" s="157">
        <v>0</v>
      </c>
      <c r="N14" s="158">
        <v>0</v>
      </c>
      <c r="O14" s="158">
        <v>0</v>
      </c>
      <c r="P14" s="158">
        <v>0</v>
      </c>
      <c r="Q14" s="158">
        <v>0</v>
      </c>
      <c r="R14" s="158">
        <v>0</v>
      </c>
      <c r="S14" s="158">
        <v>0</v>
      </c>
      <c r="T14" s="158">
        <v>0</v>
      </c>
      <c r="U14" s="158">
        <v>0</v>
      </c>
      <c r="V14" s="158">
        <v>0</v>
      </c>
      <c r="W14" s="160">
        <f>SUM(M14:V14)</f>
        <v>0</v>
      </c>
      <c r="X14" s="163">
        <f t="shared" si="0"/>
        <v>498</v>
      </c>
    </row>
    <row r="15" spans="1:24" ht="15" customHeight="1" x14ac:dyDescent="0.2">
      <c r="A15" s="387"/>
      <c r="B15" s="36">
        <f>B14/L14</f>
        <v>0.55622489959839361</v>
      </c>
      <c r="C15" s="37">
        <f>C14/L14</f>
        <v>0.33734939759036142</v>
      </c>
      <c r="D15" s="37">
        <f>D14/L14</f>
        <v>6.6265060240963861E-2</v>
      </c>
      <c r="E15" s="37">
        <f>E14/L14</f>
        <v>1.8072289156626505E-2</v>
      </c>
      <c r="F15" s="37">
        <f>F14/L14</f>
        <v>4.0160642570281121E-3</v>
      </c>
      <c r="G15" s="37">
        <f>G14/L14</f>
        <v>2.008032128514056E-3</v>
      </c>
      <c r="H15" s="37">
        <f>H14/L14</f>
        <v>4.0160642570281121E-3</v>
      </c>
      <c r="I15" s="37">
        <f>I14/L14</f>
        <v>2.008032128514056E-3</v>
      </c>
      <c r="J15" s="37">
        <f>J14/L14</f>
        <v>2.008032128514056E-3</v>
      </c>
      <c r="K15" s="37">
        <f>K14/L14</f>
        <v>8.0321285140562242E-3</v>
      </c>
      <c r="L15" s="104">
        <f>L14/X14</f>
        <v>1</v>
      </c>
      <c r="M15" s="36" t="e">
        <f>M14/W14</f>
        <v>#DIV/0!</v>
      </c>
      <c r="N15" s="37" t="e">
        <f>N14/W14</f>
        <v>#DIV/0!</v>
      </c>
      <c r="O15" s="37" t="e">
        <f>O14/W14</f>
        <v>#DIV/0!</v>
      </c>
      <c r="P15" s="37" t="e">
        <f>P14/W14</f>
        <v>#DIV/0!</v>
      </c>
      <c r="Q15" s="37" t="e">
        <f>Q14/W14</f>
        <v>#DIV/0!</v>
      </c>
      <c r="R15" s="37" t="e">
        <f>R14/W14</f>
        <v>#DIV/0!</v>
      </c>
      <c r="S15" s="37" t="e">
        <f>S14/W14</f>
        <v>#DIV/0!</v>
      </c>
      <c r="T15" s="37" t="e">
        <f>T14/W14</f>
        <v>#DIV/0!</v>
      </c>
      <c r="U15" s="37" t="e">
        <f>U14/W14</f>
        <v>#DIV/0!</v>
      </c>
      <c r="V15" s="37" t="e">
        <f>V14/W14</f>
        <v>#DIV/0!</v>
      </c>
      <c r="W15" s="101">
        <f>W14/X14</f>
        <v>0</v>
      </c>
      <c r="X15" s="162">
        <f t="shared" si="0"/>
        <v>1</v>
      </c>
    </row>
    <row r="16" spans="1:24" ht="15" customHeight="1" x14ac:dyDescent="0.2">
      <c r="A16" s="386">
        <f>'GENEL HASILAT'!A13</f>
        <v>45572</v>
      </c>
      <c r="B16" s="157">
        <v>117</v>
      </c>
      <c r="C16" s="158">
        <v>139</v>
      </c>
      <c r="D16" s="158">
        <v>41</v>
      </c>
      <c r="E16" s="158">
        <v>8</v>
      </c>
      <c r="F16" s="158">
        <v>3</v>
      </c>
      <c r="G16" s="158">
        <v>0</v>
      </c>
      <c r="H16" s="158">
        <v>0</v>
      </c>
      <c r="I16" s="158">
        <v>0</v>
      </c>
      <c r="J16" s="158">
        <v>0</v>
      </c>
      <c r="K16" s="158">
        <v>0</v>
      </c>
      <c r="L16" s="159">
        <f>SUM(B16:K16)</f>
        <v>308</v>
      </c>
      <c r="M16" s="157">
        <v>0</v>
      </c>
      <c r="N16" s="158">
        <v>0</v>
      </c>
      <c r="O16" s="158">
        <v>0</v>
      </c>
      <c r="P16" s="158">
        <v>0</v>
      </c>
      <c r="Q16" s="158">
        <v>0</v>
      </c>
      <c r="R16" s="158">
        <v>0</v>
      </c>
      <c r="S16" s="158">
        <v>0</v>
      </c>
      <c r="T16" s="158">
        <v>0</v>
      </c>
      <c r="U16" s="158">
        <v>0</v>
      </c>
      <c r="V16" s="158">
        <v>0</v>
      </c>
      <c r="W16" s="160">
        <v>0</v>
      </c>
      <c r="X16" s="163">
        <f t="shared" si="0"/>
        <v>308</v>
      </c>
    </row>
    <row r="17" spans="1:24" ht="15" customHeight="1" x14ac:dyDescent="0.2">
      <c r="A17" s="387"/>
      <c r="B17" s="36">
        <f>B16/L16</f>
        <v>0.37987012987012986</v>
      </c>
      <c r="C17" s="37">
        <f>C16/L16</f>
        <v>0.45129870129870131</v>
      </c>
      <c r="D17" s="37">
        <f>D16/L16</f>
        <v>0.13311688311688311</v>
      </c>
      <c r="E17" s="37">
        <f>E16/L16</f>
        <v>2.5974025974025976E-2</v>
      </c>
      <c r="F17" s="37">
        <f>F16/L16</f>
        <v>9.74025974025974E-3</v>
      </c>
      <c r="G17" s="37">
        <f>G16/L16</f>
        <v>0</v>
      </c>
      <c r="H17" s="37">
        <f>H16/L16</f>
        <v>0</v>
      </c>
      <c r="I17" s="37">
        <f>I16/L16</f>
        <v>0</v>
      </c>
      <c r="J17" s="37">
        <f>J16/L16</f>
        <v>0</v>
      </c>
      <c r="K17" s="37">
        <f>K16/L16</f>
        <v>0</v>
      </c>
      <c r="L17" s="104">
        <f>L16/X16</f>
        <v>1</v>
      </c>
      <c r="M17" s="36" t="e">
        <f>M16/W16</f>
        <v>#DIV/0!</v>
      </c>
      <c r="N17" s="37" t="e">
        <f>N16/W16</f>
        <v>#DIV/0!</v>
      </c>
      <c r="O17" s="37" t="e">
        <f>O16/W16</f>
        <v>#DIV/0!</v>
      </c>
      <c r="P17" s="37" t="e">
        <f>P16/W16</f>
        <v>#DIV/0!</v>
      </c>
      <c r="Q17" s="37" t="e">
        <f>Q16/W16</f>
        <v>#DIV/0!</v>
      </c>
      <c r="R17" s="37" t="e">
        <f>R16/W16</f>
        <v>#DIV/0!</v>
      </c>
      <c r="S17" s="37" t="e">
        <f>S16/W16</f>
        <v>#DIV/0!</v>
      </c>
      <c r="T17" s="37" t="e">
        <f>T16/W16</f>
        <v>#DIV/0!</v>
      </c>
      <c r="U17" s="37" t="e">
        <f>U16/W16</f>
        <v>#DIV/0!</v>
      </c>
      <c r="V17" s="37" t="e">
        <f>V16/W16</f>
        <v>#DIV/0!</v>
      </c>
      <c r="W17" s="101">
        <f>W16/X16</f>
        <v>0</v>
      </c>
      <c r="X17" s="162">
        <f t="shared" si="0"/>
        <v>1</v>
      </c>
    </row>
    <row r="18" spans="1:24" ht="15" customHeight="1" x14ac:dyDescent="0.2">
      <c r="A18" s="386">
        <f>'GENEL HASILAT'!A14</f>
        <v>45573</v>
      </c>
      <c r="B18" s="157">
        <v>146</v>
      </c>
      <c r="C18" s="158">
        <v>98</v>
      </c>
      <c r="D18" s="158">
        <v>11</v>
      </c>
      <c r="E18" s="158">
        <v>7</v>
      </c>
      <c r="F18" s="158">
        <v>3</v>
      </c>
      <c r="G18" s="158">
        <v>0</v>
      </c>
      <c r="H18" s="158">
        <v>0</v>
      </c>
      <c r="I18" s="158">
        <v>1</v>
      </c>
      <c r="J18" s="158">
        <v>0</v>
      </c>
      <c r="K18" s="158">
        <v>2</v>
      </c>
      <c r="L18" s="159">
        <f>SUM(B18:K18)</f>
        <v>268</v>
      </c>
      <c r="M18" s="157">
        <v>0</v>
      </c>
      <c r="N18" s="158">
        <v>0</v>
      </c>
      <c r="O18" s="158">
        <v>0</v>
      </c>
      <c r="P18" s="158">
        <v>0</v>
      </c>
      <c r="Q18" s="158">
        <v>0</v>
      </c>
      <c r="R18" s="158">
        <v>0</v>
      </c>
      <c r="S18" s="158">
        <v>0</v>
      </c>
      <c r="T18" s="158">
        <v>0</v>
      </c>
      <c r="U18" s="158">
        <v>0</v>
      </c>
      <c r="V18" s="158">
        <v>0</v>
      </c>
      <c r="W18" s="160">
        <f>SUM(M18:V18)</f>
        <v>0</v>
      </c>
      <c r="X18" s="163">
        <f t="shared" si="0"/>
        <v>268</v>
      </c>
    </row>
    <row r="19" spans="1:24" ht="15" customHeight="1" x14ac:dyDescent="0.2">
      <c r="A19" s="387"/>
      <c r="B19" s="36">
        <f>B18/L18</f>
        <v>0.54477611940298509</v>
      </c>
      <c r="C19" s="37">
        <f>C18/L18</f>
        <v>0.36567164179104478</v>
      </c>
      <c r="D19" s="37">
        <f>D18/L18</f>
        <v>4.1044776119402986E-2</v>
      </c>
      <c r="E19" s="37">
        <f>E18/L18</f>
        <v>2.6119402985074626E-2</v>
      </c>
      <c r="F19" s="37">
        <f>F18/L18</f>
        <v>1.1194029850746268E-2</v>
      </c>
      <c r="G19" s="37">
        <f>G18/L18</f>
        <v>0</v>
      </c>
      <c r="H19" s="37">
        <f>H18/L18</f>
        <v>0</v>
      </c>
      <c r="I19" s="37">
        <f>I18/L18</f>
        <v>3.7313432835820895E-3</v>
      </c>
      <c r="J19" s="37">
        <f>J18/L18</f>
        <v>0</v>
      </c>
      <c r="K19" s="37">
        <f>K18/L18</f>
        <v>7.462686567164179E-3</v>
      </c>
      <c r="L19" s="104">
        <f>L18/X18</f>
        <v>1</v>
      </c>
      <c r="M19" s="36" t="e">
        <f>M18/W18</f>
        <v>#DIV/0!</v>
      </c>
      <c r="N19" s="37" t="e">
        <f>N18/W18</f>
        <v>#DIV/0!</v>
      </c>
      <c r="O19" s="37" t="e">
        <f>O18/W18</f>
        <v>#DIV/0!</v>
      </c>
      <c r="P19" s="37" t="e">
        <f>P18/W18</f>
        <v>#DIV/0!</v>
      </c>
      <c r="Q19" s="37" t="e">
        <f>Q18/W18</f>
        <v>#DIV/0!</v>
      </c>
      <c r="R19" s="37" t="e">
        <f>R18/W18</f>
        <v>#DIV/0!</v>
      </c>
      <c r="S19" s="37" t="e">
        <f>S18/W18</f>
        <v>#DIV/0!</v>
      </c>
      <c r="T19" s="37" t="e">
        <f>T18/W18</f>
        <v>#DIV/0!</v>
      </c>
      <c r="U19" s="37" t="e">
        <f>U18/W18</f>
        <v>#DIV/0!</v>
      </c>
      <c r="V19" s="37" t="e">
        <f>V18/W18</f>
        <v>#DIV/0!</v>
      </c>
      <c r="W19" s="101">
        <f>W18/X18</f>
        <v>0</v>
      </c>
      <c r="X19" s="162">
        <f t="shared" si="0"/>
        <v>1</v>
      </c>
    </row>
    <row r="20" spans="1:24" ht="15" customHeight="1" x14ac:dyDescent="0.2">
      <c r="A20" s="386">
        <f>'GENEL HASILAT'!A15</f>
        <v>45574</v>
      </c>
      <c r="B20" s="157">
        <v>66</v>
      </c>
      <c r="C20" s="158">
        <v>20</v>
      </c>
      <c r="D20" s="158">
        <v>1</v>
      </c>
      <c r="E20" s="158">
        <v>8</v>
      </c>
      <c r="F20" s="158">
        <v>1</v>
      </c>
      <c r="G20" s="158">
        <v>0</v>
      </c>
      <c r="H20" s="158">
        <v>2</v>
      </c>
      <c r="I20" s="158">
        <v>1</v>
      </c>
      <c r="J20" s="158">
        <v>0</v>
      </c>
      <c r="K20" s="158">
        <v>3</v>
      </c>
      <c r="L20" s="159">
        <f>SUM(B20:K20)</f>
        <v>102</v>
      </c>
      <c r="M20" s="157">
        <v>3</v>
      </c>
      <c r="N20" s="158">
        <v>19</v>
      </c>
      <c r="O20" s="158">
        <v>3</v>
      </c>
      <c r="P20" s="158">
        <v>0</v>
      </c>
      <c r="Q20" s="158">
        <v>0</v>
      </c>
      <c r="R20" s="158">
        <v>0</v>
      </c>
      <c r="S20" s="158">
        <v>0</v>
      </c>
      <c r="T20" s="158">
        <v>0</v>
      </c>
      <c r="U20" s="158">
        <v>0</v>
      </c>
      <c r="V20" s="158">
        <v>247</v>
      </c>
      <c r="W20" s="160">
        <f>SUM(M20:V20)</f>
        <v>272</v>
      </c>
      <c r="X20" s="163">
        <f t="shared" si="0"/>
        <v>374</v>
      </c>
    </row>
    <row r="21" spans="1:24" ht="15" customHeight="1" x14ac:dyDescent="0.2">
      <c r="A21" s="387"/>
      <c r="B21" s="36">
        <f>B20/L20</f>
        <v>0.6470588235294118</v>
      </c>
      <c r="C21" s="37">
        <f>C20/L20</f>
        <v>0.19607843137254902</v>
      </c>
      <c r="D21" s="37">
        <f>D20/L20</f>
        <v>9.8039215686274508E-3</v>
      </c>
      <c r="E21" s="37">
        <f>E20/L20</f>
        <v>7.8431372549019607E-2</v>
      </c>
      <c r="F21" s="37">
        <f>F20/L20</f>
        <v>9.8039215686274508E-3</v>
      </c>
      <c r="G21" s="37">
        <f>G20/L20</f>
        <v>0</v>
      </c>
      <c r="H21" s="37">
        <f>H20/L20</f>
        <v>1.9607843137254902E-2</v>
      </c>
      <c r="I21" s="37">
        <f>I20/L20</f>
        <v>9.8039215686274508E-3</v>
      </c>
      <c r="J21" s="37">
        <f>J20/L20</f>
        <v>0</v>
      </c>
      <c r="K21" s="37">
        <f>K20/L20</f>
        <v>2.9411764705882353E-2</v>
      </c>
      <c r="L21" s="104">
        <f>L20/X20</f>
        <v>0.27272727272727271</v>
      </c>
      <c r="M21" s="36">
        <f>M20/W20</f>
        <v>1.1029411764705883E-2</v>
      </c>
      <c r="N21" s="37">
        <f>N20/W20</f>
        <v>6.985294117647059E-2</v>
      </c>
      <c r="O21" s="37">
        <f>O20/W20</f>
        <v>1.1029411764705883E-2</v>
      </c>
      <c r="P21" s="37">
        <f>P20/W20</f>
        <v>0</v>
      </c>
      <c r="Q21" s="37">
        <f>Q20/W20</f>
        <v>0</v>
      </c>
      <c r="R21" s="37">
        <f>R20/W20</f>
        <v>0</v>
      </c>
      <c r="S21" s="37">
        <f>S20/W20</f>
        <v>0</v>
      </c>
      <c r="T21" s="37">
        <f>T20/W20</f>
        <v>0</v>
      </c>
      <c r="U21" s="37">
        <f>U20/W20</f>
        <v>0</v>
      </c>
      <c r="V21" s="37">
        <f>V20/W20</f>
        <v>0.90808823529411764</v>
      </c>
      <c r="W21" s="101">
        <f>W20/X20</f>
        <v>0.72727272727272729</v>
      </c>
      <c r="X21" s="162">
        <f t="shared" si="0"/>
        <v>1</v>
      </c>
    </row>
    <row r="22" spans="1:24" ht="15" customHeight="1" x14ac:dyDescent="0.2">
      <c r="A22" s="386">
        <f>'GENEL HASILAT'!A16</f>
        <v>45575</v>
      </c>
      <c r="B22" s="157">
        <f>33+69+65</f>
        <v>167</v>
      </c>
      <c r="C22" s="158">
        <f>34+29+16+60</f>
        <v>139</v>
      </c>
      <c r="D22" s="158">
        <v>16</v>
      </c>
      <c r="E22" s="158">
        <v>2</v>
      </c>
      <c r="F22" s="158">
        <v>4</v>
      </c>
      <c r="G22" s="158">
        <v>1</v>
      </c>
      <c r="H22" s="158">
        <v>0</v>
      </c>
      <c r="I22" s="158">
        <v>2</v>
      </c>
      <c r="J22" s="158">
        <v>0</v>
      </c>
      <c r="K22" s="158">
        <v>1</v>
      </c>
      <c r="L22" s="159">
        <f>SUM(B22:K22)</f>
        <v>332</v>
      </c>
      <c r="M22" s="157">
        <v>0</v>
      </c>
      <c r="N22" s="158">
        <v>0</v>
      </c>
      <c r="O22" s="158">
        <v>0</v>
      </c>
      <c r="P22" s="158">
        <v>0</v>
      </c>
      <c r="Q22" s="158">
        <v>0</v>
      </c>
      <c r="R22" s="158">
        <v>0</v>
      </c>
      <c r="S22" s="158">
        <v>0</v>
      </c>
      <c r="T22" s="158">
        <v>0</v>
      </c>
      <c r="U22" s="158">
        <v>0</v>
      </c>
      <c r="V22" s="158">
        <v>0</v>
      </c>
      <c r="W22" s="160">
        <f>SUM(M22:V22)</f>
        <v>0</v>
      </c>
      <c r="X22" s="163">
        <f t="shared" si="0"/>
        <v>332</v>
      </c>
    </row>
    <row r="23" spans="1:24" ht="15" customHeight="1" x14ac:dyDescent="0.2">
      <c r="A23" s="387"/>
      <c r="B23" s="36">
        <f>B22/L22</f>
        <v>0.50301204819277112</v>
      </c>
      <c r="C23" s="37">
        <f>C22/L22</f>
        <v>0.41867469879518071</v>
      </c>
      <c r="D23" s="37">
        <f>D22/L22</f>
        <v>4.8192771084337352E-2</v>
      </c>
      <c r="E23" s="37">
        <f>E22/L22</f>
        <v>6.024096385542169E-3</v>
      </c>
      <c r="F23" s="37">
        <f>F22/L22</f>
        <v>1.2048192771084338E-2</v>
      </c>
      <c r="G23" s="37">
        <f>G22/L22</f>
        <v>3.0120481927710845E-3</v>
      </c>
      <c r="H23" s="37">
        <f>H22/L22</f>
        <v>0</v>
      </c>
      <c r="I23" s="37">
        <f>I22/L22</f>
        <v>6.024096385542169E-3</v>
      </c>
      <c r="J23" s="37">
        <f>J22/L22</f>
        <v>0</v>
      </c>
      <c r="K23" s="37">
        <f>K22/L22</f>
        <v>3.0120481927710845E-3</v>
      </c>
      <c r="L23" s="104">
        <f>L22/X22</f>
        <v>1</v>
      </c>
      <c r="M23" s="36" t="e">
        <f>M22/W22</f>
        <v>#DIV/0!</v>
      </c>
      <c r="N23" s="37" t="e">
        <f>N22/W22</f>
        <v>#DIV/0!</v>
      </c>
      <c r="O23" s="37" t="e">
        <f>O22/W22</f>
        <v>#DIV/0!</v>
      </c>
      <c r="P23" s="37" t="e">
        <f>P22/W22</f>
        <v>#DIV/0!</v>
      </c>
      <c r="Q23" s="37" t="e">
        <f>Q22/W22</f>
        <v>#DIV/0!</v>
      </c>
      <c r="R23" s="37" t="e">
        <f>R22/W22</f>
        <v>#DIV/0!</v>
      </c>
      <c r="S23" s="37" t="e">
        <f>S22/W22</f>
        <v>#DIV/0!</v>
      </c>
      <c r="T23" s="37" t="e">
        <f>T22/W22</f>
        <v>#DIV/0!</v>
      </c>
      <c r="U23" s="37" t="e">
        <f>U22/W22</f>
        <v>#DIV/0!</v>
      </c>
      <c r="V23" s="37" t="e">
        <f>V22/W22</f>
        <v>#DIV/0!</v>
      </c>
      <c r="W23" s="101">
        <f>W22/X22</f>
        <v>0</v>
      </c>
      <c r="X23" s="162">
        <f t="shared" si="0"/>
        <v>1</v>
      </c>
    </row>
    <row r="24" spans="1:24" ht="15" customHeight="1" x14ac:dyDescent="0.2">
      <c r="A24" s="386">
        <f>'GENEL HASILAT'!A17</f>
        <v>45576</v>
      </c>
      <c r="B24" s="157">
        <v>108</v>
      </c>
      <c r="C24" s="158">
        <v>132</v>
      </c>
      <c r="D24" s="158">
        <v>48</v>
      </c>
      <c r="E24" s="158">
        <v>4</v>
      </c>
      <c r="F24" s="158">
        <v>2</v>
      </c>
      <c r="G24" s="158">
        <v>0</v>
      </c>
      <c r="H24" s="158">
        <v>0</v>
      </c>
      <c r="I24" s="158">
        <v>0</v>
      </c>
      <c r="J24" s="158">
        <v>2</v>
      </c>
      <c r="K24" s="158">
        <v>2</v>
      </c>
      <c r="L24" s="159">
        <f>SUM(B24:K24)</f>
        <v>298</v>
      </c>
      <c r="M24" s="157">
        <v>0</v>
      </c>
      <c r="N24" s="158">
        <v>0</v>
      </c>
      <c r="O24" s="158">
        <v>0</v>
      </c>
      <c r="P24" s="158">
        <v>0</v>
      </c>
      <c r="Q24" s="158">
        <v>0</v>
      </c>
      <c r="R24" s="158">
        <v>0</v>
      </c>
      <c r="S24" s="158">
        <v>0</v>
      </c>
      <c r="T24" s="158">
        <v>0</v>
      </c>
      <c r="U24" s="158">
        <v>0</v>
      </c>
      <c r="V24" s="158">
        <v>0</v>
      </c>
      <c r="W24" s="160">
        <f>SUM(M24:V24)</f>
        <v>0</v>
      </c>
      <c r="X24" s="163">
        <f t="shared" si="0"/>
        <v>298</v>
      </c>
    </row>
    <row r="25" spans="1:24" ht="15" customHeight="1" x14ac:dyDescent="0.2">
      <c r="A25" s="387"/>
      <c r="B25" s="36">
        <f>B24/L24</f>
        <v>0.36241610738255031</v>
      </c>
      <c r="C25" s="37">
        <f>C24/L24</f>
        <v>0.44295302013422821</v>
      </c>
      <c r="D25" s="37">
        <f>D24/L24</f>
        <v>0.16107382550335569</v>
      </c>
      <c r="E25" s="37">
        <f>E24/L24</f>
        <v>1.3422818791946308E-2</v>
      </c>
      <c r="F25" s="37">
        <f>F24/L24</f>
        <v>6.7114093959731542E-3</v>
      </c>
      <c r="G25" s="37">
        <f>G24/L24</f>
        <v>0</v>
      </c>
      <c r="H25" s="37">
        <f>H24/L24</f>
        <v>0</v>
      </c>
      <c r="I25" s="37">
        <f>I24/L24</f>
        <v>0</v>
      </c>
      <c r="J25" s="37">
        <f>J24/L24</f>
        <v>6.7114093959731542E-3</v>
      </c>
      <c r="K25" s="37">
        <f>K24/L24</f>
        <v>6.7114093959731542E-3</v>
      </c>
      <c r="L25" s="104">
        <f>L24/X24</f>
        <v>1</v>
      </c>
      <c r="M25" s="36" t="e">
        <f>M24/W24</f>
        <v>#DIV/0!</v>
      </c>
      <c r="N25" s="37" t="e">
        <f>N24/W24</f>
        <v>#DIV/0!</v>
      </c>
      <c r="O25" s="37" t="e">
        <f>O24/W24</f>
        <v>#DIV/0!</v>
      </c>
      <c r="P25" s="37" t="e">
        <f>P24/W24</f>
        <v>#DIV/0!</v>
      </c>
      <c r="Q25" s="37" t="e">
        <f>Q24/W24</f>
        <v>#DIV/0!</v>
      </c>
      <c r="R25" s="37" t="e">
        <f>R24/W24</f>
        <v>#DIV/0!</v>
      </c>
      <c r="S25" s="37" t="e">
        <f>S24/W24</f>
        <v>#DIV/0!</v>
      </c>
      <c r="T25" s="37" t="e">
        <f>T24/W24</f>
        <v>#DIV/0!</v>
      </c>
      <c r="U25" s="37" t="e">
        <f>U24/W24</f>
        <v>#DIV/0!</v>
      </c>
      <c r="V25" s="37" t="e">
        <f>V24/W24</f>
        <v>#DIV/0!</v>
      </c>
      <c r="W25" s="101">
        <f>W24/X24</f>
        <v>0</v>
      </c>
      <c r="X25" s="162">
        <f t="shared" si="0"/>
        <v>1</v>
      </c>
    </row>
    <row r="26" spans="1:24" ht="15" customHeight="1" x14ac:dyDescent="0.2">
      <c r="A26" s="386">
        <f>'GENEL HASILAT'!A18</f>
        <v>45577</v>
      </c>
      <c r="B26" s="157">
        <v>248</v>
      </c>
      <c r="C26" s="158">
        <v>147</v>
      </c>
      <c r="D26" s="158">
        <v>10</v>
      </c>
      <c r="E26" s="158">
        <v>5</v>
      </c>
      <c r="F26" s="158">
        <v>2</v>
      </c>
      <c r="G26" s="158">
        <v>0</v>
      </c>
      <c r="H26" s="158">
        <v>1</v>
      </c>
      <c r="I26" s="158">
        <v>0</v>
      </c>
      <c r="J26" s="158">
        <v>0</v>
      </c>
      <c r="K26" s="158">
        <v>1</v>
      </c>
      <c r="L26" s="159">
        <f>SUM(B26:K26)</f>
        <v>414</v>
      </c>
      <c r="M26" s="157">
        <v>0</v>
      </c>
      <c r="N26" s="158">
        <v>0</v>
      </c>
      <c r="O26" s="158">
        <v>0</v>
      </c>
      <c r="P26" s="158">
        <v>0</v>
      </c>
      <c r="Q26" s="158">
        <v>0</v>
      </c>
      <c r="R26" s="158">
        <v>0</v>
      </c>
      <c r="S26" s="158">
        <v>0</v>
      </c>
      <c r="T26" s="158">
        <v>0</v>
      </c>
      <c r="U26" s="158">
        <v>0</v>
      </c>
      <c r="V26" s="158">
        <v>0</v>
      </c>
      <c r="W26" s="160">
        <f>SUM(M26:V26)</f>
        <v>0</v>
      </c>
      <c r="X26" s="163">
        <f t="shared" si="0"/>
        <v>414</v>
      </c>
    </row>
    <row r="27" spans="1:24" ht="15" customHeight="1" x14ac:dyDescent="0.2">
      <c r="A27" s="387"/>
      <c r="B27" s="36">
        <f>B26/L26</f>
        <v>0.59903381642512077</v>
      </c>
      <c r="C27" s="37">
        <f>C26/L26</f>
        <v>0.35507246376811596</v>
      </c>
      <c r="D27" s="37">
        <f>D26/L26</f>
        <v>2.4154589371980676E-2</v>
      </c>
      <c r="E27" s="37">
        <f>E26/L26</f>
        <v>1.2077294685990338E-2</v>
      </c>
      <c r="F27" s="37">
        <f>F26/L26</f>
        <v>4.830917874396135E-3</v>
      </c>
      <c r="G27" s="37">
        <f>G26/L26</f>
        <v>0</v>
      </c>
      <c r="H27" s="37">
        <f>H26/L26</f>
        <v>2.4154589371980675E-3</v>
      </c>
      <c r="I27" s="37">
        <f>I26/L26</f>
        <v>0</v>
      </c>
      <c r="J27" s="37">
        <f>J26/L26</f>
        <v>0</v>
      </c>
      <c r="K27" s="37">
        <f>K26/L26</f>
        <v>2.4154589371980675E-3</v>
      </c>
      <c r="L27" s="104">
        <f>L26/X26</f>
        <v>1</v>
      </c>
      <c r="M27" s="36" t="e">
        <f>M26/W26</f>
        <v>#DIV/0!</v>
      </c>
      <c r="N27" s="37" t="e">
        <f>N26/W26</f>
        <v>#DIV/0!</v>
      </c>
      <c r="O27" s="37" t="e">
        <f>O26/W26</f>
        <v>#DIV/0!</v>
      </c>
      <c r="P27" s="37" t="e">
        <f>P26/W26</f>
        <v>#DIV/0!</v>
      </c>
      <c r="Q27" s="37" t="e">
        <f>Q26/W26</f>
        <v>#DIV/0!</v>
      </c>
      <c r="R27" s="37" t="e">
        <f>R26/W26</f>
        <v>#DIV/0!</v>
      </c>
      <c r="S27" s="37" t="e">
        <f>S26/W26</f>
        <v>#DIV/0!</v>
      </c>
      <c r="T27" s="37" t="e">
        <f>T26/W26</f>
        <v>#DIV/0!</v>
      </c>
      <c r="U27" s="37" t="e">
        <f>U26/W26</f>
        <v>#DIV/0!</v>
      </c>
      <c r="V27" s="37" t="e">
        <f>V26/W26</f>
        <v>#DIV/0!</v>
      </c>
      <c r="W27" s="101">
        <f>W26/X26</f>
        <v>0</v>
      </c>
      <c r="X27" s="162">
        <f t="shared" si="0"/>
        <v>1</v>
      </c>
    </row>
    <row r="28" spans="1:24" ht="15" customHeight="1" x14ac:dyDescent="0.2">
      <c r="A28" s="386">
        <f>'GENEL HASILAT'!A19</f>
        <v>45578</v>
      </c>
      <c r="B28" s="157">
        <v>54</v>
      </c>
      <c r="C28" s="158">
        <v>17</v>
      </c>
      <c r="D28" s="158">
        <v>4</v>
      </c>
      <c r="E28" s="158">
        <v>2</v>
      </c>
      <c r="F28" s="158">
        <v>3</v>
      </c>
      <c r="G28" s="158">
        <v>0</v>
      </c>
      <c r="H28" s="158">
        <v>0</v>
      </c>
      <c r="I28" s="158">
        <v>1</v>
      </c>
      <c r="J28" s="158">
        <v>0</v>
      </c>
      <c r="K28" s="158">
        <v>0</v>
      </c>
      <c r="L28" s="159">
        <f>SUM(B28:K28)</f>
        <v>81</v>
      </c>
      <c r="M28" s="157">
        <v>22</v>
      </c>
      <c r="N28" s="158">
        <v>43</v>
      </c>
      <c r="O28" s="158">
        <v>7</v>
      </c>
      <c r="P28" s="158">
        <v>1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295</v>
      </c>
      <c r="W28" s="160">
        <v>0</v>
      </c>
      <c r="X28" s="163">
        <f t="shared" si="0"/>
        <v>81</v>
      </c>
    </row>
    <row r="29" spans="1:24" ht="15" customHeight="1" x14ac:dyDescent="0.2">
      <c r="A29" s="387"/>
      <c r="B29" s="36">
        <f>B28/L28</f>
        <v>0.66666666666666663</v>
      </c>
      <c r="C29" s="37">
        <f>C28/L28</f>
        <v>0.20987654320987653</v>
      </c>
      <c r="D29" s="37">
        <f>D28/L28</f>
        <v>4.9382716049382713E-2</v>
      </c>
      <c r="E29" s="37">
        <f>E28/L28</f>
        <v>2.4691358024691357E-2</v>
      </c>
      <c r="F29" s="37">
        <f>F28/L28</f>
        <v>3.7037037037037035E-2</v>
      </c>
      <c r="G29" s="37">
        <f>G28/L28</f>
        <v>0</v>
      </c>
      <c r="H29" s="37">
        <f>H28/L28</f>
        <v>0</v>
      </c>
      <c r="I29" s="37">
        <f>I28/L28</f>
        <v>1.2345679012345678E-2</v>
      </c>
      <c r="J29" s="37">
        <f>J28/L28</f>
        <v>0</v>
      </c>
      <c r="K29" s="37">
        <f>K28/L28</f>
        <v>0</v>
      </c>
      <c r="L29" s="104">
        <f>L28/X28</f>
        <v>1</v>
      </c>
      <c r="M29" s="36" t="e">
        <f>M28/W28</f>
        <v>#DIV/0!</v>
      </c>
      <c r="N29" s="37" t="e">
        <f>N28/W28</f>
        <v>#DIV/0!</v>
      </c>
      <c r="O29" s="37" t="e">
        <f>O28/W28</f>
        <v>#DIV/0!</v>
      </c>
      <c r="P29" s="37" t="e">
        <f>P28/W28</f>
        <v>#DIV/0!</v>
      </c>
      <c r="Q29" s="37" t="e">
        <f>Q28/W28</f>
        <v>#DIV/0!</v>
      </c>
      <c r="R29" s="37" t="e">
        <f>R28/W28</f>
        <v>#DIV/0!</v>
      </c>
      <c r="S29" s="37" t="e">
        <f>S28/W28</f>
        <v>#DIV/0!</v>
      </c>
      <c r="T29" s="37" t="e">
        <f>T28/W28</f>
        <v>#DIV/0!</v>
      </c>
      <c r="U29" s="37" t="e">
        <f>U28/W28</f>
        <v>#DIV/0!</v>
      </c>
      <c r="V29" s="37" t="e">
        <f>V28/W28</f>
        <v>#DIV/0!</v>
      </c>
      <c r="W29" s="101">
        <f>W28/X28</f>
        <v>0</v>
      </c>
      <c r="X29" s="162">
        <f t="shared" si="0"/>
        <v>1</v>
      </c>
    </row>
    <row r="30" spans="1:24" ht="15" customHeight="1" x14ac:dyDescent="0.2">
      <c r="A30" s="386">
        <f>'GENEL HASILAT'!A20</f>
        <v>45579</v>
      </c>
      <c r="B30" s="157">
        <v>165</v>
      </c>
      <c r="C30" s="158">
        <v>117</v>
      </c>
      <c r="D30" s="158">
        <v>11</v>
      </c>
      <c r="E30" s="158">
        <v>8</v>
      </c>
      <c r="F30" s="158">
        <v>2</v>
      </c>
      <c r="G30" s="158">
        <v>1</v>
      </c>
      <c r="H30" s="158">
        <v>2</v>
      </c>
      <c r="I30" s="158">
        <v>1</v>
      </c>
      <c r="J30" s="158">
        <v>0</v>
      </c>
      <c r="K30" s="158">
        <v>2</v>
      </c>
      <c r="L30" s="159">
        <f>SUM(B30:K30)</f>
        <v>309</v>
      </c>
      <c r="M30" s="157">
        <v>0</v>
      </c>
      <c r="N30" s="158">
        <v>0</v>
      </c>
      <c r="O30" s="158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60">
        <f>SUM(M30:V30)</f>
        <v>0</v>
      </c>
      <c r="X30" s="163">
        <f t="shared" si="0"/>
        <v>309</v>
      </c>
    </row>
    <row r="31" spans="1:24" ht="15" customHeight="1" x14ac:dyDescent="0.2">
      <c r="A31" s="387"/>
      <c r="B31" s="36">
        <f>B30/L30</f>
        <v>0.53398058252427183</v>
      </c>
      <c r="C31" s="37">
        <f>C30/L30</f>
        <v>0.37864077669902912</v>
      </c>
      <c r="D31" s="37">
        <f>D30/L30</f>
        <v>3.5598705501618123E-2</v>
      </c>
      <c r="E31" s="37">
        <f>E30/L30</f>
        <v>2.5889967637540454E-2</v>
      </c>
      <c r="F31" s="37">
        <f>F30/L30</f>
        <v>6.4724919093851136E-3</v>
      </c>
      <c r="G31" s="37">
        <f>G30/L30</f>
        <v>3.2362459546925568E-3</v>
      </c>
      <c r="H31" s="37">
        <f>H30/L30</f>
        <v>6.4724919093851136E-3</v>
      </c>
      <c r="I31" s="37">
        <f>I30/L30</f>
        <v>3.2362459546925568E-3</v>
      </c>
      <c r="J31" s="37">
        <f>J30/L30</f>
        <v>0</v>
      </c>
      <c r="K31" s="37">
        <f>K30/L30</f>
        <v>6.4724919093851136E-3</v>
      </c>
      <c r="L31" s="104">
        <f>L30/X30</f>
        <v>1</v>
      </c>
      <c r="M31" s="36" t="e">
        <f>M30/W30</f>
        <v>#DIV/0!</v>
      </c>
      <c r="N31" s="37" t="e">
        <f>N30/W30</f>
        <v>#DIV/0!</v>
      </c>
      <c r="O31" s="37" t="e">
        <f>O30/W30</f>
        <v>#DIV/0!</v>
      </c>
      <c r="P31" s="37" t="e">
        <f>P30/W30</f>
        <v>#DIV/0!</v>
      </c>
      <c r="Q31" s="37" t="e">
        <f>Q30/W30</f>
        <v>#DIV/0!</v>
      </c>
      <c r="R31" s="37" t="e">
        <f>R30/W30</f>
        <v>#DIV/0!</v>
      </c>
      <c r="S31" s="37" t="e">
        <f>S30/W30</f>
        <v>#DIV/0!</v>
      </c>
      <c r="T31" s="37" t="e">
        <f>T30/W30</f>
        <v>#DIV/0!</v>
      </c>
      <c r="U31" s="37" t="e">
        <f>U30/W30</f>
        <v>#DIV/0!</v>
      </c>
      <c r="V31" s="37" t="e">
        <f>V30/W30</f>
        <v>#DIV/0!</v>
      </c>
      <c r="W31" s="101">
        <f>W30/X30</f>
        <v>0</v>
      </c>
      <c r="X31" s="162">
        <f t="shared" si="0"/>
        <v>1</v>
      </c>
    </row>
    <row r="32" spans="1:24" ht="15" customHeight="1" x14ac:dyDescent="0.2">
      <c r="A32" s="386">
        <f>'GENEL HASILAT'!A21</f>
        <v>45580</v>
      </c>
      <c r="B32" s="157">
        <v>122</v>
      </c>
      <c r="C32" s="158">
        <v>111</v>
      </c>
      <c r="D32" s="158">
        <v>34</v>
      </c>
      <c r="E32" s="158">
        <v>8</v>
      </c>
      <c r="F32" s="158">
        <v>4</v>
      </c>
      <c r="G32" s="158">
        <v>0</v>
      </c>
      <c r="H32" s="158">
        <v>1</v>
      </c>
      <c r="I32" s="158">
        <v>0</v>
      </c>
      <c r="J32" s="158">
        <v>1</v>
      </c>
      <c r="K32" s="158">
        <v>2</v>
      </c>
      <c r="L32" s="159">
        <f>SUM(B32:K32)</f>
        <v>283</v>
      </c>
      <c r="M32" s="157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60">
        <f>SUM(M32:V32)</f>
        <v>0</v>
      </c>
      <c r="X32" s="163">
        <f t="shared" si="0"/>
        <v>283</v>
      </c>
    </row>
    <row r="33" spans="1:24" ht="15" customHeight="1" x14ac:dyDescent="0.2">
      <c r="A33" s="387"/>
      <c r="B33" s="38">
        <f>+B32/L32</f>
        <v>0.43109540636042404</v>
      </c>
      <c r="C33" s="39">
        <f>+C32/L32</f>
        <v>0.392226148409894</v>
      </c>
      <c r="D33" s="37">
        <f>D32/L32</f>
        <v>0.12014134275618374</v>
      </c>
      <c r="E33" s="37">
        <f>E32/L32</f>
        <v>2.8268551236749116E-2</v>
      </c>
      <c r="F33" s="37">
        <f>F32/L32</f>
        <v>1.4134275618374558E-2</v>
      </c>
      <c r="G33" s="37">
        <f>G32/L32</f>
        <v>0</v>
      </c>
      <c r="H33" s="37">
        <f>H32/L32</f>
        <v>3.5335689045936395E-3</v>
      </c>
      <c r="I33" s="37">
        <f>I32/L32</f>
        <v>0</v>
      </c>
      <c r="J33" s="37">
        <f>J32/L32</f>
        <v>3.5335689045936395E-3</v>
      </c>
      <c r="K33" s="37">
        <f>K32/L32</f>
        <v>7.0671378091872791E-3</v>
      </c>
      <c r="L33" s="104">
        <f>L32/X32</f>
        <v>1</v>
      </c>
      <c r="M33" s="36" t="e">
        <f>M32/W32</f>
        <v>#DIV/0!</v>
      </c>
      <c r="N33" s="37" t="e">
        <f>N32/W32</f>
        <v>#DIV/0!</v>
      </c>
      <c r="O33" s="37" t="e">
        <f>O32/W32</f>
        <v>#DIV/0!</v>
      </c>
      <c r="P33" s="37" t="e">
        <f>P32/W32</f>
        <v>#DIV/0!</v>
      </c>
      <c r="Q33" s="37" t="e">
        <f>Q32/W32</f>
        <v>#DIV/0!</v>
      </c>
      <c r="R33" s="37" t="e">
        <f>R32/W32</f>
        <v>#DIV/0!</v>
      </c>
      <c r="S33" s="37" t="e">
        <f>S32/W32</f>
        <v>#DIV/0!</v>
      </c>
      <c r="T33" s="37" t="e">
        <f>T32/W32</f>
        <v>#DIV/0!</v>
      </c>
      <c r="U33" s="37" t="e">
        <f>U32/W32</f>
        <v>#DIV/0!</v>
      </c>
      <c r="V33" s="37" t="e">
        <f>V32/W32</f>
        <v>#DIV/0!</v>
      </c>
      <c r="W33" s="101">
        <f>W32/X32</f>
        <v>0</v>
      </c>
      <c r="X33" s="162">
        <f t="shared" si="0"/>
        <v>1</v>
      </c>
    </row>
    <row r="34" spans="1:24" ht="15" customHeight="1" x14ac:dyDescent="0.2">
      <c r="A34" s="386">
        <f>'GENEL HASILAT'!A22</f>
        <v>45581</v>
      </c>
      <c r="B34" s="157">
        <v>220</v>
      </c>
      <c r="C34" s="158">
        <v>105</v>
      </c>
      <c r="D34" s="158">
        <v>12</v>
      </c>
      <c r="E34" s="158">
        <v>7</v>
      </c>
      <c r="F34" s="158">
        <v>1</v>
      </c>
      <c r="G34" s="158">
        <v>0</v>
      </c>
      <c r="H34" s="158">
        <v>2</v>
      </c>
      <c r="I34" s="158">
        <v>1</v>
      </c>
      <c r="J34" s="158">
        <v>0</v>
      </c>
      <c r="K34" s="158">
        <v>0</v>
      </c>
      <c r="L34" s="159">
        <f>SUM(B34:K34)</f>
        <v>348</v>
      </c>
      <c r="M34" s="157">
        <v>0</v>
      </c>
      <c r="N34" s="158">
        <v>0</v>
      </c>
      <c r="O34" s="158">
        <v>0</v>
      </c>
      <c r="P34" s="158">
        <v>0</v>
      </c>
      <c r="Q34" s="158">
        <v>0</v>
      </c>
      <c r="R34" s="158">
        <v>0</v>
      </c>
      <c r="S34" s="158">
        <v>0</v>
      </c>
      <c r="T34" s="158">
        <v>0</v>
      </c>
      <c r="U34" s="158">
        <v>0</v>
      </c>
      <c r="V34" s="158">
        <v>0</v>
      </c>
      <c r="W34" s="160">
        <f>SUM(M34:V34)</f>
        <v>0</v>
      </c>
      <c r="X34" s="163">
        <f t="shared" si="0"/>
        <v>348</v>
      </c>
    </row>
    <row r="35" spans="1:24" ht="15" customHeight="1" x14ac:dyDescent="0.2">
      <c r="A35" s="387"/>
      <c r="B35" s="36">
        <f>B34/L34</f>
        <v>0.63218390804597702</v>
      </c>
      <c r="C35" s="37">
        <f>C34/L34</f>
        <v>0.30172413793103448</v>
      </c>
      <c r="D35" s="37">
        <f>D34/L34</f>
        <v>3.4482758620689655E-2</v>
      </c>
      <c r="E35" s="37">
        <f>E34/L34</f>
        <v>2.0114942528735632E-2</v>
      </c>
      <c r="F35" s="37">
        <f>F34/L34</f>
        <v>2.8735632183908046E-3</v>
      </c>
      <c r="G35" s="37">
        <f>G34/L34</f>
        <v>0</v>
      </c>
      <c r="H35" s="37">
        <f>H34/L34</f>
        <v>5.7471264367816091E-3</v>
      </c>
      <c r="I35" s="37">
        <f>I34/L34</f>
        <v>2.8735632183908046E-3</v>
      </c>
      <c r="J35" s="37">
        <f>J34/L34</f>
        <v>0</v>
      </c>
      <c r="K35" s="37">
        <f>K34/L34</f>
        <v>0</v>
      </c>
      <c r="L35" s="104">
        <f>L34/X34</f>
        <v>1</v>
      </c>
      <c r="M35" s="36" t="e">
        <f>M34/W34</f>
        <v>#DIV/0!</v>
      </c>
      <c r="N35" s="37" t="e">
        <f>N34/W34</f>
        <v>#DIV/0!</v>
      </c>
      <c r="O35" s="37" t="e">
        <f>O34/W34</f>
        <v>#DIV/0!</v>
      </c>
      <c r="P35" s="37" t="e">
        <f>P34/W34</f>
        <v>#DIV/0!</v>
      </c>
      <c r="Q35" s="37" t="e">
        <f>Q34/W34</f>
        <v>#DIV/0!</v>
      </c>
      <c r="R35" s="37" t="e">
        <f>R34/W34</f>
        <v>#DIV/0!</v>
      </c>
      <c r="S35" s="37" t="e">
        <f>S34/W34</f>
        <v>#DIV/0!</v>
      </c>
      <c r="T35" s="37" t="e">
        <f>T34/W34</f>
        <v>#DIV/0!</v>
      </c>
      <c r="U35" s="37" t="e">
        <f>U34/W34</f>
        <v>#DIV/0!</v>
      </c>
      <c r="V35" s="37" t="e">
        <f>V34/W34</f>
        <v>#DIV/0!</v>
      </c>
      <c r="W35" s="101">
        <f>W34/X34</f>
        <v>0</v>
      </c>
      <c r="X35" s="162">
        <f t="shared" si="0"/>
        <v>1</v>
      </c>
    </row>
    <row r="36" spans="1:24" ht="15" customHeight="1" x14ac:dyDescent="0.2">
      <c r="A36" s="386">
        <f>'GENEL HASILAT'!A23</f>
        <v>45582</v>
      </c>
      <c r="B36" s="157">
        <v>168</v>
      </c>
      <c r="C36" s="158">
        <v>114</v>
      </c>
      <c r="D36" s="158">
        <v>18</v>
      </c>
      <c r="E36" s="158">
        <v>6</v>
      </c>
      <c r="F36" s="158">
        <v>4</v>
      </c>
      <c r="G36" s="158">
        <v>1</v>
      </c>
      <c r="H36" s="158">
        <v>1</v>
      </c>
      <c r="I36" s="158">
        <v>1</v>
      </c>
      <c r="J36" s="158">
        <v>0</v>
      </c>
      <c r="K36" s="158">
        <v>2</v>
      </c>
      <c r="L36" s="159">
        <f>SUM(B36:K36)</f>
        <v>315</v>
      </c>
      <c r="M36" s="157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8">
        <v>0</v>
      </c>
      <c r="U36" s="158">
        <v>0</v>
      </c>
      <c r="V36" s="158">
        <v>0</v>
      </c>
      <c r="W36" s="160">
        <f>SUM(M36:V36)</f>
        <v>0</v>
      </c>
      <c r="X36" s="163">
        <f t="shared" si="0"/>
        <v>315</v>
      </c>
    </row>
    <row r="37" spans="1:24" ht="15" customHeight="1" x14ac:dyDescent="0.2">
      <c r="A37" s="387"/>
      <c r="B37" s="36">
        <f>B36/L36</f>
        <v>0.53333333333333333</v>
      </c>
      <c r="C37" s="37">
        <f>C36/L36</f>
        <v>0.3619047619047619</v>
      </c>
      <c r="D37" s="37">
        <f>D36/L36</f>
        <v>5.7142857142857141E-2</v>
      </c>
      <c r="E37" s="37">
        <f>E36/L36</f>
        <v>1.9047619047619049E-2</v>
      </c>
      <c r="F37" s="37">
        <f>F36/L36</f>
        <v>1.2698412698412698E-2</v>
      </c>
      <c r="G37" s="37">
        <f>G36/L36</f>
        <v>3.1746031746031746E-3</v>
      </c>
      <c r="H37" s="37">
        <f>H36/L36</f>
        <v>3.1746031746031746E-3</v>
      </c>
      <c r="I37" s="37">
        <f>I36/L36</f>
        <v>3.1746031746031746E-3</v>
      </c>
      <c r="J37" s="37">
        <f>J36/L36</f>
        <v>0</v>
      </c>
      <c r="K37" s="37">
        <f>K36/L36</f>
        <v>6.3492063492063492E-3</v>
      </c>
      <c r="L37" s="104">
        <f>L36/X36</f>
        <v>1</v>
      </c>
      <c r="M37" s="36" t="e">
        <f>M36/W36</f>
        <v>#DIV/0!</v>
      </c>
      <c r="N37" s="37" t="e">
        <f>N36/W36</f>
        <v>#DIV/0!</v>
      </c>
      <c r="O37" s="37" t="e">
        <f>O36/W36</f>
        <v>#DIV/0!</v>
      </c>
      <c r="P37" s="37" t="e">
        <f>P36/W36</f>
        <v>#DIV/0!</v>
      </c>
      <c r="Q37" s="37" t="e">
        <f>Q36/W36</f>
        <v>#DIV/0!</v>
      </c>
      <c r="R37" s="37" t="e">
        <f>R36/W36</f>
        <v>#DIV/0!</v>
      </c>
      <c r="S37" s="37" t="e">
        <f>S36/W36</f>
        <v>#DIV/0!</v>
      </c>
      <c r="T37" s="37" t="e">
        <f>T36/W36</f>
        <v>#DIV/0!</v>
      </c>
      <c r="U37" s="37" t="e">
        <f>U36/W36</f>
        <v>#DIV/0!</v>
      </c>
      <c r="V37" s="37" t="e">
        <f>V36/W36</f>
        <v>#DIV/0!</v>
      </c>
      <c r="W37" s="101">
        <f>W36/X36</f>
        <v>0</v>
      </c>
      <c r="X37" s="162">
        <f t="shared" si="0"/>
        <v>1</v>
      </c>
    </row>
    <row r="38" spans="1:24" ht="15" customHeight="1" x14ac:dyDescent="0.2">
      <c r="A38" s="386">
        <f>'GENEL HASILAT'!A24</f>
        <v>45583</v>
      </c>
      <c r="B38" s="157">
        <v>149</v>
      </c>
      <c r="C38" s="158">
        <v>101</v>
      </c>
      <c r="D38" s="158">
        <v>7</v>
      </c>
      <c r="E38" s="158">
        <v>10</v>
      </c>
      <c r="F38" s="158">
        <v>4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9">
        <f>SUM(B38:K38)</f>
        <v>271</v>
      </c>
      <c r="M38" s="157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8">
        <v>0</v>
      </c>
      <c r="W38" s="160">
        <f>SUM(M38:V38)</f>
        <v>0</v>
      </c>
      <c r="X38" s="163">
        <f t="shared" si="0"/>
        <v>271</v>
      </c>
    </row>
    <row r="39" spans="1:24" ht="15" customHeight="1" x14ac:dyDescent="0.2">
      <c r="A39" s="387"/>
      <c r="B39" s="36">
        <f>B38/L38</f>
        <v>0.54981549815498154</v>
      </c>
      <c r="C39" s="37">
        <f>C38/L38</f>
        <v>0.37269372693726938</v>
      </c>
      <c r="D39" s="37">
        <f>D38/L38</f>
        <v>2.5830258302583026E-2</v>
      </c>
      <c r="E39" s="37">
        <f>E38/L38</f>
        <v>3.6900369003690037E-2</v>
      </c>
      <c r="F39" s="37">
        <f>F38/L38</f>
        <v>1.4760147601476014E-2</v>
      </c>
      <c r="G39" s="37">
        <f>G38/L38</f>
        <v>0</v>
      </c>
      <c r="H39" s="37">
        <f>H38/L38</f>
        <v>0</v>
      </c>
      <c r="I39" s="37">
        <f>I38/L38</f>
        <v>0</v>
      </c>
      <c r="J39" s="37">
        <f>J38/L38</f>
        <v>0</v>
      </c>
      <c r="K39" s="37">
        <f>K38/L38</f>
        <v>0</v>
      </c>
      <c r="L39" s="104">
        <f>L38/X38</f>
        <v>1</v>
      </c>
      <c r="M39" s="36" t="e">
        <f>M38/W38</f>
        <v>#DIV/0!</v>
      </c>
      <c r="N39" s="37" t="e">
        <f>N38/W38</f>
        <v>#DIV/0!</v>
      </c>
      <c r="O39" s="37" t="e">
        <f>O38/W38</f>
        <v>#DIV/0!</v>
      </c>
      <c r="P39" s="37" t="e">
        <f>P38/W38</f>
        <v>#DIV/0!</v>
      </c>
      <c r="Q39" s="37" t="e">
        <f>Q38/W38</f>
        <v>#DIV/0!</v>
      </c>
      <c r="R39" s="37" t="e">
        <f>R38/W38</f>
        <v>#DIV/0!</v>
      </c>
      <c r="S39" s="37" t="e">
        <f>S38/W38</f>
        <v>#DIV/0!</v>
      </c>
      <c r="T39" s="37" t="e">
        <f>T38/W38</f>
        <v>#DIV/0!</v>
      </c>
      <c r="U39" s="37" t="e">
        <f>U38/W38</f>
        <v>#DIV/0!</v>
      </c>
      <c r="V39" s="37" t="e">
        <f>V38/W38</f>
        <v>#DIV/0!</v>
      </c>
      <c r="W39" s="101">
        <f>W38/X38</f>
        <v>0</v>
      </c>
      <c r="X39" s="162">
        <f t="shared" si="0"/>
        <v>1</v>
      </c>
    </row>
    <row r="40" spans="1:24" ht="15" customHeight="1" x14ac:dyDescent="0.2">
      <c r="A40" s="386">
        <f>'GENEL HASILAT'!A25</f>
        <v>45584</v>
      </c>
      <c r="B40" s="157">
        <v>145</v>
      </c>
      <c r="C40" s="158">
        <v>165</v>
      </c>
      <c r="D40" s="158">
        <v>43</v>
      </c>
      <c r="E40" s="158">
        <v>3</v>
      </c>
      <c r="F40" s="158">
        <v>2</v>
      </c>
      <c r="G40" s="158">
        <v>0</v>
      </c>
      <c r="H40" s="158">
        <v>0</v>
      </c>
      <c r="I40" s="158">
        <v>1</v>
      </c>
      <c r="J40" s="158">
        <v>2</v>
      </c>
      <c r="K40" s="158">
        <v>2</v>
      </c>
      <c r="L40" s="159">
        <f>SUM(B40:K40)</f>
        <v>363</v>
      </c>
      <c r="M40" s="157">
        <v>0</v>
      </c>
      <c r="N40" s="158">
        <v>0</v>
      </c>
      <c r="O40" s="158">
        <v>0</v>
      </c>
      <c r="P40" s="158">
        <v>0</v>
      </c>
      <c r="Q40" s="158">
        <v>0</v>
      </c>
      <c r="R40" s="158">
        <v>0</v>
      </c>
      <c r="S40" s="158">
        <v>0</v>
      </c>
      <c r="T40" s="158">
        <v>0</v>
      </c>
      <c r="U40" s="158">
        <v>0</v>
      </c>
      <c r="V40" s="158">
        <v>0</v>
      </c>
      <c r="W40" s="160">
        <f>SUM(M40:V40)</f>
        <v>0</v>
      </c>
      <c r="X40" s="163">
        <f t="shared" si="0"/>
        <v>363</v>
      </c>
    </row>
    <row r="41" spans="1:24" ht="15" customHeight="1" x14ac:dyDescent="0.2">
      <c r="A41" s="387"/>
      <c r="B41" s="36">
        <f>B40/L40</f>
        <v>0.39944903581267216</v>
      </c>
      <c r="C41" s="37">
        <f>C40/L40</f>
        <v>0.45454545454545453</v>
      </c>
      <c r="D41" s="37">
        <f>D40/L40</f>
        <v>0.1184573002754821</v>
      </c>
      <c r="E41" s="37">
        <f>E40/L40</f>
        <v>8.2644628099173556E-3</v>
      </c>
      <c r="F41" s="37">
        <f>F40/L40</f>
        <v>5.5096418732782371E-3</v>
      </c>
      <c r="G41" s="37">
        <f>G40/L40</f>
        <v>0</v>
      </c>
      <c r="H41" s="37">
        <f>H40/L40</f>
        <v>0</v>
      </c>
      <c r="I41" s="37">
        <f>I40/L40</f>
        <v>2.7548209366391185E-3</v>
      </c>
      <c r="J41" s="37">
        <f>J40/L40</f>
        <v>5.5096418732782371E-3</v>
      </c>
      <c r="K41" s="37">
        <f>K40/L40</f>
        <v>5.5096418732782371E-3</v>
      </c>
      <c r="L41" s="104">
        <f>L40/X40</f>
        <v>1</v>
      </c>
      <c r="M41" s="36" t="e">
        <f>M40/W40</f>
        <v>#DIV/0!</v>
      </c>
      <c r="N41" s="37" t="e">
        <f>N40/W40</f>
        <v>#DIV/0!</v>
      </c>
      <c r="O41" s="37" t="e">
        <f>O40/W40</f>
        <v>#DIV/0!</v>
      </c>
      <c r="P41" s="37" t="e">
        <f>P40/W40</f>
        <v>#DIV/0!</v>
      </c>
      <c r="Q41" s="37" t="e">
        <f>Q40/W40</f>
        <v>#DIV/0!</v>
      </c>
      <c r="R41" s="37" t="e">
        <f>R40/W40</f>
        <v>#DIV/0!</v>
      </c>
      <c r="S41" s="37" t="e">
        <f>S40/W40</f>
        <v>#DIV/0!</v>
      </c>
      <c r="T41" s="37" t="e">
        <f>T40/W40</f>
        <v>#DIV/0!</v>
      </c>
      <c r="U41" s="37" t="e">
        <f>U40/W40</f>
        <v>#DIV/0!</v>
      </c>
      <c r="V41" s="37" t="e">
        <f>V40/W40</f>
        <v>#DIV/0!</v>
      </c>
      <c r="W41" s="101">
        <f>W40/X40</f>
        <v>0</v>
      </c>
      <c r="X41" s="162">
        <f t="shared" si="0"/>
        <v>1</v>
      </c>
    </row>
    <row r="42" spans="1:24" ht="15" customHeight="1" x14ac:dyDescent="0.2">
      <c r="A42" s="386">
        <f>'GENEL HASILAT'!A26</f>
        <v>45585</v>
      </c>
      <c r="B42" s="157">
        <v>193</v>
      </c>
      <c r="C42" s="158">
        <v>120</v>
      </c>
      <c r="D42" s="158">
        <v>20</v>
      </c>
      <c r="E42" s="158">
        <v>0</v>
      </c>
      <c r="F42" s="158">
        <v>4</v>
      </c>
      <c r="G42" s="158">
        <v>0</v>
      </c>
      <c r="H42" s="158">
        <v>1</v>
      </c>
      <c r="I42" s="158">
        <v>1</v>
      </c>
      <c r="J42" s="158">
        <v>1</v>
      </c>
      <c r="K42" s="158">
        <v>2</v>
      </c>
      <c r="L42" s="159">
        <f>SUM(B42:K42)</f>
        <v>342</v>
      </c>
      <c r="M42" s="157">
        <v>0</v>
      </c>
      <c r="N42" s="158">
        <v>0</v>
      </c>
      <c r="O42" s="158">
        <v>0</v>
      </c>
      <c r="P42" s="158">
        <v>0</v>
      </c>
      <c r="Q42" s="158">
        <v>0</v>
      </c>
      <c r="R42" s="158">
        <v>0</v>
      </c>
      <c r="S42" s="158">
        <v>0</v>
      </c>
      <c r="T42" s="158">
        <v>0</v>
      </c>
      <c r="U42" s="158">
        <v>0</v>
      </c>
      <c r="V42" s="158">
        <v>0</v>
      </c>
      <c r="W42" s="160">
        <f>SUM(M42:V42)</f>
        <v>0</v>
      </c>
      <c r="X42" s="163">
        <f t="shared" si="0"/>
        <v>342</v>
      </c>
    </row>
    <row r="43" spans="1:24" ht="15" customHeight="1" x14ac:dyDescent="0.2">
      <c r="A43" s="387"/>
      <c r="B43" s="36">
        <f>B42/L42</f>
        <v>0.56432748538011701</v>
      </c>
      <c r="C43" s="37">
        <f>C42/L42</f>
        <v>0.35087719298245612</v>
      </c>
      <c r="D43" s="37">
        <f>D42/L42</f>
        <v>5.8479532163742687E-2</v>
      </c>
      <c r="E43" s="37">
        <f>E42/L42</f>
        <v>0</v>
      </c>
      <c r="F43" s="37">
        <f>F42/L42</f>
        <v>1.1695906432748537E-2</v>
      </c>
      <c r="G43" s="37">
        <f>G42/L42</f>
        <v>0</v>
      </c>
      <c r="H43" s="37">
        <f>H42/L42</f>
        <v>2.9239766081871343E-3</v>
      </c>
      <c r="I43" s="37">
        <f>I42/L42</f>
        <v>2.9239766081871343E-3</v>
      </c>
      <c r="J43" s="37">
        <f>J42/L42</f>
        <v>2.9239766081871343E-3</v>
      </c>
      <c r="K43" s="37">
        <f>K42/L42</f>
        <v>5.8479532163742687E-3</v>
      </c>
      <c r="L43" s="104">
        <f>L42/X42</f>
        <v>1</v>
      </c>
      <c r="M43" s="36" t="e">
        <f>M42/W42</f>
        <v>#DIV/0!</v>
      </c>
      <c r="N43" s="37" t="e">
        <f>N42/W42</f>
        <v>#DIV/0!</v>
      </c>
      <c r="O43" s="37" t="e">
        <f>O42/W42</f>
        <v>#DIV/0!</v>
      </c>
      <c r="P43" s="37" t="e">
        <f>P42/W42</f>
        <v>#DIV/0!</v>
      </c>
      <c r="Q43" s="37" t="e">
        <f>Q42/W42</f>
        <v>#DIV/0!</v>
      </c>
      <c r="R43" s="37" t="e">
        <f>R42/W42</f>
        <v>#DIV/0!</v>
      </c>
      <c r="S43" s="37" t="e">
        <f>S42/W42</f>
        <v>#DIV/0!</v>
      </c>
      <c r="T43" s="37" t="e">
        <f>T42/W42</f>
        <v>#DIV/0!</v>
      </c>
      <c r="U43" s="37" t="e">
        <f>U42/W42</f>
        <v>#DIV/0!</v>
      </c>
      <c r="V43" s="37" t="e">
        <f>V42/W42</f>
        <v>#DIV/0!</v>
      </c>
      <c r="W43" s="101">
        <f>W42/X42</f>
        <v>0</v>
      </c>
      <c r="X43" s="162">
        <f t="shared" si="0"/>
        <v>1</v>
      </c>
    </row>
    <row r="44" spans="1:24" ht="15" customHeight="1" x14ac:dyDescent="0.2">
      <c r="A44" s="386">
        <f>'GENEL HASILAT'!A27</f>
        <v>45586</v>
      </c>
      <c r="B44" s="157">
        <v>27</v>
      </c>
      <c r="C44" s="158">
        <v>10</v>
      </c>
      <c r="D44" s="158">
        <v>3</v>
      </c>
      <c r="E44" s="158">
        <v>4</v>
      </c>
      <c r="F44" s="158">
        <v>0</v>
      </c>
      <c r="G44" s="158">
        <v>0</v>
      </c>
      <c r="H44" s="158">
        <v>1</v>
      </c>
      <c r="I44" s="158">
        <v>1</v>
      </c>
      <c r="J44" s="158">
        <v>1</v>
      </c>
      <c r="K44" s="158">
        <v>0</v>
      </c>
      <c r="L44" s="159">
        <f>SUM(B44:K44)</f>
        <v>47</v>
      </c>
      <c r="M44" s="157">
        <v>2</v>
      </c>
      <c r="N44" s="158">
        <v>11</v>
      </c>
      <c r="O44" s="158">
        <v>3</v>
      </c>
      <c r="P44" s="158">
        <v>0</v>
      </c>
      <c r="Q44" s="158">
        <v>0</v>
      </c>
      <c r="R44" s="158">
        <v>0</v>
      </c>
      <c r="S44" s="158">
        <v>0</v>
      </c>
      <c r="T44" s="158">
        <v>0</v>
      </c>
      <c r="U44" s="158">
        <v>0</v>
      </c>
      <c r="V44" s="158">
        <v>183</v>
      </c>
      <c r="W44" s="160">
        <f>SUM(M44:V44)</f>
        <v>199</v>
      </c>
      <c r="X44" s="163">
        <f t="shared" si="0"/>
        <v>246</v>
      </c>
    </row>
    <row r="45" spans="1:24" ht="15" customHeight="1" x14ac:dyDescent="0.2">
      <c r="A45" s="387"/>
      <c r="B45" s="36">
        <f>B44/L44</f>
        <v>0.57446808510638303</v>
      </c>
      <c r="C45" s="37">
        <f>C44/L44</f>
        <v>0.21276595744680851</v>
      </c>
      <c r="D45" s="37">
        <f>D44/L44</f>
        <v>6.3829787234042548E-2</v>
      </c>
      <c r="E45" s="37">
        <f>E44/L44</f>
        <v>8.5106382978723402E-2</v>
      </c>
      <c r="F45" s="37">
        <f>F44/L44</f>
        <v>0</v>
      </c>
      <c r="G45" s="37">
        <f>G44/L44</f>
        <v>0</v>
      </c>
      <c r="H45" s="37">
        <f>H44/L44</f>
        <v>2.1276595744680851E-2</v>
      </c>
      <c r="I45" s="37">
        <f>I44/L44</f>
        <v>2.1276595744680851E-2</v>
      </c>
      <c r="J45" s="37">
        <f>J44/L44</f>
        <v>2.1276595744680851E-2</v>
      </c>
      <c r="K45" s="37">
        <f>K44/L44</f>
        <v>0</v>
      </c>
      <c r="L45" s="104">
        <f>L44/X44</f>
        <v>0.1910569105691057</v>
      </c>
      <c r="M45" s="36">
        <f>M44/W44</f>
        <v>1.0050251256281407E-2</v>
      </c>
      <c r="N45" s="37">
        <f>N44/W44</f>
        <v>5.5276381909547742E-2</v>
      </c>
      <c r="O45" s="37">
        <f>O44/W44</f>
        <v>1.507537688442211E-2</v>
      </c>
      <c r="P45" s="37">
        <f>P44/W44</f>
        <v>0</v>
      </c>
      <c r="Q45" s="37">
        <f>Q44/W44</f>
        <v>0</v>
      </c>
      <c r="R45" s="37">
        <f>R44/W44</f>
        <v>0</v>
      </c>
      <c r="S45" s="37">
        <f>S44/W44</f>
        <v>0</v>
      </c>
      <c r="T45" s="37">
        <f>T44/W44</f>
        <v>0</v>
      </c>
      <c r="U45" s="37">
        <f>U44/W44</f>
        <v>0</v>
      </c>
      <c r="V45" s="37">
        <f>V44/W44</f>
        <v>0.91959798994974873</v>
      </c>
      <c r="W45" s="101">
        <f>W44/X44</f>
        <v>0.80894308943089432</v>
      </c>
      <c r="X45" s="162">
        <f t="shared" si="0"/>
        <v>1</v>
      </c>
    </row>
    <row r="46" spans="1:24" ht="15" customHeight="1" x14ac:dyDescent="0.2">
      <c r="A46" s="386">
        <f>'GENEL HASILAT'!A28</f>
        <v>45587</v>
      </c>
      <c r="B46" s="157">
        <v>92</v>
      </c>
      <c r="C46" s="158">
        <v>42</v>
      </c>
      <c r="D46" s="158">
        <v>7</v>
      </c>
      <c r="E46" s="158">
        <v>6</v>
      </c>
      <c r="F46" s="158">
        <v>2</v>
      </c>
      <c r="G46" s="158">
        <v>0</v>
      </c>
      <c r="H46" s="158">
        <v>0</v>
      </c>
      <c r="I46" s="158">
        <v>0</v>
      </c>
      <c r="J46" s="158">
        <v>0</v>
      </c>
      <c r="K46" s="158">
        <v>3</v>
      </c>
      <c r="L46" s="159">
        <f>SUM(B46:K46)</f>
        <v>152</v>
      </c>
      <c r="M46" s="157">
        <v>0</v>
      </c>
      <c r="N46" s="158">
        <v>0</v>
      </c>
      <c r="O46" s="158">
        <v>0</v>
      </c>
      <c r="P46" s="158">
        <v>0</v>
      </c>
      <c r="Q46" s="158">
        <v>0</v>
      </c>
      <c r="R46" s="158">
        <v>0</v>
      </c>
      <c r="S46" s="158">
        <v>0</v>
      </c>
      <c r="T46" s="158">
        <v>0</v>
      </c>
      <c r="U46" s="158">
        <v>0</v>
      </c>
      <c r="V46" s="158">
        <v>0</v>
      </c>
      <c r="W46" s="160">
        <f>SUM(M46:V46)</f>
        <v>0</v>
      </c>
      <c r="X46" s="163">
        <f t="shared" si="0"/>
        <v>152</v>
      </c>
    </row>
    <row r="47" spans="1:24" ht="15" customHeight="1" x14ac:dyDescent="0.2">
      <c r="A47" s="387"/>
      <c r="B47" s="36">
        <f>B46/L46</f>
        <v>0.60526315789473684</v>
      </c>
      <c r="C47" s="37">
        <f>C46/L46</f>
        <v>0.27631578947368424</v>
      </c>
      <c r="D47" s="37">
        <f>D46/L46</f>
        <v>4.6052631578947366E-2</v>
      </c>
      <c r="E47" s="37">
        <f>E46/L46</f>
        <v>3.9473684210526314E-2</v>
      </c>
      <c r="F47" s="37">
        <f>F46/L46</f>
        <v>1.3157894736842105E-2</v>
      </c>
      <c r="G47" s="37">
        <f>G46/L46</f>
        <v>0</v>
      </c>
      <c r="H47" s="37">
        <f>H46/L46</f>
        <v>0</v>
      </c>
      <c r="I47" s="37">
        <f>I46/L46</f>
        <v>0</v>
      </c>
      <c r="J47" s="37">
        <f>J46/L46</f>
        <v>0</v>
      </c>
      <c r="K47" s="37">
        <f>K46/L46</f>
        <v>1.9736842105263157E-2</v>
      </c>
      <c r="L47" s="104">
        <f>L46/X46</f>
        <v>1</v>
      </c>
      <c r="M47" s="36" t="e">
        <f>M46/W46</f>
        <v>#DIV/0!</v>
      </c>
      <c r="N47" s="37" t="e">
        <f>N46/W46</f>
        <v>#DIV/0!</v>
      </c>
      <c r="O47" s="37" t="e">
        <f>O46/W46</f>
        <v>#DIV/0!</v>
      </c>
      <c r="P47" s="37" t="e">
        <f>P46/W46</f>
        <v>#DIV/0!</v>
      </c>
      <c r="Q47" s="37" t="e">
        <f>Q46/W46</f>
        <v>#DIV/0!</v>
      </c>
      <c r="R47" s="37" t="e">
        <f>R46/W46</f>
        <v>#DIV/0!</v>
      </c>
      <c r="S47" s="37" t="e">
        <f>S46/W46</f>
        <v>#DIV/0!</v>
      </c>
      <c r="T47" s="37" t="e">
        <f>T46/W46</f>
        <v>#DIV/0!</v>
      </c>
      <c r="U47" s="37" t="e">
        <f>U46/W46</f>
        <v>#DIV/0!</v>
      </c>
      <c r="V47" s="37" t="e">
        <f>V46/W46</f>
        <v>#DIV/0!</v>
      </c>
      <c r="W47" s="101">
        <f>W46/X46</f>
        <v>0</v>
      </c>
      <c r="X47" s="162">
        <f t="shared" si="0"/>
        <v>1</v>
      </c>
    </row>
    <row r="48" spans="1:24" ht="15" customHeight="1" x14ac:dyDescent="0.2">
      <c r="A48" s="386">
        <f>'GENEL HASILAT'!A29</f>
        <v>45588</v>
      </c>
      <c r="B48" s="157">
        <v>122</v>
      </c>
      <c r="C48" s="158">
        <v>65</v>
      </c>
      <c r="D48" s="158">
        <v>35</v>
      </c>
      <c r="E48" s="158">
        <v>4</v>
      </c>
      <c r="F48" s="158">
        <v>0</v>
      </c>
      <c r="G48" s="158">
        <v>0</v>
      </c>
      <c r="H48" s="158">
        <v>0</v>
      </c>
      <c r="I48" s="158">
        <v>1</v>
      </c>
      <c r="J48" s="158">
        <v>1</v>
      </c>
      <c r="K48" s="158">
        <v>3</v>
      </c>
      <c r="L48" s="159">
        <f>SUM(B48:K48)</f>
        <v>231</v>
      </c>
      <c r="M48" s="157">
        <v>0</v>
      </c>
      <c r="N48" s="158">
        <v>0</v>
      </c>
      <c r="O48" s="158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8">
        <v>0</v>
      </c>
      <c r="W48" s="160">
        <f>SUM(M48:V48)</f>
        <v>0</v>
      </c>
      <c r="X48" s="163">
        <f t="shared" si="0"/>
        <v>231</v>
      </c>
    </row>
    <row r="49" spans="1:24" ht="15" customHeight="1" x14ac:dyDescent="0.2">
      <c r="A49" s="387"/>
      <c r="B49" s="36">
        <f>B48/L48</f>
        <v>0.52813852813852813</v>
      </c>
      <c r="C49" s="37">
        <f>C48/L48</f>
        <v>0.2813852813852814</v>
      </c>
      <c r="D49" s="37">
        <f>D48/L48</f>
        <v>0.15151515151515152</v>
      </c>
      <c r="E49" s="37">
        <f>E48/L48</f>
        <v>1.7316017316017316E-2</v>
      </c>
      <c r="F49" s="37">
        <f>F48/L48</f>
        <v>0</v>
      </c>
      <c r="G49" s="37">
        <f>G48/L48</f>
        <v>0</v>
      </c>
      <c r="H49" s="37">
        <f>H48/L48</f>
        <v>0</v>
      </c>
      <c r="I49" s="37">
        <f>I48/L48</f>
        <v>4.329004329004329E-3</v>
      </c>
      <c r="J49" s="37">
        <f>J48/L48</f>
        <v>4.329004329004329E-3</v>
      </c>
      <c r="K49" s="37">
        <f>K48/L48</f>
        <v>1.2987012987012988E-2</v>
      </c>
      <c r="L49" s="104">
        <f>L48/X48</f>
        <v>1</v>
      </c>
      <c r="M49" s="36" t="e">
        <f>M48/W48</f>
        <v>#DIV/0!</v>
      </c>
      <c r="N49" s="37" t="e">
        <f>N48/W48</f>
        <v>#DIV/0!</v>
      </c>
      <c r="O49" s="37" t="e">
        <f>O48/W48</f>
        <v>#DIV/0!</v>
      </c>
      <c r="P49" s="37" t="e">
        <f>P48/W48</f>
        <v>#DIV/0!</v>
      </c>
      <c r="Q49" s="37" t="e">
        <f>Q48/W48</f>
        <v>#DIV/0!</v>
      </c>
      <c r="R49" s="37" t="e">
        <f>R48/W48</f>
        <v>#DIV/0!</v>
      </c>
      <c r="S49" s="37" t="e">
        <f>S48/W48</f>
        <v>#DIV/0!</v>
      </c>
      <c r="T49" s="37" t="e">
        <f>T48/W48</f>
        <v>#DIV/0!</v>
      </c>
      <c r="U49" s="37" t="e">
        <f>U48/W48</f>
        <v>#DIV/0!</v>
      </c>
      <c r="V49" s="37" t="e">
        <f>V48/W48</f>
        <v>#DIV/0!</v>
      </c>
      <c r="W49" s="101">
        <f>W48/X48</f>
        <v>0</v>
      </c>
      <c r="X49" s="162">
        <f t="shared" si="0"/>
        <v>1</v>
      </c>
    </row>
    <row r="50" spans="1:24" ht="15" customHeight="1" x14ac:dyDescent="0.2">
      <c r="A50" s="386">
        <f>'GENEL HASILAT'!A30</f>
        <v>45589</v>
      </c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9">
        <f>SUM(B50:K50)</f>
        <v>0</v>
      </c>
      <c r="M50" s="157"/>
      <c r="N50" s="158"/>
      <c r="O50" s="158"/>
      <c r="P50" s="158"/>
      <c r="Q50" s="158"/>
      <c r="R50" s="158"/>
      <c r="S50" s="158"/>
      <c r="T50" s="158"/>
      <c r="U50" s="158"/>
      <c r="V50" s="158"/>
      <c r="W50" s="160">
        <f>SUM(M50:V50)</f>
        <v>0</v>
      </c>
      <c r="X50" s="163">
        <f t="shared" si="0"/>
        <v>0</v>
      </c>
    </row>
    <row r="51" spans="1:24" ht="15" customHeight="1" x14ac:dyDescent="0.2">
      <c r="A51" s="387"/>
      <c r="B51" s="36" t="e">
        <f>B50/L50</f>
        <v>#DIV/0!</v>
      </c>
      <c r="C51" s="37" t="e">
        <f>C50/L50</f>
        <v>#DIV/0!</v>
      </c>
      <c r="D51" s="37" t="e">
        <f>D50/L50</f>
        <v>#DIV/0!</v>
      </c>
      <c r="E51" s="37" t="e">
        <f>E50/L50</f>
        <v>#DIV/0!</v>
      </c>
      <c r="F51" s="37" t="e">
        <f>F50/L50</f>
        <v>#DIV/0!</v>
      </c>
      <c r="G51" s="37" t="e">
        <f>G50/L50</f>
        <v>#DIV/0!</v>
      </c>
      <c r="H51" s="37" t="e">
        <f>H50/L50</f>
        <v>#DIV/0!</v>
      </c>
      <c r="I51" s="37" t="e">
        <f>I50/L50</f>
        <v>#DIV/0!</v>
      </c>
      <c r="J51" s="37" t="e">
        <f>J50/L50</f>
        <v>#DIV/0!</v>
      </c>
      <c r="K51" s="37" t="e">
        <f>K50/L50</f>
        <v>#DIV/0!</v>
      </c>
      <c r="L51" s="104" t="e">
        <f>L50/X50</f>
        <v>#DIV/0!</v>
      </c>
      <c r="M51" s="36" t="e">
        <f>M50/W50</f>
        <v>#DIV/0!</v>
      </c>
      <c r="N51" s="37" t="e">
        <f>N50/W50</f>
        <v>#DIV/0!</v>
      </c>
      <c r="O51" s="37" t="e">
        <f>O50/W50</f>
        <v>#DIV/0!</v>
      </c>
      <c r="P51" s="37" t="e">
        <f>P50/W50</f>
        <v>#DIV/0!</v>
      </c>
      <c r="Q51" s="37" t="e">
        <f>Q50/W50</f>
        <v>#DIV/0!</v>
      </c>
      <c r="R51" s="37" t="e">
        <f>R50/W50</f>
        <v>#DIV/0!</v>
      </c>
      <c r="S51" s="37" t="e">
        <f>S50/W50</f>
        <v>#DIV/0!</v>
      </c>
      <c r="T51" s="37" t="e">
        <f>T50/W50</f>
        <v>#DIV/0!</v>
      </c>
      <c r="U51" s="37" t="e">
        <f>U50/W50</f>
        <v>#DIV/0!</v>
      </c>
      <c r="V51" s="37" t="e">
        <f>V50/W50</f>
        <v>#DIV/0!</v>
      </c>
      <c r="W51" s="101" t="e">
        <f>W50/X50</f>
        <v>#DIV/0!</v>
      </c>
      <c r="X51" s="162" t="e">
        <f t="shared" si="0"/>
        <v>#DIV/0!</v>
      </c>
    </row>
    <row r="52" spans="1:24" ht="15" customHeight="1" x14ac:dyDescent="0.2">
      <c r="A52" s="386">
        <f>'GENEL HASILAT'!A31</f>
        <v>45590</v>
      </c>
      <c r="B52" s="157"/>
      <c r="C52" s="158"/>
      <c r="D52" s="158"/>
      <c r="E52" s="158"/>
      <c r="F52" s="158"/>
      <c r="G52" s="158"/>
      <c r="H52" s="158"/>
      <c r="I52" s="158"/>
      <c r="J52" s="158"/>
      <c r="K52" s="158"/>
      <c r="L52" s="159">
        <f>SUM(B52:K52)</f>
        <v>0</v>
      </c>
      <c r="M52" s="157"/>
      <c r="N52" s="158"/>
      <c r="O52" s="158"/>
      <c r="P52" s="158"/>
      <c r="Q52" s="158"/>
      <c r="R52" s="158"/>
      <c r="S52" s="158"/>
      <c r="T52" s="158"/>
      <c r="U52" s="158"/>
      <c r="V52" s="158"/>
      <c r="W52" s="160">
        <f>SUM(M52:V52)</f>
        <v>0</v>
      </c>
      <c r="X52" s="163">
        <f t="shared" si="0"/>
        <v>0</v>
      </c>
    </row>
    <row r="53" spans="1:24" ht="15" customHeight="1" x14ac:dyDescent="0.2">
      <c r="A53" s="387"/>
      <c r="B53" s="36" t="e">
        <f>B52/L52</f>
        <v>#DIV/0!</v>
      </c>
      <c r="C53" s="37" t="e">
        <f>C52/L52</f>
        <v>#DIV/0!</v>
      </c>
      <c r="D53" s="37" t="e">
        <f>D52/L52</f>
        <v>#DIV/0!</v>
      </c>
      <c r="E53" s="37" t="e">
        <f>E52/L52</f>
        <v>#DIV/0!</v>
      </c>
      <c r="F53" s="37" t="e">
        <f>F52/L52</f>
        <v>#DIV/0!</v>
      </c>
      <c r="G53" s="37" t="e">
        <f>G52/L52</f>
        <v>#DIV/0!</v>
      </c>
      <c r="H53" s="37" t="e">
        <f>H52/L52</f>
        <v>#DIV/0!</v>
      </c>
      <c r="I53" s="37" t="e">
        <f>I52/L52</f>
        <v>#DIV/0!</v>
      </c>
      <c r="J53" s="37" t="e">
        <f>J52/L52</f>
        <v>#DIV/0!</v>
      </c>
      <c r="K53" s="37" t="e">
        <f>K52/L52</f>
        <v>#DIV/0!</v>
      </c>
      <c r="L53" s="104" t="e">
        <f>L52/X52</f>
        <v>#DIV/0!</v>
      </c>
      <c r="M53" s="36" t="e">
        <f>M52/W52</f>
        <v>#DIV/0!</v>
      </c>
      <c r="N53" s="37" t="e">
        <f>N52/W52</f>
        <v>#DIV/0!</v>
      </c>
      <c r="O53" s="37" t="e">
        <f>O52/W52</f>
        <v>#DIV/0!</v>
      </c>
      <c r="P53" s="37" t="e">
        <f>P52/W52</f>
        <v>#DIV/0!</v>
      </c>
      <c r="Q53" s="37" t="e">
        <f>Q52/W52</f>
        <v>#DIV/0!</v>
      </c>
      <c r="R53" s="37" t="e">
        <f>R52/W52</f>
        <v>#DIV/0!</v>
      </c>
      <c r="S53" s="37" t="e">
        <f>S52/W52</f>
        <v>#DIV/0!</v>
      </c>
      <c r="T53" s="37" t="e">
        <f>T52/W52</f>
        <v>#DIV/0!</v>
      </c>
      <c r="U53" s="37" t="e">
        <f>U52/W52</f>
        <v>#DIV/0!</v>
      </c>
      <c r="V53" s="37" t="e">
        <f>V52/W52</f>
        <v>#DIV/0!</v>
      </c>
      <c r="W53" s="101" t="e">
        <f>W52/X52</f>
        <v>#DIV/0!</v>
      </c>
      <c r="X53" s="162" t="e">
        <f t="shared" si="0"/>
        <v>#DIV/0!</v>
      </c>
    </row>
    <row r="54" spans="1:24" ht="15" customHeight="1" x14ac:dyDescent="0.2">
      <c r="A54" s="386">
        <f>'GENEL HASILAT'!A32</f>
        <v>45591</v>
      </c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9">
        <f>SUM(B54:K54)</f>
        <v>0</v>
      </c>
      <c r="M54" s="157"/>
      <c r="N54" s="158"/>
      <c r="O54" s="158"/>
      <c r="P54" s="158"/>
      <c r="Q54" s="158"/>
      <c r="R54" s="158"/>
      <c r="S54" s="158"/>
      <c r="T54" s="158"/>
      <c r="U54" s="158"/>
      <c r="V54" s="158"/>
      <c r="W54" s="160">
        <f>SUM(M54:V54)</f>
        <v>0</v>
      </c>
      <c r="X54" s="163">
        <f t="shared" si="0"/>
        <v>0</v>
      </c>
    </row>
    <row r="55" spans="1:24" ht="15" customHeight="1" x14ac:dyDescent="0.2">
      <c r="A55" s="387"/>
      <c r="B55" s="36" t="e">
        <f>B54/L54</f>
        <v>#DIV/0!</v>
      </c>
      <c r="C55" s="37" t="e">
        <f>C54/L54</f>
        <v>#DIV/0!</v>
      </c>
      <c r="D55" s="37" t="e">
        <f>D54/L54</f>
        <v>#DIV/0!</v>
      </c>
      <c r="E55" s="37" t="e">
        <f>E54/L54</f>
        <v>#DIV/0!</v>
      </c>
      <c r="F55" s="37" t="e">
        <f>F54/L54</f>
        <v>#DIV/0!</v>
      </c>
      <c r="G55" s="37" t="e">
        <f>G54/L54</f>
        <v>#DIV/0!</v>
      </c>
      <c r="H55" s="37" t="e">
        <f>H54/L54</f>
        <v>#DIV/0!</v>
      </c>
      <c r="I55" s="37" t="e">
        <f>I54/L54</f>
        <v>#DIV/0!</v>
      </c>
      <c r="J55" s="37" t="e">
        <f>J54/L54</f>
        <v>#DIV/0!</v>
      </c>
      <c r="K55" s="37" t="e">
        <f>K54/L54</f>
        <v>#DIV/0!</v>
      </c>
      <c r="L55" s="104" t="e">
        <f>L54/X54</f>
        <v>#DIV/0!</v>
      </c>
      <c r="M55" s="36" t="e">
        <f>M54/W54</f>
        <v>#DIV/0!</v>
      </c>
      <c r="N55" s="37" t="e">
        <f>N54/W54</f>
        <v>#DIV/0!</v>
      </c>
      <c r="O55" s="37" t="e">
        <f>O54/W54</f>
        <v>#DIV/0!</v>
      </c>
      <c r="P55" s="37" t="e">
        <f>P54/W54</f>
        <v>#DIV/0!</v>
      </c>
      <c r="Q55" s="37" t="e">
        <f>Q54/W54</f>
        <v>#DIV/0!</v>
      </c>
      <c r="R55" s="37" t="e">
        <f>R54/W54</f>
        <v>#DIV/0!</v>
      </c>
      <c r="S55" s="37" t="e">
        <f>S54/W54</f>
        <v>#DIV/0!</v>
      </c>
      <c r="T55" s="37" t="e">
        <f>T54/W54</f>
        <v>#DIV/0!</v>
      </c>
      <c r="U55" s="37" t="e">
        <f>U54/W54</f>
        <v>#DIV/0!</v>
      </c>
      <c r="V55" s="37" t="e">
        <f>V54/W54</f>
        <v>#DIV/0!</v>
      </c>
      <c r="W55" s="101" t="e">
        <f>W54/X54</f>
        <v>#DIV/0!</v>
      </c>
      <c r="X55" s="162" t="e">
        <f t="shared" si="0"/>
        <v>#DIV/0!</v>
      </c>
    </row>
    <row r="56" spans="1:24" ht="15" customHeight="1" x14ac:dyDescent="0.2">
      <c r="A56" s="386">
        <f>'GENEL HASILAT'!A33</f>
        <v>45592</v>
      </c>
      <c r="B56" s="157"/>
      <c r="C56" s="158"/>
      <c r="D56" s="158"/>
      <c r="E56" s="158"/>
      <c r="F56" s="158"/>
      <c r="G56" s="158"/>
      <c r="H56" s="158"/>
      <c r="I56" s="158"/>
      <c r="J56" s="158"/>
      <c r="K56" s="158"/>
      <c r="L56" s="159">
        <f>SUM(B56:K56)</f>
        <v>0</v>
      </c>
      <c r="M56" s="157"/>
      <c r="N56" s="158"/>
      <c r="O56" s="158"/>
      <c r="P56" s="158"/>
      <c r="Q56" s="158"/>
      <c r="R56" s="158"/>
      <c r="S56" s="158"/>
      <c r="T56" s="158"/>
      <c r="U56" s="158"/>
      <c r="V56" s="158"/>
      <c r="W56" s="160">
        <f>SUM(M56:V56)</f>
        <v>0</v>
      </c>
      <c r="X56" s="163">
        <f t="shared" si="0"/>
        <v>0</v>
      </c>
    </row>
    <row r="57" spans="1:24" ht="15" customHeight="1" x14ac:dyDescent="0.2">
      <c r="A57" s="387"/>
      <c r="B57" s="36" t="e">
        <f>B56/L56</f>
        <v>#DIV/0!</v>
      </c>
      <c r="C57" s="37" t="e">
        <f>C56/L56</f>
        <v>#DIV/0!</v>
      </c>
      <c r="D57" s="37" t="e">
        <f>D56/L56</f>
        <v>#DIV/0!</v>
      </c>
      <c r="E57" s="37" t="e">
        <f>E56/L56</f>
        <v>#DIV/0!</v>
      </c>
      <c r="F57" s="37" t="e">
        <f>F56/L56</f>
        <v>#DIV/0!</v>
      </c>
      <c r="G57" s="37" t="e">
        <f>G56/L56</f>
        <v>#DIV/0!</v>
      </c>
      <c r="H57" s="37" t="e">
        <f>H56/L56</f>
        <v>#DIV/0!</v>
      </c>
      <c r="I57" s="37" t="e">
        <f>I56/L56</f>
        <v>#DIV/0!</v>
      </c>
      <c r="J57" s="37" t="e">
        <f>J56/L56</f>
        <v>#DIV/0!</v>
      </c>
      <c r="K57" s="37" t="e">
        <f>K56/L56</f>
        <v>#DIV/0!</v>
      </c>
      <c r="L57" s="104" t="e">
        <f>L56/X56</f>
        <v>#DIV/0!</v>
      </c>
      <c r="M57" s="36" t="e">
        <f>M56/W56</f>
        <v>#DIV/0!</v>
      </c>
      <c r="N57" s="37" t="e">
        <f>N56/W56</f>
        <v>#DIV/0!</v>
      </c>
      <c r="O57" s="37" t="e">
        <f>O56/W56</f>
        <v>#DIV/0!</v>
      </c>
      <c r="P57" s="37" t="e">
        <f>P56/W56</f>
        <v>#DIV/0!</v>
      </c>
      <c r="Q57" s="37" t="e">
        <f>Q56/W56</f>
        <v>#DIV/0!</v>
      </c>
      <c r="R57" s="37" t="e">
        <f>R56/W56</f>
        <v>#DIV/0!</v>
      </c>
      <c r="S57" s="37" t="e">
        <f>S56/W56</f>
        <v>#DIV/0!</v>
      </c>
      <c r="T57" s="37" t="e">
        <f>T56/W56</f>
        <v>#DIV/0!</v>
      </c>
      <c r="U57" s="37" t="e">
        <f>U56/W56</f>
        <v>#DIV/0!</v>
      </c>
      <c r="V57" s="37" t="e">
        <f>V56/W56</f>
        <v>#DIV/0!</v>
      </c>
      <c r="W57" s="101" t="e">
        <f>W56/X56</f>
        <v>#DIV/0!</v>
      </c>
      <c r="X57" s="162" t="e">
        <f t="shared" si="0"/>
        <v>#DIV/0!</v>
      </c>
    </row>
    <row r="58" spans="1:24" ht="15" customHeight="1" x14ac:dyDescent="0.2">
      <c r="A58" s="386">
        <f>'GENEL HASILAT'!A34</f>
        <v>45593</v>
      </c>
      <c r="B58" s="157"/>
      <c r="C58" s="158"/>
      <c r="D58" s="158"/>
      <c r="E58" s="158"/>
      <c r="F58" s="158"/>
      <c r="G58" s="158"/>
      <c r="H58" s="158"/>
      <c r="I58" s="158"/>
      <c r="J58" s="158"/>
      <c r="K58" s="158"/>
      <c r="L58" s="159">
        <f>SUM(B58:K58)</f>
        <v>0</v>
      </c>
      <c r="M58" s="157"/>
      <c r="N58" s="158"/>
      <c r="O58" s="158"/>
      <c r="P58" s="158"/>
      <c r="Q58" s="158"/>
      <c r="R58" s="158"/>
      <c r="S58" s="158"/>
      <c r="T58" s="158"/>
      <c r="U58" s="158"/>
      <c r="V58" s="158"/>
      <c r="W58" s="160">
        <f>SUM(M58:V58)</f>
        <v>0</v>
      </c>
      <c r="X58" s="163">
        <f t="shared" si="0"/>
        <v>0</v>
      </c>
    </row>
    <row r="59" spans="1:24" ht="15" customHeight="1" x14ac:dyDescent="0.2">
      <c r="A59" s="387"/>
      <c r="B59" s="36" t="e">
        <f>B58/L58</f>
        <v>#DIV/0!</v>
      </c>
      <c r="C59" s="37" t="e">
        <f>C58/L58</f>
        <v>#DIV/0!</v>
      </c>
      <c r="D59" s="37" t="e">
        <f>D58/L58</f>
        <v>#DIV/0!</v>
      </c>
      <c r="E59" s="37" t="e">
        <f>E58/L58</f>
        <v>#DIV/0!</v>
      </c>
      <c r="F59" s="37" t="e">
        <f>F58/L58</f>
        <v>#DIV/0!</v>
      </c>
      <c r="G59" s="37" t="e">
        <f>G58/L58</f>
        <v>#DIV/0!</v>
      </c>
      <c r="H59" s="37" t="e">
        <f>H58/L58</f>
        <v>#DIV/0!</v>
      </c>
      <c r="I59" s="37" t="e">
        <f>I58/L58</f>
        <v>#DIV/0!</v>
      </c>
      <c r="J59" s="37" t="e">
        <f>J58/L58</f>
        <v>#DIV/0!</v>
      </c>
      <c r="K59" s="37" t="e">
        <f>K58/L58</f>
        <v>#DIV/0!</v>
      </c>
      <c r="L59" s="104" t="e">
        <f>L58/X58</f>
        <v>#DIV/0!</v>
      </c>
      <c r="M59" s="36" t="e">
        <f>M58/W58</f>
        <v>#DIV/0!</v>
      </c>
      <c r="N59" s="37" t="e">
        <f>N58/W58</f>
        <v>#DIV/0!</v>
      </c>
      <c r="O59" s="37" t="e">
        <f>O58/W58</f>
        <v>#DIV/0!</v>
      </c>
      <c r="P59" s="37" t="e">
        <f>P58/W58</f>
        <v>#DIV/0!</v>
      </c>
      <c r="Q59" s="37" t="e">
        <f>Q58/W58</f>
        <v>#DIV/0!</v>
      </c>
      <c r="R59" s="37" t="e">
        <f>R58/W58</f>
        <v>#DIV/0!</v>
      </c>
      <c r="S59" s="37" t="e">
        <f>S58/W58</f>
        <v>#DIV/0!</v>
      </c>
      <c r="T59" s="37" t="e">
        <f>T58/W58</f>
        <v>#DIV/0!</v>
      </c>
      <c r="U59" s="37" t="e">
        <f>U58/W58</f>
        <v>#DIV/0!</v>
      </c>
      <c r="V59" s="37" t="e">
        <f>V58/W58</f>
        <v>#DIV/0!</v>
      </c>
      <c r="W59" s="101" t="e">
        <f>W58/X58</f>
        <v>#DIV/0!</v>
      </c>
      <c r="X59" s="162" t="e">
        <f t="shared" si="0"/>
        <v>#DIV/0!</v>
      </c>
    </row>
    <row r="60" spans="1:24" ht="15" customHeight="1" x14ac:dyDescent="0.2">
      <c r="A60" s="386">
        <f>'GENEL HASILAT'!A35</f>
        <v>45594</v>
      </c>
      <c r="B60" s="157"/>
      <c r="C60" s="158"/>
      <c r="D60" s="158"/>
      <c r="E60" s="158"/>
      <c r="F60" s="158"/>
      <c r="G60" s="158"/>
      <c r="H60" s="158"/>
      <c r="I60" s="158"/>
      <c r="J60" s="158"/>
      <c r="K60" s="158"/>
      <c r="L60" s="159">
        <f>SUM(B60:K60)</f>
        <v>0</v>
      </c>
      <c r="M60" s="157"/>
      <c r="N60" s="158"/>
      <c r="O60" s="158"/>
      <c r="P60" s="158"/>
      <c r="Q60" s="158"/>
      <c r="R60" s="158"/>
      <c r="S60" s="158"/>
      <c r="T60" s="158"/>
      <c r="U60" s="158"/>
      <c r="V60" s="158"/>
      <c r="W60" s="160">
        <f>SUM(M60:V60)</f>
        <v>0</v>
      </c>
      <c r="X60" s="163">
        <f t="shared" si="0"/>
        <v>0</v>
      </c>
    </row>
    <row r="61" spans="1:24" ht="15" customHeight="1" x14ac:dyDescent="0.2">
      <c r="A61" s="387"/>
      <c r="B61" s="36" t="e">
        <f>B60/L60</f>
        <v>#DIV/0!</v>
      </c>
      <c r="C61" s="37" t="e">
        <f>C60/L60</f>
        <v>#DIV/0!</v>
      </c>
      <c r="D61" s="37" t="e">
        <f>D60/L60</f>
        <v>#DIV/0!</v>
      </c>
      <c r="E61" s="37" t="e">
        <f>E60/L60</f>
        <v>#DIV/0!</v>
      </c>
      <c r="F61" s="37" t="e">
        <f>F60/L60</f>
        <v>#DIV/0!</v>
      </c>
      <c r="G61" s="37" t="e">
        <f>G60/L60</f>
        <v>#DIV/0!</v>
      </c>
      <c r="H61" s="37" t="e">
        <f>H60/L60</f>
        <v>#DIV/0!</v>
      </c>
      <c r="I61" s="37" t="e">
        <f>I60/L60</f>
        <v>#DIV/0!</v>
      </c>
      <c r="J61" s="37" t="e">
        <f>J60/L60</f>
        <v>#DIV/0!</v>
      </c>
      <c r="K61" s="37" t="e">
        <f>K60/L60</f>
        <v>#DIV/0!</v>
      </c>
      <c r="L61" s="104" t="e">
        <f>L60/X60</f>
        <v>#DIV/0!</v>
      </c>
      <c r="M61" s="36" t="e">
        <f>M60/W60</f>
        <v>#DIV/0!</v>
      </c>
      <c r="N61" s="37" t="e">
        <f>N60/W60</f>
        <v>#DIV/0!</v>
      </c>
      <c r="O61" s="37" t="e">
        <f>O60/W60</f>
        <v>#DIV/0!</v>
      </c>
      <c r="P61" s="37" t="e">
        <f>P60/W60</f>
        <v>#DIV/0!</v>
      </c>
      <c r="Q61" s="37" t="e">
        <f>Q60/W60</f>
        <v>#DIV/0!</v>
      </c>
      <c r="R61" s="37" t="e">
        <f>R60/W60</f>
        <v>#DIV/0!</v>
      </c>
      <c r="S61" s="37" t="e">
        <f>S60/W60</f>
        <v>#DIV/0!</v>
      </c>
      <c r="T61" s="37" t="e">
        <f>T60/W60</f>
        <v>#DIV/0!</v>
      </c>
      <c r="U61" s="37" t="e">
        <f>U60/W60</f>
        <v>#DIV/0!</v>
      </c>
      <c r="V61" s="37" t="e">
        <f>V60/W60</f>
        <v>#DIV/0!</v>
      </c>
      <c r="W61" s="101" t="e">
        <f>W60/X60</f>
        <v>#DIV/0!</v>
      </c>
      <c r="X61" s="162" t="e">
        <f t="shared" si="0"/>
        <v>#DIV/0!</v>
      </c>
    </row>
    <row r="62" spans="1:24" ht="15" customHeight="1" x14ac:dyDescent="0.2">
      <c r="A62" s="386">
        <f>'GENEL HASILAT'!A36</f>
        <v>45595</v>
      </c>
      <c r="B62" s="157"/>
      <c r="C62" s="158"/>
      <c r="D62" s="158"/>
      <c r="E62" s="158"/>
      <c r="F62" s="158"/>
      <c r="G62" s="158"/>
      <c r="H62" s="158"/>
      <c r="I62" s="158"/>
      <c r="J62" s="158"/>
      <c r="K62" s="158"/>
      <c r="L62" s="159">
        <f>SUM(B62:K62)</f>
        <v>0</v>
      </c>
      <c r="M62" s="157"/>
      <c r="N62" s="158"/>
      <c r="O62" s="158"/>
      <c r="P62" s="158"/>
      <c r="Q62" s="158"/>
      <c r="R62" s="158"/>
      <c r="S62" s="158"/>
      <c r="T62" s="158"/>
      <c r="U62" s="158"/>
      <c r="V62" s="158"/>
      <c r="W62" s="160">
        <f>SUM(M62:V62)</f>
        <v>0</v>
      </c>
      <c r="X62" s="163">
        <f>+L62+W62</f>
        <v>0</v>
      </c>
    </row>
    <row r="63" spans="1:24" ht="15" customHeight="1" x14ac:dyDescent="0.2">
      <c r="A63" s="387"/>
      <c r="B63" s="36" t="e">
        <f>B62/L62</f>
        <v>#DIV/0!</v>
      </c>
      <c r="C63" s="37" t="e">
        <f>C62/L62</f>
        <v>#DIV/0!</v>
      </c>
      <c r="D63" s="37" t="e">
        <f>D62/L62</f>
        <v>#DIV/0!</v>
      </c>
      <c r="E63" s="37" t="e">
        <f>E62/L62</f>
        <v>#DIV/0!</v>
      </c>
      <c r="F63" s="37" t="e">
        <f>F62/L62</f>
        <v>#DIV/0!</v>
      </c>
      <c r="G63" s="37" t="e">
        <f>G62/L62</f>
        <v>#DIV/0!</v>
      </c>
      <c r="H63" s="37" t="e">
        <f>H62/L62</f>
        <v>#DIV/0!</v>
      </c>
      <c r="I63" s="37" t="e">
        <f>I62/L62</f>
        <v>#DIV/0!</v>
      </c>
      <c r="J63" s="37" t="e">
        <f>J62/L62</f>
        <v>#DIV/0!</v>
      </c>
      <c r="K63" s="37" t="e">
        <f>K62/L62</f>
        <v>#DIV/0!</v>
      </c>
      <c r="L63" s="104" t="e">
        <f>L62/X62</f>
        <v>#DIV/0!</v>
      </c>
      <c r="M63" s="36" t="e">
        <f>M62/W62</f>
        <v>#DIV/0!</v>
      </c>
      <c r="N63" s="37" t="e">
        <f>N62/W62</f>
        <v>#DIV/0!</v>
      </c>
      <c r="O63" s="37" t="e">
        <f>O62/W62</f>
        <v>#DIV/0!</v>
      </c>
      <c r="P63" s="37" t="e">
        <f>P62/W62</f>
        <v>#DIV/0!</v>
      </c>
      <c r="Q63" s="37" t="e">
        <f>Q62/W62</f>
        <v>#DIV/0!</v>
      </c>
      <c r="R63" s="37" t="e">
        <f>R62/W62</f>
        <v>#DIV/0!</v>
      </c>
      <c r="S63" s="37" t="e">
        <f>S62/W62</f>
        <v>#DIV/0!</v>
      </c>
      <c r="T63" s="37" t="e">
        <f>T62/W62</f>
        <v>#DIV/0!</v>
      </c>
      <c r="U63" s="37" t="e">
        <f>U62/W62</f>
        <v>#DIV/0!</v>
      </c>
      <c r="V63" s="37" t="e">
        <f>V62/W62</f>
        <v>#DIV/0!</v>
      </c>
      <c r="W63" s="101" t="e">
        <f>W62/X62</f>
        <v>#DIV/0!</v>
      </c>
      <c r="X63" s="162" t="e">
        <f>+L63+W63</f>
        <v>#DIV/0!</v>
      </c>
    </row>
    <row r="64" spans="1:24" ht="15" customHeight="1" x14ac:dyDescent="0.2">
      <c r="A64" s="386">
        <f>'GENEL HASILAT'!A37</f>
        <v>45596</v>
      </c>
      <c r="B64" s="157"/>
      <c r="C64" s="158"/>
      <c r="D64" s="158"/>
      <c r="E64" s="158"/>
      <c r="F64" s="158"/>
      <c r="G64" s="158"/>
      <c r="H64" s="158"/>
      <c r="I64" s="158"/>
      <c r="J64" s="158"/>
      <c r="K64" s="158"/>
      <c r="L64" s="159">
        <f>SUM(B64:K64)</f>
        <v>0</v>
      </c>
      <c r="M64" s="157"/>
      <c r="N64" s="158"/>
      <c r="O64" s="158"/>
      <c r="P64" s="158"/>
      <c r="Q64" s="158"/>
      <c r="R64" s="158"/>
      <c r="S64" s="158"/>
      <c r="T64" s="158"/>
      <c r="U64" s="158"/>
      <c r="V64" s="158"/>
      <c r="W64" s="160">
        <f>SUM(M64:V64)</f>
        <v>0</v>
      </c>
      <c r="X64" s="163">
        <f t="shared" si="0"/>
        <v>0</v>
      </c>
    </row>
    <row r="65" spans="1:25" ht="15" customHeight="1" thickBot="1" x14ac:dyDescent="0.25">
      <c r="A65" s="387"/>
      <c r="B65" s="36" t="e">
        <f>B64/L64</f>
        <v>#DIV/0!</v>
      </c>
      <c r="C65" s="37" t="e">
        <f>C64/L64</f>
        <v>#DIV/0!</v>
      </c>
      <c r="D65" s="37" t="e">
        <f>D64/L64</f>
        <v>#DIV/0!</v>
      </c>
      <c r="E65" s="37" t="e">
        <f>E64/L64</f>
        <v>#DIV/0!</v>
      </c>
      <c r="F65" s="37" t="e">
        <f>F64/L64</f>
        <v>#DIV/0!</v>
      </c>
      <c r="G65" s="37" t="e">
        <f>G64/L64</f>
        <v>#DIV/0!</v>
      </c>
      <c r="H65" s="37" t="e">
        <f>H64/L64</f>
        <v>#DIV/0!</v>
      </c>
      <c r="I65" s="37" t="e">
        <f>I64/L64</f>
        <v>#DIV/0!</v>
      </c>
      <c r="J65" s="37" t="e">
        <f>J64/L64</f>
        <v>#DIV/0!</v>
      </c>
      <c r="K65" s="37" t="e">
        <f>K64/L64</f>
        <v>#DIV/0!</v>
      </c>
      <c r="L65" s="104" t="e">
        <f>L64/X64</f>
        <v>#DIV/0!</v>
      </c>
      <c r="M65" s="36" t="e">
        <f>M64/W64</f>
        <v>#DIV/0!</v>
      </c>
      <c r="N65" s="37" t="e">
        <f>N64/W64</f>
        <v>#DIV/0!</v>
      </c>
      <c r="O65" s="37" t="e">
        <f>O64/W64</f>
        <v>#DIV/0!</v>
      </c>
      <c r="P65" s="37" t="e">
        <f>P64/W64</f>
        <v>#DIV/0!</v>
      </c>
      <c r="Q65" s="37" t="e">
        <f>Q64/W64</f>
        <v>#DIV/0!</v>
      </c>
      <c r="R65" s="37" t="e">
        <f>R64/W64</f>
        <v>#DIV/0!</v>
      </c>
      <c r="S65" s="37" t="e">
        <f>S64/W64</f>
        <v>#DIV/0!</v>
      </c>
      <c r="T65" s="37" t="e">
        <f>T64/W64</f>
        <v>#DIV/0!</v>
      </c>
      <c r="U65" s="37" t="e">
        <f>U64/W64</f>
        <v>#DIV/0!</v>
      </c>
      <c r="V65" s="37" t="e">
        <f>V64/W64</f>
        <v>#DIV/0!</v>
      </c>
      <c r="W65" s="101" t="e">
        <f>W64/X64</f>
        <v>#DIV/0!</v>
      </c>
      <c r="X65" s="162" t="e">
        <f t="shared" si="0"/>
        <v>#DIV/0!</v>
      </c>
    </row>
    <row r="66" spans="1:25" ht="15" customHeight="1" x14ac:dyDescent="0.2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5"/>
      <c r="O66" s="165"/>
      <c r="P66" s="165"/>
      <c r="Q66" s="165"/>
      <c r="R66" s="164"/>
      <c r="S66" s="164"/>
      <c r="T66" s="164"/>
      <c r="U66" s="165"/>
      <c r="V66" s="165"/>
      <c r="W66" s="165"/>
      <c r="X66" s="166"/>
    </row>
    <row r="67" spans="1:25" ht="15" customHeight="1" x14ac:dyDescent="0.2">
      <c r="A67" s="401" t="s">
        <v>2</v>
      </c>
      <c r="B67" s="167">
        <f>SUM(B4+B6+B8+B10+B12+B14+B16+B18+B20+B22+B24+B26+B28+B30+B32+B34+B36+B38+B40+B42+B44+B46+B48+B50+B52+B54+B56+B58+B60+B62+B64)</f>
        <v>3349</v>
      </c>
      <c r="C67" s="167">
        <f t="shared" ref="C67:X67" si="1">SUM(C4+C6+C8+C10+C12+C14+C16+C18+C20+C22+C24+C26+C28+C30+C32+C34+C36+C38+C40+C42+C44+C46+C48+C50+C52+C54+C56+C58+C60+C62+C64)</f>
        <v>2288</v>
      </c>
      <c r="D67" s="167">
        <f t="shared" si="1"/>
        <v>463</v>
      </c>
      <c r="E67" s="167">
        <f t="shared" si="1"/>
        <v>122</v>
      </c>
      <c r="F67" s="167">
        <f t="shared" si="1"/>
        <v>48</v>
      </c>
      <c r="G67" s="167">
        <f t="shared" si="1"/>
        <v>5</v>
      </c>
      <c r="H67" s="167">
        <f t="shared" si="1"/>
        <v>16</v>
      </c>
      <c r="I67" s="167">
        <f t="shared" si="1"/>
        <v>15</v>
      </c>
      <c r="J67" s="167">
        <f t="shared" si="1"/>
        <v>10</v>
      </c>
      <c r="K67" s="167">
        <f t="shared" si="1"/>
        <v>36</v>
      </c>
      <c r="L67" s="167">
        <f t="shared" si="1"/>
        <v>6352</v>
      </c>
      <c r="M67" s="167">
        <f t="shared" si="1"/>
        <v>33</v>
      </c>
      <c r="N67" s="167">
        <f t="shared" si="1"/>
        <v>109</v>
      </c>
      <c r="O67" s="167">
        <f t="shared" si="1"/>
        <v>20</v>
      </c>
      <c r="P67" s="167">
        <f t="shared" si="1"/>
        <v>1</v>
      </c>
      <c r="Q67" s="167">
        <f t="shared" si="1"/>
        <v>0</v>
      </c>
      <c r="R67" s="167">
        <f t="shared" si="1"/>
        <v>0</v>
      </c>
      <c r="S67" s="167">
        <f t="shared" si="1"/>
        <v>0</v>
      </c>
      <c r="T67" s="167">
        <f t="shared" si="1"/>
        <v>0</v>
      </c>
      <c r="U67" s="167">
        <f t="shared" si="1"/>
        <v>0</v>
      </c>
      <c r="V67" s="167">
        <f t="shared" si="1"/>
        <v>4151</v>
      </c>
      <c r="W67" s="167">
        <f t="shared" si="1"/>
        <v>3946</v>
      </c>
      <c r="X67" s="167">
        <f t="shared" si="1"/>
        <v>10298</v>
      </c>
    </row>
    <row r="68" spans="1:25" ht="15" customHeight="1" x14ac:dyDescent="0.2">
      <c r="A68" s="402"/>
      <c r="B68" s="105">
        <f>+B67/X67</f>
        <v>0.32520877840357348</v>
      </c>
      <c r="C68" s="105">
        <f>+C67/X67</f>
        <v>0.22217906389590211</v>
      </c>
      <c r="D68" s="105">
        <f>+D67/X67</f>
        <v>4.49601864439697E-2</v>
      </c>
      <c r="E68" s="105">
        <f>+E67/X67</f>
        <v>1.1846960574868906E-2</v>
      </c>
      <c r="F68" s="105">
        <f>+F67/X67</f>
        <v>4.6610992425713729E-3</v>
      </c>
      <c r="G68" s="105">
        <f>+G67/X67</f>
        <v>4.8553117110118469E-4</v>
      </c>
      <c r="H68" s="105">
        <f>+H67/X67</f>
        <v>1.5536997475237911E-3</v>
      </c>
      <c r="I68" s="105">
        <f>+I67/X67</f>
        <v>1.4565935133035541E-3</v>
      </c>
      <c r="J68" s="105">
        <f>+J67/W67</f>
        <v>2.5342118601115052E-3</v>
      </c>
      <c r="K68" s="105">
        <f>+K67/X67</f>
        <v>3.4958244319285296E-3</v>
      </c>
      <c r="L68" s="106">
        <f>+L67/X67</f>
        <v>0.61681879976694509</v>
      </c>
      <c r="M68" s="105">
        <f>+M67/X67</f>
        <v>3.2045057292678192E-3</v>
      </c>
      <c r="N68" s="105">
        <f>+N67/X67</f>
        <v>1.0584579530005826E-2</v>
      </c>
      <c r="O68" s="105">
        <f>+O67/X67</f>
        <v>1.9421246844047388E-3</v>
      </c>
      <c r="P68" s="105">
        <f>+P67/X67</f>
        <v>9.7106234220236944E-5</v>
      </c>
      <c r="Q68" s="105">
        <f>+Q67/X67</f>
        <v>0</v>
      </c>
      <c r="R68" s="105">
        <f>+R67/X67</f>
        <v>0</v>
      </c>
      <c r="S68" s="105">
        <f>+S67/X67</f>
        <v>0</v>
      </c>
      <c r="T68" s="105">
        <f>+T67/X67</f>
        <v>0</v>
      </c>
      <c r="U68" s="105">
        <f>+U67/W67</f>
        <v>0</v>
      </c>
      <c r="V68" s="105">
        <f>+V67/X67</f>
        <v>0.40308797824820353</v>
      </c>
      <c r="W68" s="106">
        <f>+W67/X67</f>
        <v>0.38318120023305496</v>
      </c>
      <c r="X68" s="105">
        <f>+W68+L68</f>
        <v>1</v>
      </c>
    </row>
    <row r="69" spans="1:25" ht="15" customHeight="1" x14ac:dyDescent="0.2">
      <c r="A69" s="168"/>
      <c r="B69" s="169">
        <f>COUNTA('GENEL HASILAT'!B7:B37)</f>
        <v>23</v>
      </c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70"/>
      <c r="N69" s="171"/>
      <c r="O69" s="171"/>
      <c r="P69" s="171"/>
      <c r="Q69" s="171"/>
      <c r="R69" s="168"/>
      <c r="S69" s="168"/>
      <c r="T69" s="168"/>
      <c r="U69" s="171"/>
      <c r="V69" s="171"/>
      <c r="W69" s="171"/>
      <c r="X69" s="168"/>
    </row>
    <row r="70" spans="1:25" ht="15" customHeight="1" x14ac:dyDescent="0.2">
      <c r="A70" s="399" t="s">
        <v>77</v>
      </c>
      <c r="B70" s="172">
        <f>+B67/B69</f>
        <v>145.60869565217391</v>
      </c>
      <c r="C70" s="172">
        <f>+C67/B69</f>
        <v>99.478260869565219</v>
      </c>
      <c r="D70" s="172">
        <f>+D67/B69</f>
        <v>20.130434782608695</v>
      </c>
      <c r="E70" s="172">
        <f>+E67/B69</f>
        <v>5.3043478260869561</v>
      </c>
      <c r="F70" s="172">
        <f>+F67/B69</f>
        <v>2.0869565217391304</v>
      </c>
      <c r="G70" s="172">
        <f>+G67/B69</f>
        <v>0.21739130434782608</v>
      </c>
      <c r="H70" s="172">
        <f>+H67/B69</f>
        <v>0.69565217391304346</v>
      </c>
      <c r="I70" s="172">
        <f>+I67/B69</f>
        <v>0.65217391304347827</v>
      </c>
      <c r="J70" s="172">
        <f>+J67/B69</f>
        <v>0.43478260869565216</v>
      </c>
      <c r="K70" s="172">
        <f>+K67/B69</f>
        <v>1.5652173913043479</v>
      </c>
      <c r="L70" s="172">
        <f>+L67/B69</f>
        <v>276.17391304347825</v>
      </c>
      <c r="M70" s="172">
        <f>+M67/B69</f>
        <v>1.4347826086956521</v>
      </c>
      <c r="N70" s="172">
        <f>+N67/B69</f>
        <v>4.7391304347826084</v>
      </c>
      <c r="O70" s="172">
        <f>+O67/B69</f>
        <v>0.86956521739130432</v>
      </c>
      <c r="P70" s="172">
        <f>+P67/B69</f>
        <v>4.3478260869565216E-2</v>
      </c>
      <c r="Q70" s="172">
        <f>+Q67/B69</f>
        <v>0</v>
      </c>
      <c r="R70" s="172">
        <f>+R67/B69</f>
        <v>0</v>
      </c>
      <c r="S70" s="172">
        <f>+S67/B69</f>
        <v>0</v>
      </c>
      <c r="T70" s="172">
        <f>+T67/B69</f>
        <v>0</v>
      </c>
      <c r="U70" s="172">
        <f>+U67/B69</f>
        <v>0</v>
      </c>
      <c r="V70" s="172">
        <f>+V67/B69</f>
        <v>180.47826086956522</v>
      </c>
      <c r="W70" s="172">
        <f>+W67/B69</f>
        <v>171.56521739130434</v>
      </c>
      <c r="X70" s="172">
        <f>+X67/B69</f>
        <v>447.73913043478262</v>
      </c>
      <c r="Y70" s="173"/>
    </row>
    <row r="71" spans="1:25" ht="15" customHeight="1" x14ac:dyDescent="0.2">
      <c r="A71" s="400"/>
      <c r="B71" s="107">
        <f>B70/X70</f>
        <v>0.32520877840357348</v>
      </c>
      <c r="C71" s="102">
        <f>+C70/X70</f>
        <v>0.22217906389590211</v>
      </c>
      <c r="D71" s="102">
        <f>+D70/X70</f>
        <v>4.49601864439697E-2</v>
      </c>
      <c r="E71" s="102">
        <f>+E70/X70</f>
        <v>1.1846960574868906E-2</v>
      </c>
      <c r="F71" s="102">
        <f>+F70/X70</f>
        <v>4.6610992425713729E-3</v>
      </c>
      <c r="G71" s="102">
        <f>+G70/X70</f>
        <v>4.8553117110118469E-4</v>
      </c>
      <c r="H71" s="102">
        <f>+H70/X70</f>
        <v>1.5536997475237909E-3</v>
      </c>
      <c r="I71" s="102">
        <f>+I70/X70</f>
        <v>1.4565935133035541E-3</v>
      </c>
      <c r="J71" s="102">
        <f>+J70/W70</f>
        <v>2.5342118601115052E-3</v>
      </c>
      <c r="K71" s="102">
        <f>+K70/X70</f>
        <v>3.4958244319285296E-3</v>
      </c>
      <c r="L71" s="103">
        <f>+L70/X70</f>
        <v>0.61681879976694498</v>
      </c>
      <c r="M71" s="102">
        <f>+M70/X70</f>
        <v>3.2045057292678187E-3</v>
      </c>
      <c r="N71" s="102">
        <f>+N70/X70</f>
        <v>1.0584579530005826E-2</v>
      </c>
      <c r="O71" s="102">
        <f>+O70/X70</f>
        <v>1.9421246844047388E-3</v>
      </c>
      <c r="P71" s="102">
        <f>+P70/X70</f>
        <v>9.710623422023693E-5</v>
      </c>
      <c r="Q71" s="102">
        <f>+Q70/X70</f>
        <v>0</v>
      </c>
      <c r="R71" s="102">
        <f>+R70/X70</f>
        <v>0</v>
      </c>
      <c r="S71" s="102">
        <f>+S70/X70</f>
        <v>0</v>
      </c>
      <c r="T71" s="102">
        <f>+T70/X70</f>
        <v>0</v>
      </c>
      <c r="U71" s="102">
        <f>+U70/W70</f>
        <v>0</v>
      </c>
      <c r="V71" s="102">
        <f>+V70/X70</f>
        <v>0.40308797824820353</v>
      </c>
      <c r="W71" s="103">
        <f>+W70/X70</f>
        <v>0.38318120023305496</v>
      </c>
      <c r="X71" s="102">
        <f>+W71+L71</f>
        <v>1</v>
      </c>
    </row>
    <row r="72" spans="1:25" ht="15" customHeight="1" x14ac:dyDescent="0.2">
      <c r="B72" s="175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R72" s="176"/>
      <c r="S72" s="176"/>
      <c r="T72" s="176"/>
    </row>
    <row r="73" spans="1:25" ht="15" customHeight="1" x14ac:dyDescent="0.2">
      <c r="A73" s="177"/>
      <c r="B73" s="178"/>
      <c r="C73" s="179"/>
      <c r="D73" s="179"/>
      <c r="E73" s="179"/>
      <c r="F73" s="179"/>
      <c r="G73" s="179"/>
      <c r="H73" s="179"/>
      <c r="I73" s="179"/>
      <c r="J73" s="179"/>
      <c r="K73" s="179"/>
      <c r="L73" s="176"/>
    </row>
    <row r="78" spans="1:25" ht="15" customHeight="1" x14ac:dyDescent="0.2">
      <c r="M78" s="176"/>
      <c r="R78" s="176"/>
      <c r="S78" s="176"/>
      <c r="T78" s="176"/>
    </row>
    <row r="79" spans="1:25" ht="15" customHeight="1" x14ac:dyDescent="0.2">
      <c r="M79" s="176"/>
      <c r="R79" s="179"/>
      <c r="S79" s="179"/>
      <c r="T79" s="179"/>
    </row>
    <row r="80" spans="1:25" ht="15" customHeight="1" x14ac:dyDescent="0.2">
      <c r="B80" s="175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R80" s="179"/>
      <c r="S80" s="179"/>
      <c r="T80" s="179"/>
    </row>
    <row r="81" spans="1:20" ht="15" customHeight="1" x14ac:dyDescent="0.2">
      <c r="A81" s="177"/>
      <c r="B81" s="178"/>
      <c r="C81" s="179"/>
      <c r="D81" s="179"/>
      <c r="E81" s="179"/>
      <c r="F81" s="179"/>
      <c r="G81" s="179"/>
      <c r="H81" s="179"/>
      <c r="I81" s="179"/>
      <c r="J81" s="179"/>
      <c r="K81" s="179"/>
      <c r="L81" s="176"/>
      <c r="M81" s="176"/>
      <c r="R81" s="179"/>
      <c r="S81" s="179"/>
      <c r="T81" s="179"/>
    </row>
    <row r="82" spans="1:20" ht="15" customHeight="1" x14ac:dyDescent="0.2">
      <c r="A82" s="177"/>
      <c r="B82" s="178"/>
      <c r="C82" s="179"/>
      <c r="D82" s="179"/>
      <c r="E82" s="179"/>
      <c r="F82" s="179"/>
      <c r="G82" s="179"/>
      <c r="H82" s="179"/>
      <c r="I82" s="179"/>
      <c r="J82" s="179"/>
      <c r="K82" s="179"/>
      <c r="L82" s="176"/>
      <c r="M82" s="176"/>
      <c r="R82" s="179"/>
      <c r="S82" s="179"/>
      <c r="T82" s="179"/>
    </row>
    <row r="83" spans="1:20" ht="15" customHeight="1" x14ac:dyDescent="0.2">
      <c r="A83" s="177"/>
      <c r="B83" s="178"/>
      <c r="C83" s="179"/>
      <c r="D83" s="179"/>
      <c r="E83" s="179"/>
      <c r="F83" s="179"/>
      <c r="G83" s="179"/>
      <c r="H83" s="179"/>
      <c r="I83" s="179"/>
      <c r="J83" s="179"/>
      <c r="K83" s="179"/>
      <c r="L83" s="176"/>
      <c r="M83" s="176"/>
      <c r="R83" s="179"/>
      <c r="S83" s="179"/>
      <c r="T83" s="179"/>
    </row>
    <row r="84" spans="1:20" ht="15" customHeight="1" x14ac:dyDescent="0.2">
      <c r="A84" s="177"/>
      <c r="B84" s="178"/>
      <c r="C84" s="179"/>
      <c r="D84" s="179"/>
      <c r="E84" s="179"/>
      <c r="F84" s="179"/>
      <c r="G84" s="179"/>
      <c r="H84" s="179"/>
      <c r="I84" s="179"/>
      <c r="J84" s="179"/>
      <c r="K84" s="179"/>
      <c r="L84" s="176"/>
      <c r="M84" s="176"/>
      <c r="R84" s="179"/>
      <c r="S84" s="179"/>
      <c r="T84" s="179"/>
    </row>
    <row r="85" spans="1:20" ht="15" customHeight="1" x14ac:dyDescent="0.2">
      <c r="A85" s="177"/>
      <c r="B85" s="178"/>
      <c r="C85" s="179"/>
      <c r="D85" s="179"/>
      <c r="E85" s="179"/>
      <c r="F85" s="179"/>
      <c r="G85" s="179"/>
      <c r="H85" s="179"/>
      <c r="I85" s="179"/>
      <c r="J85" s="179"/>
      <c r="K85" s="179"/>
      <c r="L85" s="176"/>
      <c r="M85" s="176"/>
      <c r="R85" s="179"/>
      <c r="S85" s="179"/>
      <c r="T85" s="179"/>
    </row>
    <row r="86" spans="1:20" ht="15" customHeight="1" x14ac:dyDescent="0.2">
      <c r="A86" s="177"/>
      <c r="B86" s="178"/>
      <c r="C86" s="179"/>
      <c r="D86" s="179"/>
      <c r="E86" s="179"/>
      <c r="F86" s="179"/>
      <c r="G86" s="179"/>
      <c r="H86" s="179"/>
      <c r="I86" s="179"/>
      <c r="J86" s="179"/>
      <c r="K86" s="179"/>
      <c r="L86" s="176"/>
      <c r="M86" s="176"/>
      <c r="R86" s="179"/>
      <c r="S86" s="179"/>
      <c r="T86" s="179"/>
    </row>
    <row r="87" spans="1:20" ht="15" customHeight="1" x14ac:dyDescent="0.2">
      <c r="A87" s="177"/>
      <c r="B87" s="178"/>
      <c r="C87" s="179"/>
      <c r="D87" s="179"/>
      <c r="E87" s="179"/>
      <c r="F87" s="179"/>
      <c r="G87" s="179"/>
      <c r="H87" s="179"/>
      <c r="I87" s="179"/>
      <c r="J87" s="179"/>
      <c r="K87" s="179"/>
      <c r="L87" s="176"/>
      <c r="M87" s="176"/>
      <c r="R87" s="179"/>
      <c r="S87" s="179"/>
      <c r="T87" s="179"/>
    </row>
    <row r="88" spans="1:20" ht="15" customHeight="1" x14ac:dyDescent="0.2">
      <c r="A88" s="177"/>
      <c r="B88" s="178"/>
      <c r="C88" s="179"/>
      <c r="D88" s="179"/>
      <c r="E88" s="179"/>
      <c r="F88" s="179"/>
      <c r="G88" s="179"/>
      <c r="H88" s="179"/>
      <c r="I88" s="179"/>
      <c r="J88" s="179"/>
      <c r="K88" s="179"/>
      <c r="L88" s="176"/>
      <c r="M88" s="176"/>
      <c r="R88" s="179"/>
      <c r="S88" s="179"/>
      <c r="T88" s="179"/>
    </row>
    <row r="89" spans="1:20" ht="15" customHeight="1" x14ac:dyDescent="0.2">
      <c r="A89" s="177"/>
      <c r="B89" s="178"/>
      <c r="C89" s="179"/>
      <c r="D89" s="179"/>
      <c r="E89" s="179"/>
      <c r="F89" s="179"/>
      <c r="G89" s="179"/>
      <c r="H89" s="179"/>
      <c r="I89" s="179"/>
      <c r="J89" s="179"/>
      <c r="K89" s="179"/>
      <c r="L89" s="176"/>
      <c r="M89" s="176"/>
      <c r="R89" s="179"/>
      <c r="S89" s="179"/>
      <c r="T89" s="179"/>
    </row>
    <row r="90" spans="1:20" ht="15" customHeight="1" x14ac:dyDescent="0.2">
      <c r="A90" s="177"/>
      <c r="B90" s="178"/>
      <c r="C90" s="179"/>
      <c r="D90" s="179"/>
      <c r="E90" s="179"/>
      <c r="F90" s="179"/>
      <c r="G90" s="179"/>
      <c r="H90" s="179"/>
      <c r="I90" s="179"/>
      <c r="J90" s="179"/>
      <c r="K90" s="179"/>
      <c r="L90" s="176"/>
      <c r="M90" s="176"/>
      <c r="R90" s="179"/>
      <c r="S90" s="179"/>
      <c r="T90" s="179"/>
    </row>
    <row r="91" spans="1:20" ht="15" customHeight="1" x14ac:dyDescent="0.2">
      <c r="A91" s="177"/>
      <c r="B91" s="178"/>
      <c r="C91" s="179"/>
      <c r="D91" s="179"/>
      <c r="E91" s="179"/>
      <c r="F91" s="179"/>
      <c r="G91" s="179"/>
      <c r="H91" s="179"/>
      <c r="I91" s="179"/>
      <c r="J91" s="179"/>
      <c r="K91" s="179"/>
      <c r="L91" s="176"/>
      <c r="M91" s="176"/>
      <c r="R91" s="179"/>
      <c r="S91" s="179"/>
      <c r="T91" s="179"/>
    </row>
    <row r="92" spans="1:20" ht="15" customHeight="1" x14ac:dyDescent="0.2">
      <c r="A92" s="177"/>
      <c r="B92" s="178"/>
      <c r="C92" s="179"/>
      <c r="D92" s="179"/>
      <c r="E92" s="179"/>
      <c r="F92" s="179"/>
      <c r="G92" s="179"/>
      <c r="H92" s="179"/>
      <c r="I92" s="179"/>
      <c r="J92" s="179"/>
      <c r="K92" s="179"/>
      <c r="L92" s="176"/>
      <c r="M92" s="176"/>
      <c r="R92" s="179"/>
      <c r="S92" s="179"/>
      <c r="T92" s="179"/>
    </row>
    <row r="93" spans="1:20" ht="15" customHeight="1" x14ac:dyDescent="0.2">
      <c r="A93" s="177"/>
      <c r="B93" s="178"/>
      <c r="C93" s="179"/>
      <c r="D93" s="179"/>
      <c r="E93" s="179"/>
      <c r="F93" s="179"/>
      <c r="G93" s="179"/>
      <c r="H93" s="179"/>
      <c r="I93" s="179"/>
      <c r="J93" s="179"/>
      <c r="K93" s="179"/>
      <c r="L93" s="176"/>
      <c r="M93" s="176"/>
      <c r="R93" s="179"/>
      <c r="S93" s="179"/>
      <c r="T93" s="179"/>
    </row>
    <row r="94" spans="1:20" ht="15" customHeight="1" x14ac:dyDescent="0.2">
      <c r="A94" s="177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6"/>
      <c r="R94" s="180"/>
      <c r="S94" s="180"/>
      <c r="T94" s="180"/>
    </row>
    <row r="95" spans="1:20" ht="15" customHeight="1" x14ac:dyDescent="0.2">
      <c r="A95" s="177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6"/>
      <c r="R95" s="180"/>
      <c r="S95" s="180"/>
      <c r="T95" s="180"/>
    </row>
    <row r="96" spans="1:20" ht="15" customHeight="1" x14ac:dyDescent="0.2">
      <c r="A96" s="177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R96" s="180"/>
      <c r="S96" s="180"/>
      <c r="T96" s="180"/>
    </row>
    <row r="97" spans="1:20" ht="15" customHeight="1" x14ac:dyDescent="0.2">
      <c r="A97" s="177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R97" s="180"/>
      <c r="S97" s="180"/>
      <c r="T97" s="180"/>
    </row>
    <row r="98" spans="1:20" ht="15" customHeight="1" x14ac:dyDescent="0.2">
      <c r="A98" s="177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R98" s="180"/>
      <c r="S98" s="180"/>
      <c r="T98" s="180"/>
    </row>
    <row r="99" spans="1:20" ht="15" customHeight="1" x14ac:dyDescent="0.2">
      <c r="A99" s="177"/>
      <c r="B99" s="180"/>
      <c r="C99" s="180"/>
      <c r="D99" s="180"/>
      <c r="E99" s="180"/>
      <c r="F99" s="180"/>
      <c r="G99" s="180"/>
      <c r="H99" s="180"/>
      <c r="I99" s="180"/>
      <c r="J99" s="180"/>
      <c r="K99" s="180"/>
    </row>
    <row r="100" spans="1:20" ht="15" customHeight="1" x14ac:dyDescent="0.2">
      <c r="A100" s="177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</row>
    <row r="105" spans="1:20" ht="15" customHeight="1" x14ac:dyDescent="0.2">
      <c r="M105" s="176"/>
      <c r="R105" s="176"/>
      <c r="S105" s="176"/>
      <c r="T105" s="176"/>
    </row>
    <row r="106" spans="1:20" ht="15" customHeight="1" x14ac:dyDescent="0.2">
      <c r="M106" s="176"/>
      <c r="R106" s="179"/>
      <c r="S106" s="179"/>
      <c r="T106" s="179"/>
    </row>
    <row r="107" spans="1:20" ht="15" customHeight="1" x14ac:dyDescent="0.2">
      <c r="B107" s="175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R107" s="179"/>
      <c r="S107" s="179"/>
      <c r="T107" s="179"/>
    </row>
    <row r="108" spans="1:20" ht="15" customHeight="1" x14ac:dyDescent="0.2">
      <c r="A108" s="177"/>
      <c r="B108" s="178"/>
      <c r="C108" s="179"/>
      <c r="D108" s="179"/>
      <c r="E108" s="179"/>
      <c r="F108" s="179"/>
      <c r="G108" s="179"/>
      <c r="H108" s="179"/>
      <c r="I108" s="179"/>
      <c r="J108" s="179"/>
      <c r="K108" s="179"/>
      <c r="L108" s="176"/>
      <c r="M108" s="176"/>
      <c r="R108" s="179"/>
      <c r="S108" s="179"/>
      <c r="T108" s="179"/>
    </row>
    <row r="109" spans="1:20" ht="15" customHeight="1" x14ac:dyDescent="0.2">
      <c r="A109" s="177"/>
      <c r="B109" s="178"/>
      <c r="C109" s="179"/>
      <c r="D109" s="179"/>
      <c r="E109" s="179"/>
      <c r="F109" s="179"/>
      <c r="G109" s="179"/>
      <c r="H109" s="179"/>
      <c r="I109" s="179"/>
      <c r="J109" s="179"/>
      <c r="K109" s="179"/>
      <c r="L109" s="176"/>
      <c r="M109" s="176"/>
      <c r="R109" s="179"/>
      <c r="S109" s="179"/>
      <c r="T109" s="179"/>
    </row>
    <row r="110" spans="1:20" ht="15" customHeight="1" x14ac:dyDescent="0.2">
      <c r="A110" s="177"/>
      <c r="B110" s="178"/>
      <c r="C110" s="179"/>
      <c r="D110" s="179"/>
      <c r="E110" s="179"/>
      <c r="F110" s="179"/>
      <c r="G110" s="179"/>
      <c r="H110" s="179"/>
      <c r="I110" s="179"/>
      <c r="J110" s="179"/>
      <c r="K110" s="179"/>
      <c r="L110" s="176"/>
      <c r="M110" s="176"/>
      <c r="R110" s="179"/>
      <c r="S110" s="179"/>
      <c r="T110" s="179"/>
    </row>
    <row r="111" spans="1:20" ht="15" customHeight="1" x14ac:dyDescent="0.2">
      <c r="A111" s="177"/>
      <c r="B111" s="178"/>
      <c r="C111" s="179"/>
      <c r="D111" s="179"/>
      <c r="E111" s="179"/>
      <c r="F111" s="179"/>
      <c r="G111" s="179"/>
      <c r="H111" s="179"/>
      <c r="I111" s="179"/>
      <c r="J111" s="179"/>
      <c r="K111" s="179"/>
      <c r="L111" s="176"/>
      <c r="M111" s="176"/>
      <c r="R111" s="179"/>
      <c r="S111" s="179"/>
      <c r="T111" s="179"/>
    </row>
    <row r="112" spans="1:20" ht="15" customHeight="1" x14ac:dyDescent="0.2">
      <c r="A112" s="177"/>
      <c r="B112" s="178"/>
      <c r="C112" s="179"/>
      <c r="D112" s="179"/>
      <c r="E112" s="179"/>
      <c r="F112" s="179"/>
      <c r="G112" s="179"/>
      <c r="H112" s="179"/>
      <c r="I112" s="179"/>
      <c r="J112" s="179"/>
      <c r="K112" s="179"/>
      <c r="L112" s="176"/>
      <c r="M112" s="176"/>
      <c r="R112" s="179"/>
      <c r="S112" s="179"/>
      <c r="T112" s="179"/>
    </row>
    <row r="113" spans="1:20" ht="15" customHeight="1" x14ac:dyDescent="0.2">
      <c r="A113" s="177"/>
      <c r="B113" s="178"/>
      <c r="C113" s="179"/>
      <c r="D113" s="179"/>
      <c r="E113" s="179"/>
      <c r="F113" s="179"/>
      <c r="G113" s="179"/>
      <c r="H113" s="179"/>
      <c r="I113" s="179"/>
      <c r="J113" s="179"/>
      <c r="K113" s="179"/>
      <c r="L113" s="176"/>
      <c r="M113" s="176"/>
      <c r="R113" s="179"/>
      <c r="S113" s="179"/>
      <c r="T113" s="179"/>
    </row>
    <row r="114" spans="1:20" ht="15" customHeight="1" x14ac:dyDescent="0.2">
      <c r="A114" s="177"/>
      <c r="B114" s="178"/>
      <c r="C114" s="179"/>
      <c r="D114" s="179"/>
      <c r="E114" s="179"/>
      <c r="F114" s="179"/>
      <c r="G114" s="179"/>
      <c r="H114" s="179"/>
      <c r="I114" s="179"/>
      <c r="J114" s="179"/>
      <c r="K114" s="179"/>
      <c r="L114" s="176"/>
      <c r="M114" s="176"/>
      <c r="R114" s="179"/>
      <c r="S114" s="179"/>
      <c r="T114" s="179"/>
    </row>
    <row r="115" spans="1:20" ht="15" customHeight="1" x14ac:dyDescent="0.2">
      <c r="A115" s="177"/>
      <c r="B115" s="178"/>
      <c r="C115" s="179"/>
      <c r="D115" s="179"/>
      <c r="E115" s="179"/>
      <c r="F115" s="179"/>
      <c r="G115" s="179"/>
      <c r="H115" s="179"/>
      <c r="I115" s="179"/>
      <c r="J115" s="179"/>
      <c r="K115" s="179"/>
      <c r="L115" s="176"/>
      <c r="M115" s="176"/>
      <c r="R115" s="179"/>
      <c r="S115" s="179"/>
      <c r="T115" s="179"/>
    </row>
    <row r="116" spans="1:20" ht="15" customHeight="1" x14ac:dyDescent="0.2">
      <c r="A116" s="177"/>
      <c r="B116" s="178"/>
      <c r="C116" s="179"/>
      <c r="D116" s="179"/>
      <c r="E116" s="179"/>
      <c r="F116" s="179"/>
      <c r="G116" s="179"/>
      <c r="H116" s="179"/>
      <c r="I116" s="179"/>
      <c r="J116" s="179"/>
      <c r="K116" s="179"/>
      <c r="L116" s="176"/>
      <c r="M116" s="176"/>
      <c r="R116" s="179"/>
      <c r="S116" s="179"/>
      <c r="T116" s="179"/>
    </row>
    <row r="117" spans="1:20" ht="15" customHeight="1" x14ac:dyDescent="0.2">
      <c r="A117" s="177"/>
      <c r="B117" s="178"/>
      <c r="C117" s="179"/>
      <c r="D117" s="179"/>
      <c r="E117" s="179"/>
      <c r="F117" s="179"/>
      <c r="G117" s="179"/>
      <c r="H117" s="179"/>
      <c r="I117" s="179"/>
      <c r="J117" s="179"/>
      <c r="K117" s="179"/>
      <c r="L117" s="176"/>
      <c r="M117" s="176"/>
      <c r="R117" s="179"/>
      <c r="S117" s="179"/>
      <c r="T117" s="179"/>
    </row>
    <row r="118" spans="1:20" ht="15" customHeight="1" x14ac:dyDescent="0.2">
      <c r="A118" s="177"/>
      <c r="B118" s="178"/>
      <c r="C118" s="179"/>
      <c r="D118" s="179"/>
      <c r="E118" s="179"/>
      <c r="F118" s="179"/>
      <c r="G118" s="179"/>
      <c r="H118" s="179"/>
      <c r="I118" s="179"/>
      <c r="J118" s="179"/>
      <c r="K118" s="179"/>
      <c r="L118" s="176"/>
      <c r="M118" s="176"/>
      <c r="R118" s="179"/>
      <c r="S118" s="179"/>
      <c r="T118" s="179"/>
    </row>
    <row r="119" spans="1:20" ht="15" customHeight="1" x14ac:dyDescent="0.2">
      <c r="A119" s="177"/>
      <c r="B119" s="178"/>
      <c r="C119" s="179"/>
      <c r="D119" s="179"/>
      <c r="E119" s="179"/>
      <c r="F119" s="179"/>
      <c r="G119" s="179"/>
      <c r="H119" s="179"/>
      <c r="I119" s="179"/>
      <c r="J119" s="179"/>
      <c r="K119" s="179"/>
      <c r="L119" s="176"/>
      <c r="M119" s="176"/>
      <c r="R119" s="179"/>
      <c r="S119" s="179"/>
      <c r="T119" s="179"/>
    </row>
    <row r="120" spans="1:20" ht="15" customHeight="1" x14ac:dyDescent="0.2">
      <c r="A120" s="177"/>
      <c r="B120" s="178"/>
      <c r="C120" s="179"/>
      <c r="D120" s="179"/>
      <c r="E120" s="179"/>
      <c r="F120" s="179"/>
      <c r="G120" s="179"/>
      <c r="H120" s="179"/>
      <c r="I120" s="179"/>
      <c r="J120" s="179"/>
      <c r="K120" s="179"/>
      <c r="L120" s="176"/>
      <c r="M120" s="176"/>
      <c r="R120" s="179"/>
      <c r="S120" s="179"/>
      <c r="T120" s="179"/>
    </row>
    <row r="121" spans="1:20" ht="15" customHeight="1" x14ac:dyDescent="0.2">
      <c r="A121" s="177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6"/>
      <c r="R121" s="180"/>
      <c r="S121" s="180"/>
      <c r="T121" s="180"/>
    </row>
    <row r="122" spans="1:20" ht="15" customHeight="1" x14ac:dyDescent="0.2">
      <c r="A122" s="177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6"/>
      <c r="R122" s="180"/>
      <c r="S122" s="180"/>
      <c r="T122" s="180"/>
    </row>
    <row r="123" spans="1:20" ht="15" customHeight="1" x14ac:dyDescent="0.2">
      <c r="A123" s="177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R123" s="180"/>
      <c r="S123" s="180"/>
      <c r="T123" s="180"/>
    </row>
    <row r="124" spans="1:20" ht="15" customHeight="1" x14ac:dyDescent="0.2">
      <c r="A124" s="177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R124" s="180"/>
      <c r="S124" s="180"/>
      <c r="T124" s="180"/>
    </row>
    <row r="125" spans="1:20" ht="15" customHeight="1" x14ac:dyDescent="0.2">
      <c r="A125" s="177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R125" s="180"/>
      <c r="S125" s="180"/>
      <c r="T125" s="180"/>
    </row>
    <row r="126" spans="1:20" ht="15" customHeight="1" x14ac:dyDescent="0.2">
      <c r="A126" s="177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</row>
    <row r="127" spans="1:20" ht="15" customHeight="1" x14ac:dyDescent="0.2">
      <c r="A127" s="177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</row>
  </sheetData>
  <sheetProtection password="CC2B" sheet="1" objects="1" scenarios="1" selectLockedCells="1"/>
  <mergeCells count="37">
    <mergeCell ref="A70:A71"/>
    <mergeCell ref="A56:A57"/>
    <mergeCell ref="A58:A59"/>
    <mergeCell ref="A60:A61"/>
    <mergeCell ref="A62:A63"/>
    <mergeCell ref="A64:A65"/>
    <mergeCell ref="A67:A68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1:X1"/>
    <mergeCell ref="B2:L2"/>
    <mergeCell ref="M2:W2"/>
    <mergeCell ref="X2:X3"/>
    <mergeCell ref="A4:A5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2:W116"/>
  <sheetViews>
    <sheetView workbookViewId="0">
      <pane ySplit="8" topLeftCell="A51" activePane="bottomLeft" state="frozenSplit"/>
      <selection activeCell="P4" sqref="P4:Q5"/>
      <selection pane="bottomLeft" activeCell="B80" sqref="B80"/>
    </sheetView>
  </sheetViews>
  <sheetFormatPr defaultColWidth="9.28515625" defaultRowHeight="12.75" customHeight="1" x14ac:dyDescent="0.2"/>
  <cols>
    <col min="1" max="1" width="12.28515625" style="238" bestFit="1" customWidth="1"/>
    <col min="2" max="3" width="10.42578125" style="182" bestFit="1" customWidth="1"/>
    <col min="4" max="5" width="9.5703125" style="182" bestFit="1" customWidth="1"/>
    <col min="6" max="7" width="10.42578125" style="182" bestFit="1" customWidth="1"/>
    <col min="8" max="12" width="10.42578125" style="182" customWidth="1"/>
    <col min="13" max="13" width="8.5703125" style="212" customWidth="1"/>
    <col min="14" max="15" width="9.5703125" style="182" bestFit="1" customWidth="1"/>
    <col min="16" max="19" width="9.140625" style="182" customWidth="1"/>
    <col min="20" max="20" width="6.85546875" style="182" bestFit="1" customWidth="1"/>
    <col min="21" max="21" width="10.42578125" style="185" bestFit="1" customWidth="1"/>
    <col min="22" max="22" width="10.85546875" style="181" bestFit="1" customWidth="1"/>
    <col min="23" max="23" width="38.7109375" style="182" customWidth="1"/>
    <col min="24" max="16384" width="9.28515625" style="182"/>
  </cols>
  <sheetData>
    <row r="2" spans="1:23" ht="15.75" x14ac:dyDescent="0.2">
      <c r="A2" s="403" t="str">
        <f>'GENEL HASILAT'!A3 &amp; " - ÜCRET GRUP ANALİZİ"</f>
        <v>EKİM 2024 - ÜCRET GRUP ANALİZİ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</row>
    <row r="3" spans="1:23" ht="12.75" customHeight="1" x14ac:dyDescent="0.2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</row>
    <row r="4" spans="1:23" ht="15.75" customHeight="1" x14ac:dyDescent="0.2">
      <c r="A4" s="183"/>
      <c r="B4" s="404" t="s">
        <v>130</v>
      </c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23" ht="8.25" customHeight="1" x14ac:dyDescent="0.2">
      <c r="A5" s="183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</row>
    <row r="6" spans="1:23" ht="15.75" customHeight="1" thickBot="1" x14ac:dyDescent="0.25">
      <c r="A6" s="183"/>
      <c r="B6" s="407" t="s">
        <v>128</v>
      </c>
      <c r="C6" s="407"/>
      <c r="D6" s="407"/>
      <c r="E6" s="407"/>
      <c r="F6" s="407"/>
      <c r="G6" s="407"/>
      <c r="H6" s="418" t="s">
        <v>141</v>
      </c>
      <c r="I6" s="418"/>
      <c r="J6" s="418"/>
      <c r="K6" s="418"/>
      <c r="L6" s="418"/>
      <c r="M6" s="418"/>
      <c r="N6" s="408" t="s">
        <v>129</v>
      </c>
      <c r="O6" s="408"/>
      <c r="P6" s="408"/>
      <c r="Q6" s="408"/>
      <c r="R6" s="408"/>
      <c r="S6" s="408"/>
    </row>
    <row r="7" spans="1:23" ht="12.75" customHeight="1" thickTop="1" x14ac:dyDescent="0.2">
      <c r="A7" s="409" t="s">
        <v>1</v>
      </c>
      <c r="B7" s="411" t="s">
        <v>50</v>
      </c>
      <c r="C7" s="413" t="s">
        <v>51</v>
      </c>
      <c r="D7" s="413" t="s">
        <v>52</v>
      </c>
      <c r="E7" s="413" t="s">
        <v>53</v>
      </c>
      <c r="F7" s="413" t="s">
        <v>54</v>
      </c>
      <c r="G7" s="415" t="s">
        <v>55</v>
      </c>
      <c r="H7" s="411" t="s">
        <v>50</v>
      </c>
      <c r="I7" s="413" t="s">
        <v>51</v>
      </c>
      <c r="J7" s="413" t="s">
        <v>52</v>
      </c>
      <c r="K7" s="413" t="s">
        <v>53</v>
      </c>
      <c r="L7" s="413" t="s">
        <v>54</v>
      </c>
      <c r="M7" s="415" t="s">
        <v>55</v>
      </c>
      <c r="N7" s="411" t="s">
        <v>50</v>
      </c>
      <c r="O7" s="413" t="s">
        <v>51</v>
      </c>
      <c r="P7" s="413" t="s">
        <v>52</v>
      </c>
      <c r="Q7" s="413" t="s">
        <v>53</v>
      </c>
      <c r="R7" s="413" t="s">
        <v>54</v>
      </c>
      <c r="S7" s="415" t="s">
        <v>55</v>
      </c>
      <c r="T7" s="187"/>
      <c r="U7" s="417" t="s">
        <v>4</v>
      </c>
      <c r="V7" s="419" t="s">
        <v>47</v>
      </c>
      <c r="W7" s="417" t="s">
        <v>56</v>
      </c>
    </row>
    <row r="8" spans="1:23" ht="12.75" customHeight="1" thickBot="1" x14ac:dyDescent="0.25">
      <c r="A8" s="410"/>
      <c r="B8" s="412"/>
      <c r="C8" s="414"/>
      <c r="D8" s="414"/>
      <c r="E8" s="414"/>
      <c r="F8" s="414"/>
      <c r="G8" s="416"/>
      <c r="H8" s="412"/>
      <c r="I8" s="414"/>
      <c r="J8" s="414"/>
      <c r="K8" s="414"/>
      <c r="L8" s="414"/>
      <c r="M8" s="416"/>
      <c r="N8" s="412"/>
      <c r="O8" s="414"/>
      <c r="P8" s="414"/>
      <c r="Q8" s="414"/>
      <c r="R8" s="414"/>
      <c r="S8" s="416"/>
      <c r="T8" s="187"/>
      <c r="U8" s="417"/>
      <c r="V8" s="419"/>
      <c r="W8" s="417"/>
    </row>
    <row r="9" spans="1:23" ht="12.75" customHeight="1" thickTop="1" thickBot="1" x14ac:dyDescent="0.25">
      <c r="A9" s="353"/>
      <c r="B9" s="188">
        <v>50</v>
      </c>
      <c r="C9" s="188">
        <v>75</v>
      </c>
      <c r="D9" s="188">
        <v>110</v>
      </c>
      <c r="E9" s="188">
        <v>125</v>
      </c>
      <c r="F9" s="188">
        <v>175</v>
      </c>
      <c r="G9" s="188"/>
      <c r="H9" s="188">
        <v>90</v>
      </c>
      <c r="I9" s="188">
        <v>120</v>
      </c>
      <c r="J9" s="188">
        <v>155</v>
      </c>
      <c r="K9" s="188">
        <v>195</v>
      </c>
      <c r="L9" s="188">
        <v>265</v>
      </c>
      <c r="M9" s="188"/>
      <c r="N9" s="188">
        <v>90</v>
      </c>
      <c r="O9" s="188">
        <v>120</v>
      </c>
      <c r="P9" s="188">
        <v>155</v>
      </c>
      <c r="Q9" s="188">
        <v>195</v>
      </c>
      <c r="R9" s="188">
        <v>265</v>
      </c>
      <c r="S9" s="188"/>
      <c r="T9" s="354"/>
      <c r="U9" s="355"/>
    </row>
    <row r="10" spans="1:23" ht="12.75" customHeight="1" thickTop="1" thickBot="1" x14ac:dyDescent="0.25">
      <c r="A10" s="420">
        <f>'GENEL HASILAT'!A7</f>
        <v>45566</v>
      </c>
      <c r="B10" s="189">
        <f>$B$9</f>
        <v>50</v>
      </c>
      <c r="C10" s="190">
        <f>$C$9</f>
        <v>75</v>
      </c>
      <c r="D10" s="190">
        <f>$D$9</f>
        <v>110</v>
      </c>
      <c r="E10" s="190">
        <f>$E$9</f>
        <v>125</v>
      </c>
      <c r="F10" s="190">
        <f>$F$9</f>
        <v>175</v>
      </c>
      <c r="G10" s="191">
        <f>G12/G11</f>
        <v>2287.5</v>
      </c>
      <c r="H10" s="192">
        <v>70</v>
      </c>
      <c r="I10" s="193">
        <v>100</v>
      </c>
      <c r="J10" s="193">
        <v>135</v>
      </c>
      <c r="K10" s="193">
        <v>160</v>
      </c>
      <c r="L10" s="193">
        <v>220</v>
      </c>
      <c r="M10" s="194" t="e">
        <f>M12/M11</f>
        <v>#DIV/0!</v>
      </c>
      <c r="N10" s="192">
        <f>$N$9</f>
        <v>90</v>
      </c>
      <c r="O10" s="193">
        <f>$O$9</f>
        <v>120</v>
      </c>
      <c r="P10" s="193">
        <f>$P$9</f>
        <v>155</v>
      </c>
      <c r="Q10" s="193">
        <f>$Q$9</f>
        <v>195</v>
      </c>
      <c r="R10" s="193">
        <f>$R$9</f>
        <v>265</v>
      </c>
      <c r="S10" s="194" t="e">
        <f>S12/S11</f>
        <v>#DIV/0!</v>
      </c>
    </row>
    <row r="11" spans="1:23" ht="12.75" customHeight="1" thickTop="1" thickBot="1" x14ac:dyDescent="0.25">
      <c r="A11" s="421"/>
      <c r="B11" s="195">
        <v>41</v>
      </c>
      <c r="C11" s="196">
        <v>9</v>
      </c>
      <c r="D11" s="196">
        <v>4</v>
      </c>
      <c r="E11" s="196">
        <v>4</v>
      </c>
      <c r="F11" s="196">
        <v>0</v>
      </c>
      <c r="G11" s="197">
        <v>2</v>
      </c>
      <c r="H11" s="198">
        <v>128</v>
      </c>
      <c r="I11" s="196">
        <v>65</v>
      </c>
      <c r="J11" s="196">
        <v>3</v>
      </c>
      <c r="K11" s="196">
        <v>0</v>
      </c>
      <c r="L11" s="196">
        <v>0</v>
      </c>
      <c r="M11" s="197">
        <v>0</v>
      </c>
      <c r="N11" s="198">
        <v>3</v>
      </c>
      <c r="O11" s="196">
        <v>13</v>
      </c>
      <c r="P11" s="196">
        <v>1</v>
      </c>
      <c r="Q11" s="196">
        <v>0</v>
      </c>
      <c r="R11" s="196">
        <v>0</v>
      </c>
      <c r="S11" s="197">
        <v>0</v>
      </c>
      <c r="T11" s="199" t="s">
        <v>57</v>
      </c>
      <c r="U11" s="200">
        <f>U12/1.2</f>
        <v>21741.666666666668</v>
      </c>
      <c r="W11" s="422"/>
    </row>
    <row r="12" spans="1:23" ht="12.75" customHeight="1" thickTop="1" thickBot="1" x14ac:dyDescent="0.25">
      <c r="A12" s="421"/>
      <c r="B12" s="201">
        <f>B11*B10</f>
        <v>2050</v>
      </c>
      <c r="C12" s="202">
        <f>C11*C10</f>
        <v>675</v>
      </c>
      <c r="D12" s="202">
        <f>D11*D10</f>
        <v>440</v>
      </c>
      <c r="E12" s="202">
        <f>E11*E10</f>
        <v>500</v>
      </c>
      <c r="F12" s="202">
        <f>F11*F10</f>
        <v>0</v>
      </c>
      <c r="G12" s="203">
        <v>4575</v>
      </c>
      <c r="H12" s="204">
        <f>H11*H10</f>
        <v>8960</v>
      </c>
      <c r="I12" s="205">
        <f>I11*I10</f>
        <v>6500</v>
      </c>
      <c r="J12" s="205">
        <f>J11*J10</f>
        <v>405</v>
      </c>
      <c r="K12" s="205">
        <f>K11*K10</f>
        <v>0</v>
      </c>
      <c r="L12" s="205">
        <f>L11*L10</f>
        <v>0</v>
      </c>
      <c r="M12" s="206">
        <v>0</v>
      </c>
      <c r="N12" s="204">
        <f>N11*N10</f>
        <v>270</v>
      </c>
      <c r="O12" s="205">
        <f>O11*O10</f>
        <v>1560</v>
      </c>
      <c r="P12" s="205">
        <f>P11*P10</f>
        <v>155</v>
      </c>
      <c r="Q12" s="205">
        <f>Q11*Q10</f>
        <v>0</v>
      </c>
      <c r="R12" s="205">
        <f>R11*R10</f>
        <v>0</v>
      </c>
      <c r="S12" s="206">
        <v>0</v>
      </c>
      <c r="T12" s="207" t="s">
        <v>58</v>
      </c>
      <c r="U12" s="208">
        <f>SUM(B12:G12,N12:S12:H12:M12)</f>
        <v>26090</v>
      </c>
      <c r="V12" s="209">
        <f>'GENEL HASILAT'!V7-U12</f>
        <v>0</v>
      </c>
      <c r="W12" s="423"/>
    </row>
    <row r="13" spans="1:23" ht="12.75" customHeight="1" thickTop="1" thickBot="1" x14ac:dyDescent="0.25">
      <c r="A13" s="420">
        <f>'GENEL HASILAT'!A8</f>
        <v>45567</v>
      </c>
      <c r="B13" s="189">
        <f>$B$9</f>
        <v>50</v>
      </c>
      <c r="C13" s="190">
        <f>$C$9</f>
        <v>75</v>
      </c>
      <c r="D13" s="190">
        <f>$D$9</f>
        <v>110</v>
      </c>
      <c r="E13" s="190">
        <f>$E$9</f>
        <v>125</v>
      </c>
      <c r="F13" s="190">
        <f>$F$9</f>
        <v>175</v>
      </c>
      <c r="G13" s="191">
        <f>G15/G14</f>
        <v>487.5</v>
      </c>
      <c r="H13" s="192">
        <v>70</v>
      </c>
      <c r="I13" s="193">
        <v>100</v>
      </c>
      <c r="J13" s="193">
        <v>135</v>
      </c>
      <c r="K13" s="193">
        <v>160</v>
      </c>
      <c r="L13" s="193">
        <v>220</v>
      </c>
      <c r="M13" s="194" t="e">
        <f>M15/M14</f>
        <v>#DIV/0!</v>
      </c>
      <c r="N13" s="192">
        <f>$N$9</f>
        <v>90</v>
      </c>
      <c r="O13" s="193">
        <f>$O$9</f>
        <v>120</v>
      </c>
      <c r="P13" s="193">
        <f>$P$9</f>
        <v>155</v>
      </c>
      <c r="Q13" s="193">
        <f>$Q$9</f>
        <v>195</v>
      </c>
      <c r="R13" s="193">
        <f>$R$9</f>
        <v>265</v>
      </c>
      <c r="S13" s="194" t="e">
        <f>S15/S14</f>
        <v>#DIV/0!</v>
      </c>
      <c r="U13" s="210"/>
    </row>
    <row r="14" spans="1:23" ht="12.75" customHeight="1" thickTop="1" thickBot="1" x14ac:dyDescent="0.25">
      <c r="A14" s="421"/>
      <c r="B14" s="195">
        <v>73</v>
      </c>
      <c r="C14" s="196">
        <v>33</v>
      </c>
      <c r="D14" s="196">
        <v>5</v>
      </c>
      <c r="E14" s="196">
        <v>6</v>
      </c>
      <c r="F14" s="196">
        <v>0</v>
      </c>
      <c r="G14" s="197">
        <v>4</v>
      </c>
      <c r="H14" s="198">
        <v>198</v>
      </c>
      <c r="I14" s="196">
        <v>93</v>
      </c>
      <c r="J14" s="196">
        <v>4</v>
      </c>
      <c r="K14" s="196">
        <v>0</v>
      </c>
      <c r="L14" s="196">
        <v>0</v>
      </c>
      <c r="M14" s="197">
        <v>0</v>
      </c>
      <c r="N14" s="198">
        <v>4</v>
      </c>
      <c r="O14" s="196">
        <v>13</v>
      </c>
      <c r="P14" s="196">
        <v>1</v>
      </c>
      <c r="Q14" s="196">
        <v>1</v>
      </c>
      <c r="R14" s="196">
        <v>0</v>
      </c>
      <c r="S14" s="197">
        <v>0</v>
      </c>
      <c r="T14" s="199" t="s">
        <v>57</v>
      </c>
      <c r="U14" s="200">
        <f>U15/1.2</f>
        <v>29454.166666666668</v>
      </c>
      <c r="W14" s="422"/>
    </row>
    <row r="15" spans="1:23" ht="12.75" customHeight="1" thickTop="1" thickBot="1" x14ac:dyDescent="0.25">
      <c r="A15" s="421"/>
      <c r="B15" s="201">
        <f>B14*B13</f>
        <v>3650</v>
      </c>
      <c r="C15" s="202">
        <f>C14*C13</f>
        <v>2475</v>
      </c>
      <c r="D15" s="202">
        <f>D14*D13</f>
        <v>550</v>
      </c>
      <c r="E15" s="202">
        <f>E14*E13</f>
        <v>750</v>
      </c>
      <c r="F15" s="202">
        <f>F14*F13</f>
        <v>0</v>
      </c>
      <c r="G15" s="203">
        <v>1950</v>
      </c>
      <c r="H15" s="204">
        <f>H14*H13</f>
        <v>13860</v>
      </c>
      <c r="I15" s="205">
        <f>I14*I13</f>
        <v>9300</v>
      </c>
      <c r="J15" s="205">
        <f>J14*J13</f>
        <v>540</v>
      </c>
      <c r="K15" s="205">
        <f>K14*K13</f>
        <v>0</v>
      </c>
      <c r="L15" s="205">
        <f>L14*L13</f>
        <v>0</v>
      </c>
      <c r="M15" s="206">
        <v>0</v>
      </c>
      <c r="N15" s="204">
        <f>N14*N13</f>
        <v>360</v>
      </c>
      <c r="O15" s="205">
        <f>O14*O13</f>
        <v>1560</v>
      </c>
      <c r="P15" s="205">
        <f>P14*P13</f>
        <v>155</v>
      </c>
      <c r="Q15" s="205">
        <f>Q14*Q13</f>
        <v>195</v>
      </c>
      <c r="R15" s="205">
        <f>R14*R13</f>
        <v>0</v>
      </c>
      <c r="S15" s="206">
        <v>0</v>
      </c>
      <c r="T15" s="207" t="s">
        <v>58</v>
      </c>
      <c r="U15" s="208">
        <f>SUM(B15:G15,N15:S15:H15:M15)</f>
        <v>35345</v>
      </c>
      <c r="V15" s="211">
        <f>'GENEL HASILAT'!V8-U15</f>
        <v>0</v>
      </c>
      <c r="W15" s="423"/>
    </row>
    <row r="16" spans="1:23" s="212" customFormat="1" ht="12.75" customHeight="1" thickTop="1" thickBot="1" x14ac:dyDescent="0.25">
      <c r="A16" s="420">
        <f>'GENEL HASILAT'!A9</f>
        <v>45568</v>
      </c>
      <c r="B16" s="189">
        <f>$B$9</f>
        <v>50</v>
      </c>
      <c r="C16" s="190">
        <f>$C$9</f>
        <v>75</v>
      </c>
      <c r="D16" s="190">
        <f>$D$9</f>
        <v>110</v>
      </c>
      <c r="E16" s="190">
        <f>$E$9</f>
        <v>125</v>
      </c>
      <c r="F16" s="190">
        <f>$F$9</f>
        <v>175</v>
      </c>
      <c r="G16" s="191">
        <f>G18/G17</f>
        <v>1591.6666666666667</v>
      </c>
      <c r="H16" s="192">
        <v>70</v>
      </c>
      <c r="I16" s="193">
        <v>100</v>
      </c>
      <c r="J16" s="193">
        <v>135</v>
      </c>
      <c r="K16" s="193">
        <v>160</v>
      </c>
      <c r="L16" s="193">
        <v>220</v>
      </c>
      <c r="M16" s="194" t="e">
        <f>M18/M17</f>
        <v>#DIV/0!</v>
      </c>
      <c r="N16" s="192">
        <f>$N$9</f>
        <v>90</v>
      </c>
      <c r="O16" s="193">
        <f>$O$9</f>
        <v>120</v>
      </c>
      <c r="P16" s="193">
        <f>$P$9</f>
        <v>155</v>
      </c>
      <c r="Q16" s="193">
        <f>$Q$9</f>
        <v>195</v>
      </c>
      <c r="R16" s="193">
        <f>$R$9</f>
        <v>265</v>
      </c>
      <c r="S16" s="194" t="e">
        <f>S18/S17</f>
        <v>#DIV/0!</v>
      </c>
      <c r="T16" s="182"/>
      <c r="U16" s="210"/>
      <c r="V16" s="181"/>
      <c r="W16" s="182"/>
    </row>
    <row r="17" spans="1:23" s="212" customFormat="1" ht="12.75" customHeight="1" thickTop="1" thickBot="1" x14ac:dyDescent="0.25">
      <c r="A17" s="421"/>
      <c r="B17" s="195">
        <v>51</v>
      </c>
      <c r="C17" s="196">
        <v>18</v>
      </c>
      <c r="D17" s="196">
        <v>7</v>
      </c>
      <c r="E17" s="196">
        <v>3</v>
      </c>
      <c r="F17" s="196">
        <v>1</v>
      </c>
      <c r="G17" s="197">
        <v>3</v>
      </c>
      <c r="H17" s="198">
        <v>152</v>
      </c>
      <c r="I17" s="196">
        <v>92</v>
      </c>
      <c r="J17" s="196">
        <v>15</v>
      </c>
      <c r="K17" s="196">
        <v>0</v>
      </c>
      <c r="L17" s="196">
        <v>1</v>
      </c>
      <c r="M17" s="197">
        <v>0</v>
      </c>
      <c r="N17" s="198">
        <v>13</v>
      </c>
      <c r="O17" s="196">
        <v>42</v>
      </c>
      <c r="P17" s="196">
        <v>9</v>
      </c>
      <c r="Q17" s="196">
        <v>0</v>
      </c>
      <c r="R17" s="196">
        <v>0</v>
      </c>
      <c r="S17" s="197">
        <v>0</v>
      </c>
      <c r="T17" s="199" t="s">
        <v>57</v>
      </c>
      <c r="U17" s="200">
        <f>U18/1.2</f>
        <v>33070.833333333336</v>
      </c>
      <c r="V17" s="181"/>
      <c r="W17" s="422"/>
    </row>
    <row r="18" spans="1:23" s="212" customFormat="1" ht="12.75" customHeight="1" thickTop="1" thickBot="1" x14ac:dyDescent="0.25">
      <c r="A18" s="421"/>
      <c r="B18" s="201">
        <f>B17*B16</f>
        <v>2550</v>
      </c>
      <c r="C18" s="202">
        <f>C17*C16</f>
        <v>1350</v>
      </c>
      <c r="D18" s="202">
        <f>D17*D16</f>
        <v>770</v>
      </c>
      <c r="E18" s="202">
        <f>E17*E16</f>
        <v>375</v>
      </c>
      <c r="F18" s="202">
        <f>F17*F16</f>
        <v>175</v>
      </c>
      <c r="G18" s="203">
        <v>4775</v>
      </c>
      <c r="H18" s="204">
        <f>H17*H16</f>
        <v>10640</v>
      </c>
      <c r="I18" s="205">
        <f>I17*I16</f>
        <v>9200</v>
      </c>
      <c r="J18" s="205">
        <f>J17*J16</f>
        <v>2025</v>
      </c>
      <c r="K18" s="205">
        <f>K17*K16</f>
        <v>0</v>
      </c>
      <c r="L18" s="205">
        <f>L17*L16</f>
        <v>220</v>
      </c>
      <c r="M18" s="206">
        <v>0</v>
      </c>
      <c r="N18" s="204">
        <f>N17*N16</f>
        <v>1170</v>
      </c>
      <c r="O18" s="205">
        <f>O17*O16</f>
        <v>5040</v>
      </c>
      <c r="P18" s="205">
        <f>P17*P16</f>
        <v>1395</v>
      </c>
      <c r="Q18" s="205">
        <f>Q17*Q16</f>
        <v>0</v>
      </c>
      <c r="R18" s="205">
        <f>R17*R16</f>
        <v>0</v>
      </c>
      <c r="S18" s="206">
        <v>0</v>
      </c>
      <c r="T18" s="207" t="s">
        <v>58</v>
      </c>
      <c r="U18" s="208">
        <f>SUM(B18:G18,N18:S18:H18:M18)</f>
        <v>39685</v>
      </c>
      <c r="V18" s="211">
        <f>'GENEL HASILAT'!V9-U18</f>
        <v>0</v>
      </c>
      <c r="W18" s="423"/>
    </row>
    <row r="19" spans="1:23" s="212" customFormat="1" ht="12.75" customHeight="1" thickTop="1" thickBot="1" x14ac:dyDescent="0.25">
      <c r="A19" s="420">
        <f>'GENEL HASILAT'!A10</f>
        <v>45569</v>
      </c>
      <c r="B19" s="189">
        <f>$B$9</f>
        <v>50</v>
      </c>
      <c r="C19" s="190">
        <f>$C$9</f>
        <v>75</v>
      </c>
      <c r="D19" s="190">
        <f>$D$9</f>
        <v>110</v>
      </c>
      <c r="E19" s="190">
        <f>$E$9</f>
        <v>125</v>
      </c>
      <c r="F19" s="190">
        <f>$F$9</f>
        <v>175</v>
      </c>
      <c r="G19" s="191">
        <f>G21/G20</f>
        <v>435</v>
      </c>
      <c r="H19" s="192">
        <v>70</v>
      </c>
      <c r="I19" s="193">
        <v>100</v>
      </c>
      <c r="J19" s="193">
        <v>135</v>
      </c>
      <c r="K19" s="193">
        <v>160</v>
      </c>
      <c r="L19" s="193">
        <v>220</v>
      </c>
      <c r="M19" s="194" t="e">
        <f>M21/M20</f>
        <v>#DIV/0!</v>
      </c>
      <c r="N19" s="192">
        <f>$N$9</f>
        <v>90</v>
      </c>
      <c r="O19" s="193">
        <f>$O$9</f>
        <v>120</v>
      </c>
      <c r="P19" s="193">
        <f>$P$9</f>
        <v>155</v>
      </c>
      <c r="Q19" s="193">
        <f>$Q$9</f>
        <v>195</v>
      </c>
      <c r="R19" s="193">
        <f>$R$9</f>
        <v>265</v>
      </c>
      <c r="S19" s="194" t="e">
        <f>S21/S20</f>
        <v>#DIV/0!</v>
      </c>
      <c r="T19" s="182"/>
      <c r="U19" s="210"/>
      <c r="V19" s="181"/>
      <c r="W19" s="182"/>
    </row>
    <row r="20" spans="1:23" s="212" customFormat="1" ht="12.75" customHeight="1" thickTop="1" thickBot="1" x14ac:dyDescent="0.25">
      <c r="A20" s="421"/>
      <c r="B20" s="195">
        <v>50</v>
      </c>
      <c r="C20" s="196">
        <v>20</v>
      </c>
      <c r="D20" s="196">
        <v>2</v>
      </c>
      <c r="E20" s="196">
        <v>1</v>
      </c>
      <c r="F20" s="196">
        <v>0</v>
      </c>
      <c r="G20" s="197">
        <v>2</v>
      </c>
      <c r="H20" s="198">
        <v>154</v>
      </c>
      <c r="I20" s="196">
        <v>78</v>
      </c>
      <c r="J20" s="196">
        <v>4</v>
      </c>
      <c r="K20" s="196">
        <v>0</v>
      </c>
      <c r="L20" s="196">
        <v>0</v>
      </c>
      <c r="M20" s="197">
        <v>0</v>
      </c>
      <c r="N20" s="198">
        <v>2</v>
      </c>
      <c r="O20" s="196">
        <v>12</v>
      </c>
      <c r="P20" s="196">
        <v>1</v>
      </c>
      <c r="Q20" s="196">
        <v>0</v>
      </c>
      <c r="R20" s="196">
        <v>0</v>
      </c>
      <c r="S20" s="197">
        <v>0</v>
      </c>
      <c r="T20" s="199" t="s">
        <v>57</v>
      </c>
      <c r="U20" s="200">
        <f>U21/1.2</f>
        <v>21758.333333333336</v>
      </c>
      <c r="V20" s="181"/>
      <c r="W20" s="422"/>
    </row>
    <row r="21" spans="1:23" s="212" customFormat="1" ht="12.75" customHeight="1" thickTop="1" thickBot="1" x14ac:dyDescent="0.25">
      <c r="A21" s="421"/>
      <c r="B21" s="201">
        <f>B20*B19</f>
        <v>2500</v>
      </c>
      <c r="C21" s="202">
        <f>C20*C19</f>
        <v>1500</v>
      </c>
      <c r="D21" s="202">
        <f>D20*D19</f>
        <v>220</v>
      </c>
      <c r="E21" s="202">
        <f>E20*E19</f>
        <v>125</v>
      </c>
      <c r="F21" s="202">
        <f>F20*F19</f>
        <v>0</v>
      </c>
      <c r="G21" s="203">
        <v>870</v>
      </c>
      <c r="H21" s="204">
        <f>H20*H19</f>
        <v>10780</v>
      </c>
      <c r="I21" s="205">
        <f>I20*I19</f>
        <v>7800</v>
      </c>
      <c r="J21" s="205">
        <f>J20*J19</f>
        <v>540</v>
      </c>
      <c r="K21" s="205">
        <f>K20*K19</f>
        <v>0</v>
      </c>
      <c r="L21" s="205">
        <f>L20*L19</f>
        <v>0</v>
      </c>
      <c r="M21" s="206">
        <v>0</v>
      </c>
      <c r="N21" s="204">
        <f>N20*N19</f>
        <v>180</v>
      </c>
      <c r="O21" s="205">
        <f>O20*O19</f>
        <v>1440</v>
      </c>
      <c r="P21" s="205">
        <f>P20*P19</f>
        <v>155</v>
      </c>
      <c r="Q21" s="205">
        <f>Q20*Q19</f>
        <v>0</v>
      </c>
      <c r="R21" s="205">
        <f>R20*R19</f>
        <v>0</v>
      </c>
      <c r="S21" s="206">
        <v>0</v>
      </c>
      <c r="T21" s="207" t="s">
        <v>58</v>
      </c>
      <c r="U21" s="208">
        <f>SUM(B21:G21,N21:S21:H21:M21)</f>
        <v>26110</v>
      </c>
      <c r="V21" s="211">
        <f>'GENEL HASILAT'!V10-U21</f>
        <v>0</v>
      </c>
      <c r="W21" s="423"/>
    </row>
    <row r="22" spans="1:23" s="212" customFormat="1" ht="12.75" customHeight="1" thickTop="1" thickBot="1" x14ac:dyDescent="0.25">
      <c r="A22" s="420">
        <f>'GENEL HASILAT'!A11</f>
        <v>45570</v>
      </c>
      <c r="B22" s="189">
        <f>$B$9</f>
        <v>50</v>
      </c>
      <c r="C22" s="190">
        <f>$C$9</f>
        <v>75</v>
      </c>
      <c r="D22" s="190">
        <f>$D$9</f>
        <v>110</v>
      </c>
      <c r="E22" s="190">
        <f>$E$9</f>
        <v>125</v>
      </c>
      <c r="F22" s="190">
        <f>$F$9</f>
        <v>175</v>
      </c>
      <c r="G22" s="191">
        <f>G24/G23</f>
        <v>725</v>
      </c>
      <c r="H22" s="192">
        <v>70</v>
      </c>
      <c r="I22" s="193">
        <v>100</v>
      </c>
      <c r="J22" s="193">
        <v>135</v>
      </c>
      <c r="K22" s="193">
        <v>160</v>
      </c>
      <c r="L22" s="193">
        <v>220</v>
      </c>
      <c r="M22" s="194" t="e">
        <f>M24/M23</f>
        <v>#DIV/0!</v>
      </c>
      <c r="N22" s="192">
        <f>$N$9</f>
        <v>90</v>
      </c>
      <c r="O22" s="193">
        <f>$O$9</f>
        <v>120</v>
      </c>
      <c r="P22" s="193">
        <f>$P$9</f>
        <v>155</v>
      </c>
      <c r="Q22" s="193">
        <f>$Q$9</f>
        <v>195</v>
      </c>
      <c r="R22" s="193">
        <f>$R$9</f>
        <v>265</v>
      </c>
      <c r="S22" s="194" t="e">
        <f>S24/S23</f>
        <v>#DIV/0!</v>
      </c>
      <c r="T22" s="182"/>
      <c r="U22" s="210"/>
      <c r="V22" s="181"/>
      <c r="W22" s="182"/>
    </row>
    <row r="23" spans="1:23" s="212" customFormat="1" ht="12.75" customHeight="1" thickTop="1" thickBot="1" x14ac:dyDescent="0.25">
      <c r="A23" s="421"/>
      <c r="B23" s="195">
        <v>74</v>
      </c>
      <c r="C23" s="196">
        <v>25</v>
      </c>
      <c r="D23" s="196">
        <v>5</v>
      </c>
      <c r="E23" s="196">
        <v>2</v>
      </c>
      <c r="F23" s="196">
        <v>2</v>
      </c>
      <c r="G23" s="197">
        <v>2</v>
      </c>
      <c r="H23" s="198">
        <v>205</v>
      </c>
      <c r="I23" s="196">
        <v>106</v>
      </c>
      <c r="J23" s="196">
        <v>10</v>
      </c>
      <c r="K23" s="196">
        <v>5</v>
      </c>
      <c r="L23" s="196">
        <v>0</v>
      </c>
      <c r="M23" s="197">
        <v>0</v>
      </c>
      <c r="N23" s="198">
        <v>3</v>
      </c>
      <c r="O23" s="196">
        <v>23</v>
      </c>
      <c r="P23" s="196">
        <v>6</v>
      </c>
      <c r="Q23" s="196">
        <v>0</v>
      </c>
      <c r="R23" s="196">
        <v>0</v>
      </c>
      <c r="S23" s="197">
        <v>0</v>
      </c>
      <c r="T23" s="199" t="s">
        <v>57</v>
      </c>
      <c r="U23" s="200">
        <f>U24/1.2</f>
        <v>32695.833333333336</v>
      </c>
      <c r="V23" s="181"/>
      <c r="W23" s="422"/>
    </row>
    <row r="24" spans="1:23" s="212" customFormat="1" ht="12.75" customHeight="1" thickTop="1" thickBot="1" x14ac:dyDescent="0.25">
      <c r="A24" s="421"/>
      <c r="B24" s="201">
        <f>B23*B22</f>
        <v>3700</v>
      </c>
      <c r="C24" s="202">
        <f>C23*C22</f>
        <v>1875</v>
      </c>
      <c r="D24" s="202">
        <f>D23*D22</f>
        <v>550</v>
      </c>
      <c r="E24" s="202">
        <f>E23*E22</f>
        <v>250</v>
      </c>
      <c r="F24" s="202">
        <f>F23*F22</f>
        <v>350</v>
      </c>
      <c r="G24" s="203">
        <v>1450</v>
      </c>
      <c r="H24" s="204">
        <f>H23*H22</f>
        <v>14350</v>
      </c>
      <c r="I24" s="205">
        <f>I23*I22</f>
        <v>10600</v>
      </c>
      <c r="J24" s="205">
        <f>J23*J22</f>
        <v>1350</v>
      </c>
      <c r="K24" s="205">
        <f>K23*K22</f>
        <v>800</v>
      </c>
      <c r="L24" s="205">
        <f>L23*L22</f>
        <v>0</v>
      </c>
      <c r="M24" s="206">
        <v>0</v>
      </c>
      <c r="N24" s="204">
        <f>N23*N22</f>
        <v>270</v>
      </c>
      <c r="O24" s="205">
        <f>O23*O22</f>
        <v>2760</v>
      </c>
      <c r="P24" s="205">
        <f>P23*P22</f>
        <v>930</v>
      </c>
      <c r="Q24" s="205">
        <f>Q23*Q22</f>
        <v>0</v>
      </c>
      <c r="R24" s="205">
        <f>R23*R22</f>
        <v>0</v>
      </c>
      <c r="S24" s="206">
        <v>0</v>
      </c>
      <c r="T24" s="207" t="s">
        <v>58</v>
      </c>
      <c r="U24" s="208">
        <f>SUM(B24:G24,N24:S24:H24:M24)</f>
        <v>39235</v>
      </c>
      <c r="V24" s="211">
        <f>'GENEL HASILAT'!V11-U24</f>
        <v>0</v>
      </c>
      <c r="W24" s="423"/>
    </row>
    <row r="25" spans="1:23" s="212" customFormat="1" ht="12.75" customHeight="1" thickTop="1" thickBot="1" x14ac:dyDescent="0.25">
      <c r="A25" s="420">
        <f>'GENEL HASILAT'!A12</f>
        <v>45571</v>
      </c>
      <c r="B25" s="189">
        <f>$B$9</f>
        <v>50</v>
      </c>
      <c r="C25" s="190">
        <f>$C$9</f>
        <v>75</v>
      </c>
      <c r="D25" s="190">
        <f>$D$9</f>
        <v>110</v>
      </c>
      <c r="E25" s="190">
        <f>$E$9</f>
        <v>125</v>
      </c>
      <c r="F25" s="190">
        <f>$F$9</f>
        <v>175</v>
      </c>
      <c r="G25" s="191">
        <f>G27/G26</f>
        <v>585</v>
      </c>
      <c r="H25" s="192">
        <v>70</v>
      </c>
      <c r="I25" s="193">
        <v>100</v>
      </c>
      <c r="J25" s="193">
        <v>135</v>
      </c>
      <c r="K25" s="193">
        <v>160</v>
      </c>
      <c r="L25" s="193">
        <v>220</v>
      </c>
      <c r="M25" s="194" t="e">
        <f>M27/M26</f>
        <v>#DIV/0!</v>
      </c>
      <c r="N25" s="192">
        <f>$N$9</f>
        <v>90</v>
      </c>
      <c r="O25" s="193">
        <f>$O$9</f>
        <v>120</v>
      </c>
      <c r="P25" s="193">
        <f>$P$9</f>
        <v>155</v>
      </c>
      <c r="Q25" s="193">
        <f>$Q$9</f>
        <v>195</v>
      </c>
      <c r="R25" s="193">
        <f>$R$9</f>
        <v>265</v>
      </c>
      <c r="S25" s="194">
        <f>S27/S26</f>
        <v>1250</v>
      </c>
      <c r="T25" s="182"/>
      <c r="U25" s="210"/>
      <c r="V25" s="181"/>
      <c r="W25" s="182"/>
    </row>
    <row r="26" spans="1:23" s="212" customFormat="1" ht="12.75" customHeight="1" thickTop="1" thickBot="1" x14ac:dyDescent="0.25">
      <c r="A26" s="421"/>
      <c r="B26" s="195">
        <f>55+18</f>
        <v>73</v>
      </c>
      <c r="C26" s="196">
        <v>26</v>
      </c>
      <c r="D26" s="196">
        <v>5</v>
      </c>
      <c r="E26" s="196">
        <v>4</v>
      </c>
      <c r="F26" s="196">
        <v>2</v>
      </c>
      <c r="G26" s="197">
        <v>6</v>
      </c>
      <c r="H26" s="198">
        <v>185</v>
      </c>
      <c r="I26" s="196">
        <f>11+83</f>
        <v>94</v>
      </c>
      <c r="J26" s="196">
        <f>3+18</f>
        <v>21</v>
      </c>
      <c r="K26" s="196">
        <v>2</v>
      </c>
      <c r="L26" s="196">
        <v>0</v>
      </c>
      <c r="M26" s="197">
        <v>0</v>
      </c>
      <c r="N26" s="198">
        <v>6</v>
      </c>
      <c r="O26" s="196">
        <v>47</v>
      </c>
      <c r="P26" s="196">
        <v>7</v>
      </c>
      <c r="Q26" s="196">
        <v>3</v>
      </c>
      <c r="R26" s="196">
        <v>0</v>
      </c>
      <c r="S26" s="197">
        <v>2</v>
      </c>
      <c r="T26" s="199" t="s">
        <v>57</v>
      </c>
      <c r="U26" s="200">
        <f>U27/1.2</f>
        <v>38637.5</v>
      </c>
      <c r="V26" s="181"/>
      <c r="W26" s="422"/>
    </row>
    <row r="27" spans="1:23" s="212" customFormat="1" ht="12.75" customHeight="1" thickTop="1" thickBot="1" x14ac:dyDescent="0.25">
      <c r="A27" s="421"/>
      <c r="B27" s="201">
        <f>B26*B25</f>
        <v>3650</v>
      </c>
      <c r="C27" s="202">
        <f>C26*C25</f>
        <v>1950</v>
      </c>
      <c r="D27" s="202">
        <f>D26*D25</f>
        <v>550</v>
      </c>
      <c r="E27" s="202">
        <f>E26*E25</f>
        <v>500</v>
      </c>
      <c r="F27" s="202">
        <f>F26*F25</f>
        <v>350</v>
      </c>
      <c r="G27" s="203">
        <f>300+350+475+700+810+875</f>
        <v>3510</v>
      </c>
      <c r="H27" s="204">
        <f>H26*H25</f>
        <v>12950</v>
      </c>
      <c r="I27" s="205">
        <f>I26*I25</f>
        <v>9400</v>
      </c>
      <c r="J27" s="205">
        <f>J26*J25</f>
        <v>2835</v>
      </c>
      <c r="K27" s="205">
        <f>K26*K25</f>
        <v>320</v>
      </c>
      <c r="L27" s="205">
        <f>L26*L25</f>
        <v>0</v>
      </c>
      <c r="M27" s="206">
        <v>0</v>
      </c>
      <c r="N27" s="204">
        <f>N26*N25</f>
        <v>540</v>
      </c>
      <c r="O27" s="205">
        <f>O26*O25</f>
        <v>5640</v>
      </c>
      <c r="P27" s="205">
        <f>P26*P25</f>
        <v>1085</v>
      </c>
      <c r="Q27" s="205">
        <f>Q26*Q25</f>
        <v>585</v>
      </c>
      <c r="R27" s="205">
        <f>R26*R25</f>
        <v>0</v>
      </c>
      <c r="S27" s="206">
        <v>2500</v>
      </c>
      <c r="T27" s="207" t="s">
        <v>58</v>
      </c>
      <c r="U27" s="213">
        <f>SUM(B27:G27,N27:S27:H27:M27)</f>
        <v>46365</v>
      </c>
      <c r="V27" s="211">
        <f>'GENEL HASILAT'!V12-U27</f>
        <v>0</v>
      </c>
      <c r="W27" s="423"/>
    </row>
    <row r="28" spans="1:23" s="212" customFormat="1" ht="12.75" customHeight="1" thickTop="1" thickBot="1" x14ac:dyDescent="0.25">
      <c r="A28" s="420">
        <f>'GENEL HASILAT'!A13</f>
        <v>45572</v>
      </c>
      <c r="B28" s="189">
        <f>$B$9</f>
        <v>50</v>
      </c>
      <c r="C28" s="190">
        <f>$C$9</f>
        <v>75</v>
      </c>
      <c r="D28" s="190">
        <f>$D$9</f>
        <v>110</v>
      </c>
      <c r="E28" s="190">
        <f>$E$9</f>
        <v>125</v>
      </c>
      <c r="F28" s="190">
        <f>$F$9</f>
        <v>175</v>
      </c>
      <c r="G28" s="191" t="e">
        <f>G30/G29</f>
        <v>#DIV/0!</v>
      </c>
      <c r="H28" s="192">
        <v>70</v>
      </c>
      <c r="I28" s="193">
        <v>100</v>
      </c>
      <c r="J28" s="193">
        <v>135</v>
      </c>
      <c r="K28" s="193">
        <v>160</v>
      </c>
      <c r="L28" s="193">
        <v>220</v>
      </c>
      <c r="M28" s="194" t="e">
        <f>M30/M29</f>
        <v>#DIV/0!</v>
      </c>
      <c r="N28" s="192">
        <f>$N$9</f>
        <v>90</v>
      </c>
      <c r="O28" s="193">
        <f>$O$9</f>
        <v>120</v>
      </c>
      <c r="P28" s="193">
        <f>$P$9</f>
        <v>155</v>
      </c>
      <c r="Q28" s="193">
        <f>$Q$9</f>
        <v>195</v>
      </c>
      <c r="R28" s="193">
        <f>$R$9</f>
        <v>265</v>
      </c>
      <c r="S28" s="194" t="e">
        <f>S30/S29</f>
        <v>#DIV/0!</v>
      </c>
      <c r="T28" s="182"/>
      <c r="U28" s="210"/>
      <c r="V28" s="181"/>
      <c r="W28" s="182"/>
    </row>
    <row r="29" spans="1:23" s="212" customFormat="1" ht="12.75" customHeight="1" thickTop="1" thickBot="1" x14ac:dyDescent="0.25">
      <c r="A29" s="421"/>
      <c r="B29" s="195">
        <v>34</v>
      </c>
      <c r="C29" s="196">
        <v>10</v>
      </c>
      <c r="D29" s="196">
        <v>3</v>
      </c>
      <c r="E29" s="196">
        <v>3</v>
      </c>
      <c r="F29" s="196">
        <v>1</v>
      </c>
      <c r="G29" s="197">
        <v>0</v>
      </c>
      <c r="H29" s="198">
        <v>131</v>
      </c>
      <c r="I29" s="196">
        <v>79</v>
      </c>
      <c r="J29" s="196">
        <v>19</v>
      </c>
      <c r="K29" s="196">
        <v>0</v>
      </c>
      <c r="L29" s="196">
        <v>0</v>
      </c>
      <c r="M29" s="197">
        <v>0</v>
      </c>
      <c r="N29" s="198">
        <v>1</v>
      </c>
      <c r="O29" s="196">
        <v>11</v>
      </c>
      <c r="P29" s="196">
        <v>2</v>
      </c>
      <c r="Q29" s="196">
        <v>0</v>
      </c>
      <c r="R29" s="196">
        <v>0</v>
      </c>
      <c r="S29" s="197">
        <v>0</v>
      </c>
      <c r="T29" s="199" t="s">
        <v>57</v>
      </c>
      <c r="U29" s="200">
        <f>U30/1.2</f>
        <v>20570.833333333336</v>
      </c>
      <c r="V29" s="181"/>
      <c r="W29" s="422"/>
    </row>
    <row r="30" spans="1:23" s="212" customFormat="1" ht="12.75" customHeight="1" thickTop="1" thickBot="1" x14ac:dyDescent="0.25">
      <c r="A30" s="421"/>
      <c r="B30" s="201">
        <f>B29*B28</f>
        <v>1700</v>
      </c>
      <c r="C30" s="202">
        <f>C29*C28</f>
        <v>750</v>
      </c>
      <c r="D30" s="202">
        <f>D29*D28</f>
        <v>330</v>
      </c>
      <c r="E30" s="202">
        <f>E29*E28</f>
        <v>375</v>
      </c>
      <c r="F30" s="202">
        <f>F29*F28</f>
        <v>175</v>
      </c>
      <c r="G30" s="203">
        <v>0</v>
      </c>
      <c r="H30" s="204">
        <f>H29*H28</f>
        <v>9170</v>
      </c>
      <c r="I30" s="205">
        <f>I29*I28</f>
        <v>7900</v>
      </c>
      <c r="J30" s="205">
        <f>J29*J28</f>
        <v>2565</v>
      </c>
      <c r="K30" s="205">
        <f>K29*K28</f>
        <v>0</v>
      </c>
      <c r="L30" s="205">
        <f>L29*L28</f>
        <v>0</v>
      </c>
      <c r="M30" s="206">
        <v>0</v>
      </c>
      <c r="N30" s="204">
        <f>N29*N28</f>
        <v>90</v>
      </c>
      <c r="O30" s="205">
        <f>O29*O28</f>
        <v>1320</v>
      </c>
      <c r="P30" s="205">
        <f>P29*P28</f>
        <v>310</v>
      </c>
      <c r="Q30" s="205">
        <f>Q29*Q28</f>
        <v>0</v>
      </c>
      <c r="R30" s="205">
        <f>R29*R28</f>
        <v>0</v>
      </c>
      <c r="S30" s="206">
        <v>0</v>
      </c>
      <c r="T30" s="207" t="s">
        <v>58</v>
      </c>
      <c r="U30" s="213">
        <f>SUM(B30:G30,N30:S30:H30:M30)</f>
        <v>24685</v>
      </c>
      <c r="V30" s="211">
        <f>'GENEL HASILAT'!V13-U30</f>
        <v>0</v>
      </c>
      <c r="W30" s="423"/>
    </row>
    <row r="31" spans="1:23" s="212" customFormat="1" ht="12.75" customHeight="1" thickTop="1" thickBot="1" x14ac:dyDescent="0.25">
      <c r="A31" s="420">
        <f>'GENEL HASILAT'!A14</f>
        <v>45573</v>
      </c>
      <c r="B31" s="189">
        <f>$B$9</f>
        <v>50</v>
      </c>
      <c r="C31" s="190">
        <f>$C$9</f>
        <v>75</v>
      </c>
      <c r="D31" s="190">
        <f>$D$9</f>
        <v>110</v>
      </c>
      <c r="E31" s="190">
        <f>$E$9</f>
        <v>125</v>
      </c>
      <c r="F31" s="190">
        <f>$F$9</f>
        <v>175</v>
      </c>
      <c r="G31" s="191">
        <f>G33/G32</f>
        <v>850</v>
      </c>
      <c r="H31" s="192">
        <v>70</v>
      </c>
      <c r="I31" s="193">
        <v>100</v>
      </c>
      <c r="J31" s="193">
        <v>135</v>
      </c>
      <c r="K31" s="193">
        <v>160</v>
      </c>
      <c r="L31" s="193">
        <v>220</v>
      </c>
      <c r="M31" s="194" t="e">
        <f>M33/M32</f>
        <v>#DIV/0!</v>
      </c>
      <c r="N31" s="192">
        <f>$N$9</f>
        <v>90</v>
      </c>
      <c r="O31" s="193">
        <f>$O$9</f>
        <v>120</v>
      </c>
      <c r="P31" s="193">
        <f>$P$9</f>
        <v>155</v>
      </c>
      <c r="Q31" s="193">
        <f>$Q$9</f>
        <v>195</v>
      </c>
      <c r="R31" s="193">
        <f>$R$9</f>
        <v>265</v>
      </c>
      <c r="S31" s="194" t="e">
        <f>S33/S32</f>
        <v>#DIV/0!</v>
      </c>
      <c r="T31" s="182"/>
      <c r="U31" s="210"/>
      <c r="V31" s="181"/>
      <c r="W31" s="182"/>
    </row>
    <row r="32" spans="1:23" s="212" customFormat="1" ht="12.75" customHeight="1" thickTop="1" thickBot="1" x14ac:dyDescent="0.25">
      <c r="A32" s="421"/>
      <c r="B32" s="195">
        <v>36</v>
      </c>
      <c r="C32" s="196">
        <v>10</v>
      </c>
      <c r="D32" s="196">
        <v>4</v>
      </c>
      <c r="E32" s="196">
        <v>3</v>
      </c>
      <c r="F32" s="196">
        <v>2</v>
      </c>
      <c r="G32" s="197">
        <v>3</v>
      </c>
      <c r="H32" s="198">
        <v>102</v>
      </c>
      <c r="I32" s="196">
        <v>71</v>
      </c>
      <c r="J32" s="196">
        <v>5</v>
      </c>
      <c r="K32" s="196">
        <v>3</v>
      </c>
      <c r="L32" s="196">
        <v>1</v>
      </c>
      <c r="M32" s="197">
        <v>0</v>
      </c>
      <c r="N32" s="198">
        <v>6</v>
      </c>
      <c r="O32" s="196">
        <v>13</v>
      </c>
      <c r="P32" s="196">
        <v>2</v>
      </c>
      <c r="Q32" s="196">
        <v>0</v>
      </c>
      <c r="R32" s="196">
        <v>0</v>
      </c>
      <c r="S32" s="197">
        <v>0</v>
      </c>
      <c r="T32" s="199" t="s">
        <v>57</v>
      </c>
      <c r="U32" s="200">
        <f>U33/1.2</f>
        <v>20241.666666666668</v>
      </c>
      <c r="V32" s="181"/>
      <c r="W32" s="422"/>
    </row>
    <row r="33" spans="1:23" s="212" customFormat="1" ht="12.75" customHeight="1" thickTop="1" thickBot="1" x14ac:dyDescent="0.25">
      <c r="A33" s="421"/>
      <c r="B33" s="201">
        <f>B32*B31</f>
        <v>1800</v>
      </c>
      <c r="C33" s="202">
        <f>C32*C31</f>
        <v>750</v>
      </c>
      <c r="D33" s="202">
        <f>D32*D31</f>
        <v>440</v>
      </c>
      <c r="E33" s="202">
        <f>E32*E31</f>
        <v>375</v>
      </c>
      <c r="F33" s="202">
        <f>F32*F31</f>
        <v>350</v>
      </c>
      <c r="G33" s="203">
        <v>2550</v>
      </c>
      <c r="H33" s="204">
        <f>H32*H31</f>
        <v>7140</v>
      </c>
      <c r="I33" s="205">
        <f>I32*I31</f>
        <v>7100</v>
      </c>
      <c r="J33" s="205">
        <f>J32*J31</f>
        <v>675</v>
      </c>
      <c r="K33" s="205">
        <f>K32*K31</f>
        <v>480</v>
      </c>
      <c r="L33" s="205">
        <f>L32*L31</f>
        <v>220</v>
      </c>
      <c r="M33" s="206">
        <v>0</v>
      </c>
      <c r="N33" s="204">
        <f>N32*N31</f>
        <v>540</v>
      </c>
      <c r="O33" s="205">
        <f>O32*O31</f>
        <v>1560</v>
      </c>
      <c r="P33" s="205">
        <f>P32*P31</f>
        <v>310</v>
      </c>
      <c r="Q33" s="205">
        <f>Q32*Q31</f>
        <v>0</v>
      </c>
      <c r="R33" s="205">
        <f>R32*R31</f>
        <v>0</v>
      </c>
      <c r="S33" s="206">
        <v>0</v>
      </c>
      <c r="T33" s="207" t="s">
        <v>58</v>
      </c>
      <c r="U33" s="213">
        <f>SUM(B33:G33,N33:S33:H33:M33)</f>
        <v>24290</v>
      </c>
      <c r="V33" s="211">
        <f>'GENEL HASILAT'!V14-U33</f>
        <v>0</v>
      </c>
      <c r="W33" s="423"/>
    </row>
    <row r="34" spans="1:23" s="212" customFormat="1" ht="12.75" customHeight="1" thickTop="1" thickBot="1" x14ac:dyDescent="0.25">
      <c r="A34" s="420">
        <f>'GENEL HASILAT'!A15</f>
        <v>45574</v>
      </c>
      <c r="B34" s="189">
        <f>$B$9</f>
        <v>50</v>
      </c>
      <c r="C34" s="190">
        <f>$C$9</f>
        <v>75</v>
      </c>
      <c r="D34" s="190">
        <f>$D$9</f>
        <v>110</v>
      </c>
      <c r="E34" s="190">
        <f>$E$9</f>
        <v>125</v>
      </c>
      <c r="F34" s="190">
        <f>$F$9</f>
        <v>175</v>
      </c>
      <c r="G34" s="191">
        <f>G36/G35</f>
        <v>1089.1666666666667</v>
      </c>
      <c r="H34" s="192">
        <v>70</v>
      </c>
      <c r="I34" s="193">
        <v>100</v>
      </c>
      <c r="J34" s="193">
        <v>135</v>
      </c>
      <c r="K34" s="193">
        <v>160</v>
      </c>
      <c r="L34" s="193">
        <v>220</v>
      </c>
      <c r="M34" s="194" t="e">
        <f>M36/M35</f>
        <v>#DIV/0!</v>
      </c>
      <c r="N34" s="192">
        <f>$N$9</f>
        <v>90</v>
      </c>
      <c r="O34" s="193">
        <f>$O$9</f>
        <v>120</v>
      </c>
      <c r="P34" s="193">
        <f>$P$9</f>
        <v>155</v>
      </c>
      <c r="Q34" s="193">
        <f>$Q$9</f>
        <v>195</v>
      </c>
      <c r="R34" s="193">
        <f>$R$9</f>
        <v>265</v>
      </c>
      <c r="S34" s="194" t="e">
        <f>S36/S35</f>
        <v>#DIV/0!</v>
      </c>
      <c r="T34" s="182"/>
      <c r="U34" s="210"/>
      <c r="V34" s="181"/>
      <c r="W34" s="182"/>
    </row>
    <row r="35" spans="1:23" s="212" customFormat="1" ht="12.75" customHeight="1" thickTop="1" thickBot="1" x14ac:dyDescent="0.25">
      <c r="A35" s="421"/>
      <c r="B35" s="195">
        <v>66</v>
      </c>
      <c r="C35" s="196">
        <v>20</v>
      </c>
      <c r="D35" s="196">
        <v>1</v>
      </c>
      <c r="E35" s="196">
        <v>8</v>
      </c>
      <c r="F35" s="196">
        <v>1</v>
      </c>
      <c r="G35" s="197">
        <v>6</v>
      </c>
      <c r="H35" s="198">
        <v>151</v>
      </c>
      <c r="I35" s="196">
        <v>87</v>
      </c>
      <c r="J35" s="196">
        <v>7</v>
      </c>
      <c r="K35" s="196">
        <v>1</v>
      </c>
      <c r="L35" s="196">
        <v>1</v>
      </c>
      <c r="M35" s="197">
        <v>0</v>
      </c>
      <c r="N35" s="198">
        <v>3</v>
      </c>
      <c r="O35" s="196">
        <v>19</v>
      </c>
      <c r="P35" s="196">
        <v>3</v>
      </c>
      <c r="Q35" s="196">
        <v>0</v>
      </c>
      <c r="R35" s="196">
        <v>0</v>
      </c>
      <c r="S35" s="197">
        <v>0</v>
      </c>
      <c r="T35" s="199" t="s">
        <v>57</v>
      </c>
      <c r="U35" s="200">
        <f>U36/1.2</f>
        <v>30191.666666666668</v>
      </c>
      <c r="V35" s="181"/>
      <c r="W35" s="422"/>
    </row>
    <row r="36" spans="1:23" s="212" customFormat="1" ht="12.75" customHeight="1" thickTop="1" thickBot="1" x14ac:dyDescent="0.25">
      <c r="A36" s="421"/>
      <c r="B36" s="201">
        <f>B35*B34</f>
        <v>3300</v>
      </c>
      <c r="C36" s="202">
        <f>C35*C34</f>
        <v>1500</v>
      </c>
      <c r="D36" s="202">
        <f>D35*D34</f>
        <v>110</v>
      </c>
      <c r="E36" s="202">
        <f>E35*E34</f>
        <v>1000</v>
      </c>
      <c r="F36" s="202">
        <f>F35*F34</f>
        <v>175</v>
      </c>
      <c r="G36" s="203">
        <v>6535</v>
      </c>
      <c r="H36" s="204">
        <f>H35*H34</f>
        <v>10570</v>
      </c>
      <c r="I36" s="205">
        <f>I35*I34</f>
        <v>8700</v>
      </c>
      <c r="J36" s="205">
        <f>J35*J34</f>
        <v>945</v>
      </c>
      <c r="K36" s="205">
        <f>K35*K34</f>
        <v>160</v>
      </c>
      <c r="L36" s="205">
        <f>L35*L34</f>
        <v>220</v>
      </c>
      <c r="M36" s="206">
        <v>0</v>
      </c>
      <c r="N36" s="204">
        <f>N35*N34</f>
        <v>270</v>
      </c>
      <c r="O36" s="205">
        <f>O35*O34</f>
        <v>2280</v>
      </c>
      <c r="P36" s="205">
        <f>P35*P34</f>
        <v>465</v>
      </c>
      <c r="Q36" s="205">
        <f>Q35*Q34</f>
        <v>0</v>
      </c>
      <c r="R36" s="205">
        <f>R35*R34</f>
        <v>0</v>
      </c>
      <c r="S36" s="206">
        <v>0</v>
      </c>
      <c r="T36" s="207" t="s">
        <v>58</v>
      </c>
      <c r="U36" s="213">
        <f>SUM(B36:G36,N36:S36:H36:M36)</f>
        <v>36230</v>
      </c>
      <c r="V36" s="211">
        <f>'GENEL HASILAT'!V15-U36</f>
        <v>0</v>
      </c>
      <c r="W36" s="423"/>
    </row>
    <row r="37" spans="1:23" s="212" customFormat="1" ht="12.75" customHeight="1" thickTop="1" thickBot="1" x14ac:dyDescent="0.25">
      <c r="A37" s="420">
        <f>'GENEL HASILAT'!A16</f>
        <v>45575</v>
      </c>
      <c r="B37" s="189">
        <f>$B$9</f>
        <v>50</v>
      </c>
      <c r="C37" s="190">
        <f>$C$9</f>
        <v>75</v>
      </c>
      <c r="D37" s="190">
        <f>$D$9</f>
        <v>110</v>
      </c>
      <c r="E37" s="190">
        <f>$E$9</f>
        <v>125</v>
      </c>
      <c r="F37" s="190">
        <f>$F$9</f>
        <v>175</v>
      </c>
      <c r="G37" s="191">
        <f>G39/G38</f>
        <v>603.33333333333337</v>
      </c>
      <c r="H37" s="192">
        <v>70</v>
      </c>
      <c r="I37" s="193">
        <v>100</v>
      </c>
      <c r="J37" s="193">
        <v>135</v>
      </c>
      <c r="K37" s="193">
        <v>160</v>
      </c>
      <c r="L37" s="193">
        <v>220</v>
      </c>
      <c r="M37" s="194" t="e">
        <f>M39/M38</f>
        <v>#DIV/0!</v>
      </c>
      <c r="N37" s="192">
        <f>$N$9</f>
        <v>90</v>
      </c>
      <c r="O37" s="193">
        <f>$O$9</f>
        <v>120</v>
      </c>
      <c r="P37" s="193">
        <f>$P$9</f>
        <v>155</v>
      </c>
      <c r="Q37" s="193">
        <f>$Q$9</f>
        <v>195</v>
      </c>
      <c r="R37" s="193">
        <f>$R$9</f>
        <v>265</v>
      </c>
      <c r="S37" s="194" t="e">
        <f>S39/S38</f>
        <v>#DIV/0!</v>
      </c>
      <c r="T37" s="182"/>
      <c r="U37" s="210"/>
      <c r="V37" s="181"/>
      <c r="W37" s="182"/>
    </row>
    <row r="38" spans="1:23" s="212" customFormat="1" ht="12.75" customHeight="1" thickTop="1" thickBot="1" x14ac:dyDescent="0.25">
      <c r="A38" s="421"/>
      <c r="B38" s="195">
        <v>35</v>
      </c>
      <c r="C38" s="196">
        <v>17</v>
      </c>
      <c r="D38" s="196">
        <v>6</v>
      </c>
      <c r="E38" s="196">
        <v>1</v>
      </c>
      <c r="F38" s="196">
        <v>3</v>
      </c>
      <c r="G38" s="197">
        <v>3</v>
      </c>
      <c r="H38" s="198">
        <v>115</v>
      </c>
      <c r="I38" s="196">
        <v>84</v>
      </c>
      <c r="J38" s="196">
        <v>7</v>
      </c>
      <c r="K38" s="196">
        <v>1</v>
      </c>
      <c r="L38" s="196">
        <v>1</v>
      </c>
      <c r="M38" s="197">
        <v>0</v>
      </c>
      <c r="N38" s="198">
        <v>10</v>
      </c>
      <c r="O38" s="196">
        <v>37</v>
      </c>
      <c r="P38" s="196">
        <v>3</v>
      </c>
      <c r="Q38" s="196">
        <v>0</v>
      </c>
      <c r="R38" s="196">
        <v>0</v>
      </c>
      <c r="S38" s="197">
        <v>0</v>
      </c>
      <c r="T38" s="199" t="s">
        <v>57</v>
      </c>
      <c r="U38" s="200">
        <f>U39/1.2</f>
        <v>24770.833333333336</v>
      </c>
      <c r="V38" s="181"/>
      <c r="W38" s="422"/>
    </row>
    <row r="39" spans="1:23" s="212" customFormat="1" ht="12.75" customHeight="1" thickTop="1" thickBot="1" x14ac:dyDescent="0.25">
      <c r="A39" s="421"/>
      <c r="B39" s="201">
        <f>B38*B37</f>
        <v>1750</v>
      </c>
      <c r="C39" s="202">
        <f>C38*C37</f>
        <v>1275</v>
      </c>
      <c r="D39" s="202">
        <f>D38*D37</f>
        <v>660</v>
      </c>
      <c r="E39" s="202">
        <f>E38*E37</f>
        <v>125</v>
      </c>
      <c r="F39" s="202">
        <f>F38*F37</f>
        <v>525</v>
      </c>
      <c r="G39" s="203">
        <f>475+525+810</f>
        <v>1810</v>
      </c>
      <c r="H39" s="204">
        <f>H38*H37</f>
        <v>8050</v>
      </c>
      <c r="I39" s="205">
        <f>I38*I37</f>
        <v>8400</v>
      </c>
      <c r="J39" s="205">
        <f>J38*J37</f>
        <v>945</v>
      </c>
      <c r="K39" s="205">
        <f>K38*K37</f>
        <v>160</v>
      </c>
      <c r="L39" s="205">
        <f>L38*L37</f>
        <v>220</v>
      </c>
      <c r="M39" s="206">
        <v>0</v>
      </c>
      <c r="N39" s="204">
        <f>N38*N37</f>
        <v>900</v>
      </c>
      <c r="O39" s="205">
        <f>O38*O37</f>
        <v>4440</v>
      </c>
      <c r="P39" s="205">
        <f>P38*P37</f>
        <v>465</v>
      </c>
      <c r="Q39" s="205">
        <f>Q38*Q37</f>
        <v>0</v>
      </c>
      <c r="R39" s="205">
        <f>R38*R37</f>
        <v>0</v>
      </c>
      <c r="S39" s="206">
        <v>0</v>
      </c>
      <c r="T39" s="207" t="s">
        <v>58</v>
      </c>
      <c r="U39" s="213">
        <f>SUM(B39:G39,N39:S39:H39:M39)</f>
        <v>29725</v>
      </c>
      <c r="V39" s="211">
        <f>'GENEL HASILAT'!V16-U39</f>
        <v>0</v>
      </c>
      <c r="W39" s="423"/>
    </row>
    <row r="40" spans="1:23" s="212" customFormat="1" ht="12.75" customHeight="1" thickTop="1" thickBot="1" x14ac:dyDescent="0.25">
      <c r="A40" s="420">
        <f>'GENEL HASILAT'!A17</f>
        <v>45576</v>
      </c>
      <c r="B40" s="189">
        <f>$B$9</f>
        <v>50</v>
      </c>
      <c r="C40" s="190">
        <f>$C$9</f>
        <v>75</v>
      </c>
      <c r="D40" s="190">
        <f>$D$9</f>
        <v>110</v>
      </c>
      <c r="E40" s="190">
        <f>$E$9</f>
        <v>125</v>
      </c>
      <c r="F40" s="190">
        <f>$F$9</f>
        <v>175</v>
      </c>
      <c r="G40" s="191">
        <f>G42/G41</f>
        <v>940</v>
      </c>
      <c r="H40" s="192">
        <v>70</v>
      </c>
      <c r="I40" s="193">
        <v>100</v>
      </c>
      <c r="J40" s="193">
        <v>135</v>
      </c>
      <c r="K40" s="193">
        <v>160</v>
      </c>
      <c r="L40" s="193">
        <v>220</v>
      </c>
      <c r="M40" s="194" t="e">
        <f>M42/M41</f>
        <v>#DIV/0!</v>
      </c>
      <c r="N40" s="192">
        <f>$N$9</f>
        <v>90</v>
      </c>
      <c r="O40" s="193">
        <f>$O$9</f>
        <v>120</v>
      </c>
      <c r="P40" s="193">
        <f>$P$9</f>
        <v>155</v>
      </c>
      <c r="Q40" s="193">
        <f>$Q$9</f>
        <v>195</v>
      </c>
      <c r="R40" s="193">
        <f>$R$9</f>
        <v>265</v>
      </c>
      <c r="S40" s="194" t="e">
        <f>S42/S41</f>
        <v>#DIV/0!</v>
      </c>
      <c r="T40" s="182"/>
      <c r="U40" s="210"/>
      <c r="V40" s="181"/>
      <c r="W40" s="182"/>
    </row>
    <row r="41" spans="1:23" s="212" customFormat="1" ht="12.75" customHeight="1" thickTop="1" thickBot="1" x14ac:dyDescent="0.25">
      <c r="A41" s="421"/>
      <c r="B41" s="195">
        <v>39</v>
      </c>
      <c r="C41" s="196">
        <v>12</v>
      </c>
      <c r="D41" s="196">
        <v>2</v>
      </c>
      <c r="E41" s="196">
        <v>2</v>
      </c>
      <c r="F41" s="196">
        <v>1</v>
      </c>
      <c r="G41" s="197">
        <v>4</v>
      </c>
      <c r="H41" s="198">
        <v>114</v>
      </c>
      <c r="I41" s="196">
        <v>84</v>
      </c>
      <c r="J41" s="196">
        <v>5</v>
      </c>
      <c r="K41" s="196">
        <v>1</v>
      </c>
      <c r="L41" s="196">
        <v>0</v>
      </c>
      <c r="M41" s="197">
        <v>0</v>
      </c>
      <c r="N41" s="198">
        <v>3</v>
      </c>
      <c r="O41" s="196">
        <v>19</v>
      </c>
      <c r="P41" s="196">
        <v>2</v>
      </c>
      <c r="Q41" s="196">
        <v>0</v>
      </c>
      <c r="R41" s="196">
        <v>0</v>
      </c>
      <c r="S41" s="197">
        <v>0</v>
      </c>
      <c r="T41" s="199" t="s">
        <v>57</v>
      </c>
      <c r="U41" s="200">
        <f>U42/1.2</f>
        <v>22775</v>
      </c>
      <c r="V41" s="181"/>
      <c r="W41" s="422"/>
    </row>
    <row r="42" spans="1:23" s="212" customFormat="1" ht="12.75" customHeight="1" thickTop="1" thickBot="1" x14ac:dyDescent="0.25">
      <c r="A42" s="421"/>
      <c r="B42" s="201">
        <f>B41*B40</f>
        <v>1950</v>
      </c>
      <c r="C42" s="202">
        <f>C41*C40</f>
        <v>900</v>
      </c>
      <c r="D42" s="202">
        <f>D41*D40</f>
        <v>220</v>
      </c>
      <c r="E42" s="202">
        <f>E41*E40</f>
        <v>250</v>
      </c>
      <c r="F42" s="202">
        <f>F41*F40</f>
        <v>175</v>
      </c>
      <c r="G42" s="203">
        <v>3760</v>
      </c>
      <c r="H42" s="204">
        <f>H41*H40</f>
        <v>7980</v>
      </c>
      <c r="I42" s="205">
        <f>I41*I40</f>
        <v>8400</v>
      </c>
      <c r="J42" s="205">
        <f>J41*J40</f>
        <v>675</v>
      </c>
      <c r="K42" s="205">
        <f>K41*K40</f>
        <v>160</v>
      </c>
      <c r="L42" s="205">
        <f>L41*L40</f>
        <v>0</v>
      </c>
      <c r="M42" s="206">
        <v>0</v>
      </c>
      <c r="N42" s="204">
        <f>N41*N40</f>
        <v>270</v>
      </c>
      <c r="O42" s="205">
        <f>O41*O40</f>
        <v>2280</v>
      </c>
      <c r="P42" s="205">
        <f>P41*P40</f>
        <v>310</v>
      </c>
      <c r="Q42" s="205">
        <f>Q41*Q40</f>
        <v>0</v>
      </c>
      <c r="R42" s="205">
        <f>R41*R40</f>
        <v>0</v>
      </c>
      <c r="S42" s="206">
        <v>0</v>
      </c>
      <c r="T42" s="207" t="s">
        <v>58</v>
      </c>
      <c r="U42" s="213">
        <f>SUM(B42:G42,N42:S42:H42:M42)</f>
        <v>27330</v>
      </c>
      <c r="V42" s="211">
        <f>'GENEL HASILAT'!V17-U42</f>
        <v>0</v>
      </c>
      <c r="W42" s="423"/>
    </row>
    <row r="43" spans="1:23" s="212" customFormat="1" ht="12.75" customHeight="1" thickTop="1" thickBot="1" x14ac:dyDescent="0.25">
      <c r="A43" s="420">
        <f>'GENEL HASILAT'!A18</f>
        <v>45577</v>
      </c>
      <c r="B43" s="189">
        <f>$B$9</f>
        <v>50</v>
      </c>
      <c r="C43" s="190">
        <f>$C$9</f>
        <v>75</v>
      </c>
      <c r="D43" s="190">
        <f>$D$9</f>
        <v>110</v>
      </c>
      <c r="E43" s="190">
        <f>$E$9</f>
        <v>125</v>
      </c>
      <c r="F43" s="190">
        <f>$F$9</f>
        <v>175</v>
      </c>
      <c r="G43" s="191">
        <f>G45/G44</f>
        <v>650</v>
      </c>
      <c r="H43" s="192">
        <v>70</v>
      </c>
      <c r="I43" s="193">
        <v>100</v>
      </c>
      <c r="J43" s="193">
        <v>135</v>
      </c>
      <c r="K43" s="193">
        <v>160</v>
      </c>
      <c r="L43" s="193">
        <v>220</v>
      </c>
      <c r="M43" s="194" t="e">
        <f>M45/M44</f>
        <v>#DIV/0!</v>
      </c>
      <c r="N43" s="192">
        <f>$N$9</f>
        <v>90</v>
      </c>
      <c r="O43" s="193">
        <f>$O$9</f>
        <v>120</v>
      </c>
      <c r="P43" s="193">
        <f>$P$9</f>
        <v>155</v>
      </c>
      <c r="Q43" s="193">
        <f>$Q$9</f>
        <v>195</v>
      </c>
      <c r="R43" s="193">
        <f>$R$9</f>
        <v>265</v>
      </c>
      <c r="S43" s="194" t="e">
        <f>S45/S44</f>
        <v>#DIV/0!</v>
      </c>
      <c r="T43" s="182"/>
      <c r="U43" s="210"/>
      <c r="V43" s="181"/>
      <c r="W43" s="182"/>
    </row>
    <row r="44" spans="1:23" s="212" customFormat="1" ht="12.75" customHeight="1" thickTop="1" thickBot="1" x14ac:dyDescent="0.25">
      <c r="A44" s="421"/>
      <c r="B44" s="195">
        <v>57</v>
      </c>
      <c r="C44" s="196">
        <v>23</v>
      </c>
      <c r="D44" s="196">
        <v>5</v>
      </c>
      <c r="E44" s="196">
        <v>3</v>
      </c>
      <c r="F44" s="196">
        <v>1</v>
      </c>
      <c r="G44" s="197">
        <v>2</v>
      </c>
      <c r="H44" s="198">
        <v>174</v>
      </c>
      <c r="I44" s="196">
        <v>98</v>
      </c>
      <c r="J44" s="196">
        <v>4</v>
      </c>
      <c r="K44" s="196">
        <v>1</v>
      </c>
      <c r="L44" s="196">
        <v>0</v>
      </c>
      <c r="M44" s="197">
        <v>0</v>
      </c>
      <c r="N44" s="198">
        <v>4</v>
      </c>
      <c r="O44" s="196">
        <v>26</v>
      </c>
      <c r="P44" s="196">
        <v>1</v>
      </c>
      <c r="Q44" s="196">
        <v>1</v>
      </c>
      <c r="R44" s="196">
        <v>0</v>
      </c>
      <c r="S44" s="197">
        <v>0</v>
      </c>
      <c r="T44" s="199" t="s">
        <v>57</v>
      </c>
      <c r="U44" s="200">
        <f>U45/1.2</f>
        <v>27904.166666666668</v>
      </c>
      <c r="V44" s="181"/>
      <c r="W44" s="422"/>
    </row>
    <row r="45" spans="1:23" s="212" customFormat="1" ht="12.75" customHeight="1" thickTop="1" thickBot="1" x14ac:dyDescent="0.25">
      <c r="A45" s="421"/>
      <c r="B45" s="201">
        <f>B44*B43</f>
        <v>2850</v>
      </c>
      <c r="C45" s="202">
        <f>C44*C43</f>
        <v>1725</v>
      </c>
      <c r="D45" s="202">
        <f>D44*D43</f>
        <v>550</v>
      </c>
      <c r="E45" s="202">
        <f>E44*E43</f>
        <v>375</v>
      </c>
      <c r="F45" s="202">
        <f>F44*F43</f>
        <v>175</v>
      </c>
      <c r="G45" s="203">
        <v>1300</v>
      </c>
      <c r="H45" s="204">
        <f>H44*H43</f>
        <v>12180</v>
      </c>
      <c r="I45" s="205">
        <f>I44*I43</f>
        <v>9800</v>
      </c>
      <c r="J45" s="205">
        <f>J44*J43</f>
        <v>540</v>
      </c>
      <c r="K45" s="205">
        <f>K44*K43</f>
        <v>160</v>
      </c>
      <c r="L45" s="205">
        <f>L44*L43</f>
        <v>0</v>
      </c>
      <c r="M45" s="206">
        <v>0</v>
      </c>
      <c r="N45" s="204">
        <f>N44*N43</f>
        <v>360</v>
      </c>
      <c r="O45" s="205">
        <f>O44*O43</f>
        <v>3120</v>
      </c>
      <c r="P45" s="205">
        <f>P44*P43</f>
        <v>155</v>
      </c>
      <c r="Q45" s="205">
        <f>Q44*Q43</f>
        <v>195</v>
      </c>
      <c r="R45" s="205">
        <f>R44*R43</f>
        <v>0</v>
      </c>
      <c r="S45" s="206">
        <v>0</v>
      </c>
      <c r="T45" s="207" t="s">
        <v>58</v>
      </c>
      <c r="U45" s="213">
        <f>SUM(B45:G45,N45:S45:H45:M45)</f>
        <v>33485</v>
      </c>
      <c r="V45" s="211">
        <f>'GENEL HASILAT'!V18-U45</f>
        <v>0</v>
      </c>
      <c r="W45" s="423"/>
    </row>
    <row r="46" spans="1:23" s="212" customFormat="1" ht="12.75" customHeight="1" thickTop="1" thickBot="1" x14ac:dyDescent="0.25">
      <c r="A46" s="420">
        <f>'GENEL HASILAT'!A19</f>
        <v>45578</v>
      </c>
      <c r="B46" s="189">
        <f>$B$9</f>
        <v>50</v>
      </c>
      <c r="C46" s="190">
        <f>$C$9</f>
        <v>75</v>
      </c>
      <c r="D46" s="190">
        <f>$D$9</f>
        <v>110</v>
      </c>
      <c r="E46" s="190">
        <f>$E$9</f>
        <v>125</v>
      </c>
      <c r="F46" s="190">
        <f>$F$9</f>
        <v>175</v>
      </c>
      <c r="G46" s="191">
        <f>G48/G47</f>
        <v>525</v>
      </c>
      <c r="H46" s="192">
        <v>70</v>
      </c>
      <c r="I46" s="193">
        <v>100</v>
      </c>
      <c r="J46" s="193">
        <v>135</v>
      </c>
      <c r="K46" s="193">
        <v>160</v>
      </c>
      <c r="L46" s="193">
        <v>220</v>
      </c>
      <c r="M46" s="194" t="e">
        <f>M48/M47</f>
        <v>#DIV/0!</v>
      </c>
      <c r="N46" s="192">
        <f>$N$9</f>
        <v>90</v>
      </c>
      <c r="O46" s="193">
        <f>$O$9</f>
        <v>120</v>
      </c>
      <c r="P46" s="193">
        <f>$P$9</f>
        <v>155</v>
      </c>
      <c r="Q46" s="193">
        <f>$Q$9</f>
        <v>195</v>
      </c>
      <c r="R46" s="193">
        <f>$R$9</f>
        <v>265</v>
      </c>
      <c r="S46" s="194" t="e">
        <f>S48/S47</f>
        <v>#DIV/0!</v>
      </c>
      <c r="T46" s="182"/>
      <c r="U46" s="210"/>
      <c r="V46" s="181"/>
      <c r="W46" s="182"/>
    </row>
    <row r="47" spans="1:23" s="212" customFormat="1" ht="12.75" customHeight="1" thickTop="1" thickBot="1" x14ac:dyDescent="0.25">
      <c r="A47" s="421"/>
      <c r="B47" s="195">
        <v>54</v>
      </c>
      <c r="C47" s="196">
        <v>17</v>
      </c>
      <c r="D47" s="196">
        <v>4</v>
      </c>
      <c r="E47" s="196">
        <v>2</v>
      </c>
      <c r="F47" s="196">
        <v>3</v>
      </c>
      <c r="G47" s="197">
        <v>1</v>
      </c>
      <c r="H47" s="198">
        <v>166</v>
      </c>
      <c r="I47" s="196">
        <v>108</v>
      </c>
      <c r="J47" s="196">
        <v>19</v>
      </c>
      <c r="K47" s="196">
        <v>2</v>
      </c>
      <c r="L47" s="196">
        <v>0</v>
      </c>
      <c r="M47" s="197">
        <v>0</v>
      </c>
      <c r="N47" s="198">
        <v>22</v>
      </c>
      <c r="O47" s="196">
        <v>43</v>
      </c>
      <c r="P47" s="196">
        <v>7</v>
      </c>
      <c r="Q47" s="196">
        <v>1</v>
      </c>
      <c r="R47" s="196">
        <v>0</v>
      </c>
      <c r="S47" s="197">
        <v>0</v>
      </c>
      <c r="T47" s="199" t="s">
        <v>57</v>
      </c>
      <c r="U47" s="200">
        <f>U48/1.2</f>
        <v>32866.666666666672</v>
      </c>
      <c r="V47" s="181"/>
      <c r="W47" s="422"/>
    </row>
    <row r="48" spans="1:23" s="212" customFormat="1" ht="12.75" customHeight="1" thickTop="1" thickBot="1" x14ac:dyDescent="0.25">
      <c r="A48" s="421"/>
      <c r="B48" s="201">
        <f>B47*B46</f>
        <v>2700</v>
      </c>
      <c r="C48" s="202">
        <f>C47*C46</f>
        <v>1275</v>
      </c>
      <c r="D48" s="202">
        <f>D47*D46</f>
        <v>440</v>
      </c>
      <c r="E48" s="202">
        <f>E47*E46</f>
        <v>250</v>
      </c>
      <c r="F48" s="202">
        <f>F47*F46</f>
        <v>525</v>
      </c>
      <c r="G48" s="203">
        <v>525</v>
      </c>
      <c r="H48" s="204">
        <f>H47*H46</f>
        <v>11620</v>
      </c>
      <c r="I48" s="205">
        <f>I47*I46</f>
        <v>10800</v>
      </c>
      <c r="J48" s="205">
        <f>J47*J46</f>
        <v>2565</v>
      </c>
      <c r="K48" s="205">
        <f>K47*K46</f>
        <v>320</v>
      </c>
      <c r="L48" s="205">
        <f>L47*L46</f>
        <v>0</v>
      </c>
      <c r="M48" s="206">
        <v>0</v>
      </c>
      <c r="N48" s="204">
        <f>N47*N46</f>
        <v>1980</v>
      </c>
      <c r="O48" s="205">
        <f>O47*O46</f>
        <v>5160</v>
      </c>
      <c r="P48" s="205">
        <f>P47*P46</f>
        <v>1085</v>
      </c>
      <c r="Q48" s="205">
        <f>Q47*Q46</f>
        <v>195</v>
      </c>
      <c r="R48" s="205">
        <f>R47*R46</f>
        <v>0</v>
      </c>
      <c r="S48" s="206">
        <v>0</v>
      </c>
      <c r="T48" s="207" t="s">
        <v>58</v>
      </c>
      <c r="U48" s="213">
        <f>SUM(B48:G48,N48:S48:H48:M48)</f>
        <v>39440</v>
      </c>
      <c r="V48" s="211">
        <f>'GENEL HASILAT'!V19-U48</f>
        <v>0</v>
      </c>
      <c r="W48" s="423"/>
    </row>
    <row r="49" spans="1:23" s="212" customFormat="1" ht="12.75" customHeight="1" thickTop="1" thickBot="1" x14ac:dyDescent="0.25">
      <c r="A49" s="420">
        <f>'GENEL HASILAT'!A20</f>
        <v>45579</v>
      </c>
      <c r="B49" s="189">
        <f>$B$9</f>
        <v>50</v>
      </c>
      <c r="C49" s="190">
        <f>$C$9</f>
        <v>75</v>
      </c>
      <c r="D49" s="190">
        <f>$D$9</f>
        <v>110</v>
      </c>
      <c r="E49" s="190">
        <f>$E$9</f>
        <v>125</v>
      </c>
      <c r="F49" s="190">
        <f>$F$9</f>
        <v>175</v>
      </c>
      <c r="G49" s="191">
        <f>G51/G50</f>
        <v>1068.75</v>
      </c>
      <c r="H49" s="192">
        <v>70</v>
      </c>
      <c r="I49" s="193">
        <v>100</v>
      </c>
      <c r="J49" s="193">
        <v>135</v>
      </c>
      <c r="K49" s="193">
        <v>160</v>
      </c>
      <c r="L49" s="193">
        <v>220</v>
      </c>
      <c r="M49" s="194" t="e">
        <f>M51/M50</f>
        <v>#DIV/0!</v>
      </c>
      <c r="N49" s="192">
        <f>$N$9</f>
        <v>90</v>
      </c>
      <c r="O49" s="193">
        <f>$O$9</f>
        <v>120</v>
      </c>
      <c r="P49" s="193">
        <f>$P$9</f>
        <v>155</v>
      </c>
      <c r="Q49" s="193">
        <f>$Q$9</f>
        <v>195</v>
      </c>
      <c r="R49" s="193">
        <f>$R$9</f>
        <v>265</v>
      </c>
      <c r="S49" s="194" t="e">
        <f>S51/S50</f>
        <v>#DIV/0!</v>
      </c>
      <c r="T49" s="182"/>
      <c r="U49" s="210"/>
      <c r="V49" s="181"/>
      <c r="W49" s="182"/>
    </row>
    <row r="50" spans="1:23" s="212" customFormat="1" ht="12.75" customHeight="1" thickTop="1" thickBot="1" x14ac:dyDescent="0.25">
      <c r="A50" s="421"/>
      <c r="B50" s="195">
        <v>30</v>
      </c>
      <c r="C50" s="196">
        <v>13</v>
      </c>
      <c r="D50" s="196">
        <v>1</v>
      </c>
      <c r="E50" s="196">
        <v>4</v>
      </c>
      <c r="F50" s="196">
        <v>1</v>
      </c>
      <c r="G50" s="197">
        <v>4</v>
      </c>
      <c r="H50" s="198">
        <v>118</v>
      </c>
      <c r="I50" s="196">
        <v>87</v>
      </c>
      <c r="J50" s="196">
        <v>5</v>
      </c>
      <c r="K50" s="196">
        <v>3</v>
      </c>
      <c r="L50" s="196">
        <v>0</v>
      </c>
      <c r="M50" s="197">
        <v>0</v>
      </c>
      <c r="N50" s="198">
        <v>6</v>
      </c>
      <c r="O50" s="196">
        <v>17</v>
      </c>
      <c r="P50" s="196">
        <v>2</v>
      </c>
      <c r="Q50" s="196">
        <v>0</v>
      </c>
      <c r="R50" s="196">
        <v>0</v>
      </c>
      <c r="S50" s="197">
        <v>0</v>
      </c>
      <c r="T50" s="199" t="s">
        <v>57</v>
      </c>
      <c r="U50" s="200">
        <f>U51/1.2</f>
        <v>23783.333333333336</v>
      </c>
      <c r="V50" s="181"/>
      <c r="W50" s="422"/>
    </row>
    <row r="51" spans="1:23" s="212" customFormat="1" ht="12.75" customHeight="1" thickTop="1" thickBot="1" x14ac:dyDescent="0.25">
      <c r="A51" s="421"/>
      <c r="B51" s="201">
        <f>B50*B49</f>
        <v>1500</v>
      </c>
      <c r="C51" s="202">
        <f>C50*C49</f>
        <v>975</v>
      </c>
      <c r="D51" s="202">
        <f>D50*D49</f>
        <v>110</v>
      </c>
      <c r="E51" s="202">
        <f>E50*E49</f>
        <v>500</v>
      </c>
      <c r="F51" s="202">
        <f>F50*F49</f>
        <v>175</v>
      </c>
      <c r="G51" s="203">
        <v>4275</v>
      </c>
      <c r="H51" s="204">
        <f>H50*H49</f>
        <v>8260</v>
      </c>
      <c r="I51" s="205">
        <f>I50*I49</f>
        <v>8700</v>
      </c>
      <c r="J51" s="205">
        <f>J50*J49</f>
        <v>675</v>
      </c>
      <c r="K51" s="205">
        <f>K50*K49</f>
        <v>480</v>
      </c>
      <c r="L51" s="205">
        <f>L50*L49</f>
        <v>0</v>
      </c>
      <c r="M51" s="206">
        <v>0</v>
      </c>
      <c r="N51" s="204">
        <f>N50*N49</f>
        <v>540</v>
      </c>
      <c r="O51" s="205">
        <f>O50*O49</f>
        <v>2040</v>
      </c>
      <c r="P51" s="205">
        <f>P50*P49</f>
        <v>310</v>
      </c>
      <c r="Q51" s="205">
        <f>Q50*Q49</f>
        <v>0</v>
      </c>
      <c r="R51" s="205">
        <f>R50*R49</f>
        <v>0</v>
      </c>
      <c r="S51" s="206">
        <v>0</v>
      </c>
      <c r="T51" s="207" t="s">
        <v>58</v>
      </c>
      <c r="U51" s="213">
        <f>SUM(B51:G51,N51:S51:H51:M51)</f>
        <v>28540</v>
      </c>
      <c r="V51" s="211">
        <f>'GENEL HASILAT'!V20-U51</f>
        <v>0</v>
      </c>
      <c r="W51" s="423"/>
    </row>
    <row r="52" spans="1:23" s="212" customFormat="1" ht="12.75" customHeight="1" thickTop="1" thickBot="1" x14ac:dyDescent="0.25">
      <c r="A52" s="420">
        <f>'GENEL HASILAT'!A21</f>
        <v>45580</v>
      </c>
      <c r="B52" s="189">
        <f>$B$9</f>
        <v>50</v>
      </c>
      <c r="C52" s="190">
        <f>$C$9</f>
        <v>75</v>
      </c>
      <c r="D52" s="190">
        <f>$D$9</f>
        <v>110</v>
      </c>
      <c r="E52" s="190">
        <f>$E$9</f>
        <v>125</v>
      </c>
      <c r="F52" s="190">
        <f>$F$9</f>
        <v>175</v>
      </c>
      <c r="G52" s="191">
        <f>G54/G53</f>
        <v>837.5</v>
      </c>
      <c r="H52" s="192">
        <v>70</v>
      </c>
      <c r="I52" s="193">
        <v>100</v>
      </c>
      <c r="J52" s="193">
        <v>135</v>
      </c>
      <c r="K52" s="193">
        <v>160</v>
      </c>
      <c r="L52" s="193">
        <v>220</v>
      </c>
      <c r="M52" s="194" t="e">
        <f>M54/M53</f>
        <v>#DIV/0!</v>
      </c>
      <c r="N52" s="192">
        <f>$N$9</f>
        <v>90</v>
      </c>
      <c r="O52" s="193">
        <f>$O$9</f>
        <v>120</v>
      </c>
      <c r="P52" s="193">
        <f>$P$9</f>
        <v>155</v>
      </c>
      <c r="Q52" s="193">
        <f>$Q$9</f>
        <v>195</v>
      </c>
      <c r="R52" s="193">
        <f>$R$9</f>
        <v>265</v>
      </c>
      <c r="S52" s="194" t="e">
        <f>S54/S53</f>
        <v>#DIV/0!</v>
      </c>
      <c r="T52" s="182"/>
      <c r="U52" s="185"/>
      <c r="V52" s="181"/>
      <c r="W52" s="182"/>
    </row>
    <row r="53" spans="1:23" s="212" customFormat="1" ht="12.75" customHeight="1" thickTop="1" thickBot="1" x14ac:dyDescent="0.25">
      <c r="A53" s="421"/>
      <c r="B53" s="195">
        <v>39</v>
      </c>
      <c r="C53" s="196">
        <v>5</v>
      </c>
      <c r="D53" s="196">
        <v>6</v>
      </c>
      <c r="E53" s="196">
        <v>2</v>
      </c>
      <c r="F53" s="196">
        <v>1</v>
      </c>
      <c r="G53" s="197">
        <v>4</v>
      </c>
      <c r="H53" s="198">
        <v>134</v>
      </c>
      <c r="I53" s="196">
        <v>51</v>
      </c>
      <c r="J53" s="196">
        <v>8</v>
      </c>
      <c r="K53" s="196">
        <v>2</v>
      </c>
      <c r="L53" s="196">
        <v>0</v>
      </c>
      <c r="M53" s="197">
        <v>0</v>
      </c>
      <c r="N53" s="198">
        <v>0</v>
      </c>
      <c r="O53" s="196">
        <v>17</v>
      </c>
      <c r="P53" s="196">
        <v>1</v>
      </c>
      <c r="Q53" s="196">
        <v>2</v>
      </c>
      <c r="R53" s="196">
        <v>0</v>
      </c>
      <c r="S53" s="197">
        <v>0</v>
      </c>
      <c r="T53" s="199" t="s">
        <v>57</v>
      </c>
      <c r="U53" s="200">
        <f>U54/1.2</f>
        <v>21020.833333333336</v>
      </c>
      <c r="V53" s="181"/>
      <c r="W53" s="422"/>
    </row>
    <row r="54" spans="1:23" s="212" customFormat="1" ht="12.75" customHeight="1" thickTop="1" thickBot="1" x14ac:dyDescent="0.25">
      <c r="A54" s="421"/>
      <c r="B54" s="201">
        <f>B53*B52</f>
        <v>1950</v>
      </c>
      <c r="C54" s="202">
        <f>C53*C52</f>
        <v>375</v>
      </c>
      <c r="D54" s="202">
        <f>D53*D52</f>
        <v>660</v>
      </c>
      <c r="E54" s="202">
        <f>E53*E52</f>
        <v>250</v>
      </c>
      <c r="F54" s="202">
        <f>F53*F52</f>
        <v>175</v>
      </c>
      <c r="G54" s="203">
        <v>3350</v>
      </c>
      <c r="H54" s="204">
        <f>H53*H52</f>
        <v>9380</v>
      </c>
      <c r="I54" s="205">
        <f>I53*I52</f>
        <v>5100</v>
      </c>
      <c r="J54" s="205">
        <f>J53*J52</f>
        <v>1080</v>
      </c>
      <c r="K54" s="205">
        <f>K53*K52</f>
        <v>320</v>
      </c>
      <c r="L54" s="205">
        <f>L53*L52</f>
        <v>0</v>
      </c>
      <c r="M54" s="206">
        <v>0</v>
      </c>
      <c r="N54" s="204">
        <f>N53*N52</f>
        <v>0</v>
      </c>
      <c r="O54" s="205">
        <f>O53*O52</f>
        <v>2040</v>
      </c>
      <c r="P54" s="205">
        <f>P53*P52</f>
        <v>155</v>
      </c>
      <c r="Q54" s="205">
        <f>Q53*Q52</f>
        <v>390</v>
      </c>
      <c r="R54" s="205">
        <f>R53*R52</f>
        <v>0</v>
      </c>
      <c r="S54" s="206">
        <v>0</v>
      </c>
      <c r="T54" s="207" t="s">
        <v>58</v>
      </c>
      <c r="U54" s="213">
        <f>SUM(B54:G54,N54:S54:H54:M54)</f>
        <v>25225</v>
      </c>
      <c r="V54" s="211">
        <f>'GENEL HASILAT'!V21-U54</f>
        <v>0</v>
      </c>
      <c r="W54" s="423"/>
    </row>
    <row r="55" spans="1:23" s="212" customFormat="1" ht="12.75" customHeight="1" thickTop="1" thickBot="1" x14ac:dyDescent="0.25">
      <c r="A55" s="420">
        <f>'GENEL HASILAT'!A22</f>
        <v>45581</v>
      </c>
      <c r="B55" s="189">
        <f>$B$9</f>
        <v>50</v>
      </c>
      <c r="C55" s="190">
        <f>$C$9</f>
        <v>75</v>
      </c>
      <c r="D55" s="190">
        <f>$D$9</f>
        <v>110</v>
      </c>
      <c r="E55" s="190">
        <f>$E$9</f>
        <v>125</v>
      </c>
      <c r="F55" s="190">
        <f>$F$9</f>
        <v>175</v>
      </c>
      <c r="G55" s="191">
        <f>G57/G56</f>
        <v>328.33333333333331</v>
      </c>
      <c r="H55" s="192">
        <v>70</v>
      </c>
      <c r="I55" s="193">
        <v>100</v>
      </c>
      <c r="J55" s="193">
        <v>135</v>
      </c>
      <c r="K55" s="193">
        <v>160</v>
      </c>
      <c r="L55" s="193">
        <v>220</v>
      </c>
      <c r="M55" s="194" t="e">
        <f>M57/M56</f>
        <v>#DIV/0!</v>
      </c>
      <c r="N55" s="192">
        <f>$N$9</f>
        <v>90</v>
      </c>
      <c r="O55" s="193">
        <f>$O$9</f>
        <v>120</v>
      </c>
      <c r="P55" s="193">
        <f>$P$9</f>
        <v>155</v>
      </c>
      <c r="Q55" s="193">
        <f>$Q$9</f>
        <v>195</v>
      </c>
      <c r="R55" s="193">
        <f>$R$9</f>
        <v>265</v>
      </c>
      <c r="S55" s="194" t="e">
        <f>S57/S56</f>
        <v>#DIV/0!</v>
      </c>
      <c r="T55" s="182"/>
      <c r="U55" s="210"/>
      <c r="V55" s="181"/>
      <c r="W55" s="182"/>
    </row>
    <row r="56" spans="1:23" s="212" customFormat="1" ht="12.75" customHeight="1" thickTop="1" thickBot="1" x14ac:dyDescent="0.25">
      <c r="A56" s="421"/>
      <c r="B56" s="195">
        <v>48</v>
      </c>
      <c r="C56" s="196">
        <v>17</v>
      </c>
      <c r="D56" s="196">
        <v>2</v>
      </c>
      <c r="E56" s="196">
        <v>3</v>
      </c>
      <c r="F56" s="196">
        <v>1</v>
      </c>
      <c r="G56" s="197">
        <v>3</v>
      </c>
      <c r="H56" s="198">
        <v>152</v>
      </c>
      <c r="I56" s="196">
        <v>79</v>
      </c>
      <c r="J56" s="196">
        <v>7</v>
      </c>
      <c r="K56" s="196">
        <v>2</v>
      </c>
      <c r="L56" s="196">
        <v>0</v>
      </c>
      <c r="M56" s="197"/>
      <c r="N56" s="198">
        <v>4</v>
      </c>
      <c r="O56" s="196">
        <v>9</v>
      </c>
      <c r="P56" s="196">
        <v>3</v>
      </c>
      <c r="Q56" s="196">
        <v>0</v>
      </c>
      <c r="R56" s="196">
        <v>0</v>
      </c>
      <c r="S56" s="197">
        <v>0</v>
      </c>
      <c r="T56" s="199" t="s">
        <v>57</v>
      </c>
      <c r="U56" s="200">
        <f>U57/1.2</f>
        <v>22616.666666666668</v>
      </c>
      <c r="V56" s="181"/>
      <c r="W56" s="422"/>
    </row>
    <row r="57" spans="1:23" s="212" customFormat="1" ht="12.75" customHeight="1" thickTop="1" thickBot="1" x14ac:dyDescent="0.25">
      <c r="A57" s="421"/>
      <c r="B57" s="201">
        <f>B56*B55</f>
        <v>2400</v>
      </c>
      <c r="C57" s="202">
        <f>C56*C55</f>
        <v>1275</v>
      </c>
      <c r="D57" s="202">
        <f>D56*D55</f>
        <v>220</v>
      </c>
      <c r="E57" s="202">
        <f>E56*E55</f>
        <v>375</v>
      </c>
      <c r="F57" s="202">
        <f>F56*F55</f>
        <v>175</v>
      </c>
      <c r="G57" s="203">
        <v>985</v>
      </c>
      <c r="H57" s="204">
        <f>H56*H55</f>
        <v>10640</v>
      </c>
      <c r="I57" s="205">
        <f>I56*I55</f>
        <v>7900</v>
      </c>
      <c r="J57" s="205">
        <f>J56*J55</f>
        <v>945</v>
      </c>
      <c r="K57" s="205">
        <f>K56*K55</f>
        <v>320</v>
      </c>
      <c r="L57" s="205">
        <f>L56*L55</f>
        <v>0</v>
      </c>
      <c r="M57" s="206">
        <v>0</v>
      </c>
      <c r="N57" s="204">
        <f>N56*N55</f>
        <v>360</v>
      </c>
      <c r="O57" s="205">
        <f>O56*O55</f>
        <v>1080</v>
      </c>
      <c r="P57" s="205">
        <f>P56*P55</f>
        <v>465</v>
      </c>
      <c r="Q57" s="205">
        <f>Q56*Q55</f>
        <v>0</v>
      </c>
      <c r="R57" s="205">
        <f>R56*R55</f>
        <v>0</v>
      </c>
      <c r="S57" s="206">
        <v>0</v>
      </c>
      <c r="T57" s="207" t="s">
        <v>58</v>
      </c>
      <c r="U57" s="213">
        <f>SUM(B57:G57,N57:S57:H57:M57)</f>
        <v>27140</v>
      </c>
      <c r="V57" s="211">
        <f>'GENEL HASILAT'!V22-U57+'GENEL HASILAT'!G22</f>
        <v>0</v>
      </c>
      <c r="W57" s="423"/>
    </row>
    <row r="58" spans="1:23" s="212" customFormat="1" ht="12.75" customHeight="1" thickTop="1" thickBot="1" x14ac:dyDescent="0.25">
      <c r="A58" s="420">
        <f>'GENEL HASILAT'!A23</f>
        <v>45582</v>
      </c>
      <c r="B58" s="189">
        <f>$B$9</f>
        <v>50</v>
      </c>
      <c r="C58" s="190">
        <f>$C$9</f>
        <v>75</v>
      </c>
      <c r="D58" s="190">
        <f>$D$9</f>
        <v>110</v>
      </c>
      <c r="E58" s="190">
        <f>$E$9</f>
        <v>125</v>
      </c>
      <c r="F58" s="190">
        <f>$F$9</f>
        <v>175</v>
      </c>
      <c r="G58" s="191">
        <f>G60/G59</f>
        <v>881.25</v>
      </c>
      <c r="H58" s="192">
        <v>70</v>
      </c>
      <c r="I58" s="193">
        <v>100</v>
      </c>
      <c r="J58" s="193">
        <v>135</v>
      </c>
      <c r="K58" s="193">
        <v>160</v>
      </c>
      <c r="L58" s="193">
        <v>220</v>
      </c>
      <c r="M58" s="194" t="e">
        <f>M60/M59</f>
        <v>#DIV/0!</v>
      </c>
      <c r="N58" s="192">
        <f>$N$9</f>
        <v>90</v>
      </c>
      <c r="O58" s="193">
        <f>$O$9</f>
        <v>120</v>
      </c>
      <c r="P58" s="193">
        <f>$P$9</f>
        <v>155</v>
      </c>
      <c r="Q58" s="193">
        <f>$Q$9</f>
        <v>195</v>
      </c>
      <c r="R58" s="193">
        <f>$R$9</f>
        <v>265</v>
      </c>
      <c r="S58" s="194" t="e">
        <f>S60/S59</f>
        <v>#DIV/0!</v>
      </c>
      <c r="T58" s="182"/>
      <c r="U58" s="210"/>
      <c r="V58" s="181"/>
      <c r="W58" s="182"/>
    </row>
    <row r="59" spans="1:23" s="212" customFormat="1" ht="12.75" customHeight="1" thickTop="1" thickBot="1" x14ac:dyDescent="0.25">
      <c r="A59" s="421"/>
      <c r="B59" s="195">
        <v>36</v>
      </c>
      <c r="C59" s="196">
        <v>11</v>
      </c>
      <c r="D59" s="196">
        <v>3</v>
      </c>
      <c r="E59" s="196">
        <v>5</v>
      </c>
      <c r="F59" s="196">
        <v>1</v>
      </c>
      <c r="G59" s="197">
        <v>4</v>
      </c>
      <c r="H59" s="198">
        <v>116</v>
      </c>
      <c r="I59" s="196">
        <v>66</v>
      </c>
      <c r="J59" s="196">
        <v>10</v>
      </c>
      <c r="K59" s="196">
        <v>1</v>
      </c>
      <c r="L59" s="196">
        <v>0</v>
      </c>
      <c r="M59" s="197">
        <v>0</v>
      </c>
      <c r="N59" s="198">
        <v>5</v>
      </c>
      <c r="O59" s="196">
        <v>36</v>
      </c>
      <c r="P59" s="196">
        <v>4</v>
      </c>
      <c r="Q59" s="196">
        <v>0</v>
      </c>
      <c r="R59" s="196">
        <v>0</v>
      </c>
      <c r="S59" s="197">
        <v>0</v>
      </c>
      <c r="T59" s="199" t="s">
        <v>57</v>
      </c>
      <c r="U59" s="200">
        <f>U60/1.2</f>
        <v>24083.333333333336</v>
      </c>
      <c r="V59" s="181"/>
      <c r="W59" s="422"/>
    </row>
    <row r="60" spans="1:23" s="212" customFormat="1" ht="12.75" customHeight="1" thickTop="1" thickBot="1" x14ac:dyDescent="0.25">
      <c r="A60" s="421"/>
      <c r="B60" s="201">
        <f>B59*B58</f>
        <v>1800</v>
      </c>
      <c r="C60" s="202">
        <f>C59*C58</f>
        <v>825</v>
      </c>
      <c r="D60" s="202">
        <f>D59*D58</f>
        <v>330</v>
      </c>
      <c r="E60" s="202">
        <f>E59*E58</f>
        <v>625</v>
      </c>
      <c r="F60" s="202">
        <f>F59*F58</f>
        <v>175</v>
      </c>
      <c r="G60" s="203">
        <v>3525</v>
      </c>
      <c r="H60" s="204">
        <f>H59*H58</f>
        <v>8120</v>
      </c>
      <c r="I60" s="205">
        <f>I59*I58</f>
        <v>6600</v>
      </c>
      <c r="J60" s="205">
        <f>J59*J58</f>
        <v>1350</v>
      </c>
      <c r="K60" s="205">
        <f>K59*K58</f>
        <v>160</v>
      </c>
      <c r="L60" s="205">
        <f>L59*L58</f>
        <v>0</v>
      </c>
      <c r="M60" s="206">
        <v>0</v>
      </c>
      <c r="N60" s="204">
        <f>N59*N58</f>
        <v>450</v>
      </c>
      <c r="O60" s="205">
        <f>O59*O58</f>
        <v>4320</v>
      </c>
      <c r="P60" s="205">
        <f>P59*P58</f>
        <v>620</v>
      </c>
      <c r="Q60" s="205">
        <f>Q59*Q58</f>
        <v>0</v>
      </c>
      <c r="R60" s="205">
        <f>R59*R58</f>
        <v>0</v>
      </c>
      <c r="S60" s="206">
        <v>0</v>
      </c>
      <c r="T60" s="207" t="s">
        <v>58</v>
      </c>
      <c r="U60" s="213">
        <f>SUM(B60:G60,N60:S60:H60:M60)</f>
        <v>28900</v>
      </c>
      <c r="V60" s="211">
        <f>'GENEL HASILAT'!V23-U60</f>
        <v>0</v>
      </c>
      <c r="W60" s="423"/>
    </row>
    <row r="61" spans="1:23" s="212" customFormat="1" ht="12.75" customHeight="1" thickTop="1" thickBot="1" x14ac:dyDescent="0.25">
      <c r="A61" s="420">
        <f>'GENEL HASILAT'!A24</f>
        <v>45583</v>
      </c>
      <c r="B61" s="189">
        <f>$B$9</f>
        <v>50</v>
      </c>
      <c r="C61" s="190">
        <f>$C$9</f>
        <v>75</v>
      </c>
      <c r="D61" s="190">
        <f>$D$9</f>
        <v>110</v>
      </c>
      <c r="E61" s="190">
        <f>$E$9</f>
        <v>125</v>
      </c>
      <c r="F61" s="190">
        <f>$F$9</f>
        <v>175</v>
      </c>
      <c r="G61" s="191" t="e">
        <f>G63/G62</f>
        <v>#DIV/0!</v>
      </c>
      <c r="H61" s="192">
        <v>70</v>
      </c>
      <c r="I61" s="193">
        <v>100</v>
      </c>
      <c r="J61" s="193">
        <v>135</v>
      </c>
      <c r="K61" s="193">
        <v>160</v>
      </c>
      <c r="L61" s="193">
        <v>220</v>
      </c>
      <c r="M61" s="194" t="e">
        <f>M63/M62</f>
        <v>#DIV/0!</v>
      </c>
      <c r="N61" s="192">
        <f>$N$9</f>
        <v>90</v>
      </c>
      <c r="O61" s="193">
        <f>$O$9</f>
        <v>120</v>
      </c>
      <c r="P61" s="193">
        <f>$P$9</f>
        <v>155</v>
      </c>
      <c r="Q61" s="193">
        <f>$Q$9</f>
        <v>195</v>
      </c>
      <c r="R61" s="193">
        <f>$R$9</f>
        <v>265</v>
      </c>
      <c r="S61" s="194" t="e">
        <f>S63/S62</f>
        <v>#DIV/0!</v>
      </c>
      <c r="T61" s="182"/>
      <c r="U61" s="210"/>
      <c r="V61" s="181"/>
      <c r="W61" s="182"/>
    </row>
    <row r="62" spans="1:23" s="212" customFormat="1" ht="12.75" customHeight="1" thickTop="1" thickBot="1" x14ac:dyDescent="0.25">
      <c r="A62" s="421"/>
      <c r="B62" s="195">
        <v>39</v>
      </c>
      <c r="C62" s="196">
        <v>10</v>
      </c>
      <c r="D62" s="196">
        <v>0</v>
      </c>
      <c r="E62" s="196">
        <v>5</v>
      </c>
      <c r="F62" s="196">
        <v>3</v>
      </c>
      <c r="G62" s="197"/>
      <c r="H62" s="198">
        <v>99</v>
      </c>
      <c r="I62" s="196">
        <v>69</v>
      </c>
      <c r="J62" s="196">
        <v>5</v>
      </c>
      <c r="K62" s="196">
        <v>2</v>
      </c>
      <c r="L62" s="196">
        <v>0</v>
      </c>
      <c r="M62" s="197">
        <v>0</v>
      </c>
      <c r="N62" s="198">
        <v>4</v>
      </c>
      <c r="O62" s="196">
        <v>20</v>
      </c>
      <c r="P62" s="196">
        <v>2</v>
      </c>
      <c r="Q62" s="196">
        <v>1</v>
      </c>
      <c r="R62" s="196">
        <v>0</v>
      </c>
      <c r="S62" s="197">
        <v>0</v>
      </c>
      <c r="T62" s="199" t="s">
        <v>57</v>
      </c>
      <c r="U62" s="200">
        <f>U63/1.2</f>
        <v>18283.333333333336</v>
      </c>
      <c r="V62" s="181"/>
      <c r="W62" s="422"/>
    </row>
    <row r="63" spans="1:23" s="212" customFormat="1" ht="12.75" customHeight="1" thickTop="1" thickBot="1" x14ac:dyDescent="0.25">
      <c r="A63" s="421"/>
      <c r="B63" s="201">
        <f>B62*B61</f>
        <v>1950</v>
      </c>
      <c r="C63" s="202">
        <f>C62*C61</f>
        <v>750</v>
      </c>
      <c r="D63" s="202">
        <f>D62*D61</f>
        <v>0</v>
      </c>
      <c r="E63" s="202">
        <f>E62*E61</f>
        <v>625</v>
      </c>
      <c r="F63" s="202">
        <f>F62*F61</f>
        <v>525</v>
      </c>
      <c r="G63" s="203">
        <v>0</v>
      </c>
      <c r="H63" s="204">
        <f>H62*H61</f>
        <v>6930</v>
      </c>
      <c r="I63" s="205">
        <f>I62*I61</f>
        <v>6900</v>
      </c>
      <c r="J63" s="205">
        <f>J62*J61</f>
        <v>675</v>
      </c>
      <c r="K63" s="205">
        <f>K62*K61</f>
        <v>320</v>
      </c>
      <c r="L63" s="205">
        <f>L62*L61</f>
        <v>0</v>
      </c>
      <c r="M63" s="206">
        <v>0</v>
      </c>
      <c r="N63" s="204">
        <f>N62*N61</f>
        <v>360</v>
      </c>
      <c r="O63" s="205">
        <f>O62*O61</f>
        <v>2400</v>
      </c>
      <c r="P63" s="205">
        <f>P62*P61</f>
        <v>310</v>
      </c>
      <c r="Q63" s="205">
        <f>Q62*Q61</f>
        <v>195</v>
      </c>
      <c r="R63" s="205">
        <f>R62*R61</f>
        <v>0</v>
      </c>
      <c r="S63" s="206">
        <v>0</v>
      </c>
      <c r="T63" s="207" t="s">
        <v>58</v>
      </c>
      <c r="U63" s="213">
        <f>SUM(B63:G63,N63:S63:H63:M63)</f>
        <v>21940</v>
      </c>
      <c r="V63" s="211">
        <f>'GENEL HASILAT'!V24-U63</f>
        <v>0</v>
      </c>
      <c r="W63" s="423"/>
    </row>
    <row r="64" spans="1:23" s="212" customFormat="1" ht="12.75" customHeight="1" thickTop="1" thickBot="1" x14ac:dyDescent="0.25">
      <c r="A64" s="420">
        <f>'GENEL HASILAT'!A25</f>
        <v>45584</v>
      </c>
      <c r="B64" s="189">
        <f>$B$9</f>
        <v>50</v>
      </c>
      <c r="C64" s="190">
        <f>$C$9</f>
        <v>75</v>
      </c>
      <c r="D64" s="190">
        <f>$D$9</f>
        <v>110</v>
      </c>
      <c r="E64" s="190">
        <f>$E$9</f>
        <v>125</v>
      </c>
      <c r="F64" s="190">
        <f>$F$9</f>
        <v>175</v>
      </c>
      <c r="G64" s="191">
        <f>G66/G65</f>
        <v>797</v>
      </c>
      <c r="H64" s="192">
        <v>70</v>
      </c>
      <c r="I64" s="193">
        <v>100</v>
      </c>
      <c r="J64" s="193">
        <v>135</v>
      </c>
      <c r="K64" s="193">
        <v>160</v>
      </c>
      <c r="L64" s="193">
        <v>220</v>
      </c>
      <c r="M64" s="194" t="e">
        <f>M66/M65</f>
        <v>#DIV/0!</v>
      </c>
      <c r="N64" s="192">
        <f>$N$9</f>
        <v>90</v>
      </c>
      <c r="O64" s="193">
        <f>$O$9</f>
        <v>120</v>
      </c>
      <c r="P64" s="193">
        <f>$P$9</f>
        <v>155</v>
      </c>
      <c r="Q64" s="193">
        <f>$Q$9</f>
        <v>195</v>
      </c>
      <c r="R64" s="193">
        <f>$R$9</f>
        <v>265</v>
      </c>
      <c r="S64" s="194" t="e">
        <f>S66/S65</f>
        <v>#DIV/0!</v>
      </c>
      <c r="T64" s="182"/>
      <c r="U64" s="210"/>
      <c r="V64" s="181"/>
      <c r="W64" s="182"/>
    </row>
    <row r="65" spans="1:23" s="212" customFormat="1" ht="12.75" customHeight="1" thickTop="1" thickBot="1" x14ac:dyDescent="0.25">
      <c r="A65" s="421"/>
      <c r="B65" s="195">
        <v>55</v>
      </c>
      <c r="C65" s="196">
        <v>17</v>
      </c>
      <c r="D65" s="196">
        <v>3</v>
      </c>
      <c r="E65" s="196">
        <v>1</v>
      </c>
      <c r="F65" s="196">
        <v>2</v>
      </c>
      <c r="G65" s="197">
        <v>5</v>
      </c>
      <c r="H65" s="198">
        <v>147</v>
      </c>
      <c r="I65" s="196">
        <v>105</v>
      </c>
      <c r="J65" s="196">
        <v>11</v>
      </c>
      <c r="K65" s="196">
        <v>0</v>
      </c>
      <c r="L65" s="196">
        <v>0</v>
      </c>
      <c r="M65" s="197">
        <v>0</v>
      </c>
      <c r="N65" s="198">
        <v>4</v>
      </c>
      <c r="O65" s="196">
        <v>4</v>
      </c>
      <c r="P65" s="196">
        <v>1</v>
      </c>
      <c r="Q65" s="196">
        <v>0</v>
      </c>
      <c r="R65" s="196">
        <v>0</v>
      </c>
      <c r="S65" s="197">
        <v>0</v>
      </c>
      <c r="T65" s="199" t="s">
        <v>57</v>
      </c>
      <c r="U65" s="200">
        <f>U66/1.2</f>
        <v>26737.5</v>
      </c>
      <c r="V65" s="181"/>
      <c r="W65" s="422"/>
    </row>
    <row r="66" spans="1:23" s="212" customFormat="1" ht="12.75" customHeight="1" thickTop="1" thickBot="1" x14ac:dyDescent="0.25">
      <c r="A66" s="421"/>
      <c r="B66" s="201">
        <f>B65*B64</f>
        <v>2750</v>
      </c>
      <c r="C66" s="202">
        <f>C65*C64</f>
        <v>1275</v>
      </c>
      <c r="D66" s="202">
        <f>D65*D64</f>
        <v>330</v>
      </c>
      <c r="E66" s="202">
        <f>E65*E64</f>
        <v>125</v>
      </c>
      <c r="F66" s="202">
        <f>F65*F64</f>
        <v>350</v>
      </c>
      <c r="G66" s="203">
        <v>3985</v>
      </c>
      <c r="H66" s="204">
        <f>H65*H64</f>
        <v>10290</v>
      </c>
      <c r="I66" s="205">
        <f>I65*I64</f>
        <v>10500</v>
      </c>
      <c r="J66" s="205">
        <f>J65*J64</f>
        <v>1485</v>
      </c>
      <c r="K66" s="205">
        <f>K65*K64</f>
        <v>0</v>
      </c>
      <c r="L66" s="205">
        <f>L65*L64</f>
        <v>0</v>
      </c>
      <c r="M66" s="206">
        <v>0</v>
      </c>
      <c r="N66" s="204">
        <f>N65*N64</f>
        <v>360</v>
      </c>
      <c r="O66" s="205">
        <f>O65*O64</f>
        <v>480</v>
      </c>
      <c r="P66" s="205">
        <f>P65*P64</f>
        <v>155</v>
      </c>
      <c r="Q66" s="205">
        <f>Q65*Q64</f>
        <v>0</v>
      </c>
      <c r="R66" s="205">
        <f>R65*R64</f>
        <v>0</v>
      </c>
      <c r="S66" s="206">
        <v>0</v>
      </c>
      <c r="T66" s="207" t="s">
        <v>58</v>
      </c>
      <c r="U66" s="213">
        <f>SUM(B66:G66,N66:S66:H66:M66)</f>
        <v>32085</v>
      </c>
      <c r="V66" s="211">
        <f>'GENEL HASILAT'!V25-U66</f>
        <v>0</v>
      </c>
      <c r="W66" s="423"/>
    </row>
    <row r="67" spans="1:23" s="212" customFormat="1" ht="12.75" customHeight="1" thickTop="1" thickBot="1" x14ac:dyDescent="0.25">
      <c r="A67" s="420">
        <f>'GENEL HASILAT'!A26</f>
        <v>45585</v>
      </c>
      <c r="B67" s="189">
        <f>$B$9</f>
        <v>50</v>
      </c>
      <c r="C67" s="190">
        <f>$C$9</f>
        <v>75</v>
      </c>
      <c r="D67" s="190">
        <f>$D$9</f>
        <v>110</v>
      </c>
      <c r="E67" s="190">
        <f>$E$9</f>
        <v>125</v>
      </c>
      <c r="F67" s="190">
        <f>$F$9</f>
        <v>175</v>
      </c>
      <c r="G67" s="191">
        <f>G69/G68</f>
        <v>675</v>
      </c>
      <c r="H67" s="192">
        <v>70</v>
      </c>
      <c r="I67" s="193">
        <v>100</v>
      </c>
      <c r="J67" s="193">
        <v>135</v>
      </c>
      <c r="K67" s="193">
        <v>160</v>
      </c>
      <c r="L67" s="193">
        <v>220</v>
      </c>
      <c r="M67" s="194" t="e">
        <f>M69/M68</f>
        <v>#DIV/0!</v>
      </c>
      <c r="N67" s="192">
        <f>$N$9</f>
        <v>90</v>
      </c>
      <c r="O67" s="193">
        <f>$O$9</f>
        <v>120</v>
      </c>
      <c r="P67" s="193">
        <f>$P$9</f>
        <v>155</v>
      </c>
      <c r="Q67" s="193">
        <f>$Q$9</f>
        <v>195</v>
      </c>
      <c r="R67" s="193">
        <f>$R$9</f>
        <v>265</v>
      </c>
      <c r="S67" s="194" t="e">
        <f>S69/S68</f>
        <v>#DIV/0!</v>
      </c>
      <c r="T67" s="182"/>
      <c r="U67" s="210"/>
      <c r="V67" s="181"/>
      <c r="W67" s="182"/>
    </row>
    <row r="68" spans="1:23" s="212" customFormat="1" ht="12.75" customHeight="1" thickTop="1" thickBot="1" x14ac:dyDescent="0.25">
      <c r="A68" s="421"/>
      <c r="B68" s="195">
        <v>46</v>
      </c>
      <c r="C68" s="196">
        <v>9</v>
      </c>
      <c r="D68" s="196">
        <v>1</v>
      </c>
      <c r="E68" s="196">
        <v>0</v>
      </c>
      <c r="F68" s="196">
        <v>3</v>
      </c>
      <c r="G68" s="197">
        <v>4</v>
      </c>
      <c r="H68" s="198">
        <v>127</v>
      </c>
      <c r="I68" s="196">
        <v>84</v>
      </c>
      <c r="J68" s="196">
        <v>14</v>
      </c>
      <c r="K68" s="196">
        <v>0</v>
      </c>
      <c r="L68" s="196">
        <v>0</v>
      </c>
      <c r="M68" s="197">
        <v>0</v>
      </c>
      <c r="N68" s="198">
        <v>7</v>
      </c>
      <c r="O68" s="196">
        <v>28</v>
      </c>
      <c r="P68" s="196">
        <v>4</v>
      </c>
      <c r="Q68" s="196">
        <v>0</v>
      </c>
      <c r="R68" s="196">
        <v>0</v>
      </c>
      <c r="S68" s="197">
        <v>0</v>
      </c>
      <c r="T68" s="199" t="s">
        <v>57</v>
      </c>
      <c r="U68" s="200">
        <f>U69/1.2</f>
        <v>25083.333333333336</v>
      </c>
      <c r="V68" s="181"/>
      <c r="W68" s="422"/>
    </row>
    <row r="69" spans="1:23" s="212" customFormat="1" ht="12.75" customHeight="1" thickTop="1" thickBot="1" x14ac:dyDescent="0.25">
      <c r="A69" s="421"/>
      <c r="B69" s="201">
        <f>B68*B67</f>
        <v>2300</v>
      </c>
      <c r="C69" s="202">
        <f>C68*C67</f>
        <v>675</v>
      </c>
      <c r="D69" s="202">
        <f>D68*D67</f>
        <v>110</v>
      </c>
      <c r="E69" s="202">
        <f>E68*E67</f>
        <v>0</v>
      </c>
      <c r="F69" s="202">
        <f>F68*F67</f>
        <v>525</v>
      </c>
      <c r="G69" s="203">
        <v>2700</v>
      </c>
      <c r="H69" s="204">
        <f>H68*H67</f>
        <v>8890</v>
      </c>
      <c r="I69" s="205">
        <f>I68*I67</f>
        <v>8400</v>
      </c>
      <c r="J69" s="205">
        <f>J68*J67</f>
        <v>1890</v>
      </c>
      <c r="K69" s="205">
        <f>K68*K67</f>
        <v>0</v>
      </c>
      <c r="L69" s="205">
        <f>L68*L67</f>
        <v>0</v>
      </c>
      <c r="M69" s="206">
        <v>0</v>
      </c>
      <c r="N69" s="204">
        <f>N68*N67</f>
        <v>630</v>
      </c>
      <c r="O69" s="205">
        <f>O68*O67</f>
        <v>3360</v>
      </c>
      <c r="P69" s="205">
        <f>P68*P67</f>
        <v>620</v>
      </c>
      <c r="Q69" s="205">
        <f>Q68*Q67</f>
        <v>0</v>
      </c>
      <c r="R69" s="205">
        <f>R68*R67</f>
        <v>0</v>
      </c>
      <c r="S69" s="206">
        <v>0</v>
      </c>
      <c r="T69" s="207" t="s">
        <v>58</v>
      </c>
      <c r="U69" s="213">
        <f>SUM(B69:G69,N69:S69:H69:M69)</f>
        <v>30100</v>
      </c>
      <c r="V69" s="211">
        <f>'GENEL HASILAT'!V26-U69</f>
        <v>0</v>
      </c>
      <c r="W69" s="423"/>
    </row>
    <row r="70" spans="1:23" s="212" customFormat="1" ht="12.75" customHeight="1" thickTop="1" thickBot="1" x14ac:dyDescent="0.25">
      <c r="A70" s="420">
        <f>'GENEL HASILAT'!A27</f>
        <v>45586</v>
      </c>
      <c r="B70" s="189">
        <f>$B$9</f>
        <v>50</v>
      </c>
      <c r="C70" s="190">
        <f>$C$9</f>
        <v>75</v>
      </c>
      <c r="D70" s="190">
        <f>$D$9</f>
        <v>110</v>
      </c>
      <c r="E70" s="190">
        <f>$E$9</f>
        <v>125</v>
      </c>
      <c r="F70" s="190">
        <f>$F$9</f>
        <v>175</v>
      </c>
      <c r="G70" s="191">
        <f>G72/G71</f>
        <v>583.33333333333337</v>
      </c>
      <c r="H70" s="192">
        <v>70</v>
      </c>
      <c r="I70" s="193">
        <v>100</v>
      </c>
      <c r="J70" s="193">
        <v>135</v>
      </c>
      <c r="K70" s="193">
        <v>160</v>
      </c>
      <c r="L70" s="193">
        <v>220</v>
      </c>
      <c r="M70" s="194" t="e">
        <f>M72/M71</f>
        <v>#DIV/0!</v>
      </c>
      <c r="N70" s="192">
        <f>$N$9</f>
        <v>90</v>
      </c>
      <c r="O70" s="193">
        <f>$O$9</f>
        <v>120</v>
      </c>
      <c r="P70" s="193">
        <f>$P$9</f>
        <v>155</v>
      </c>
      <c r="Q70" s="193">
        <f>$Q$9</f>
        <v>195</v>
      </c>
      <c r="R70" s="193">
        <f>$R$9</f>
        <v>265</v>
      </c>
      <c r="S70" s="194" t="e">
        <f>S72/S71</f>
        <v>#DIV/0!</v>
      </c>
      <c r="T70" s="182"/>
      <c r="U70" s="210"/>
      <c r="V70" s="181"/>
      <c r="W70" s="182"/>
    </row>
    <row r="71" spans="1:23" s="212" customFormat="1" ht="12.75" customHeight="1" thickTop="1" thickBot="1" x14ac:dyDescent="0.25">
      <c r="A71" s="421"/>
      <c r="B71" s="195">
        <v>27</v>
      </c>
      <c r="C71" s="196">
        <v>10</v>
      </c>
      <c r="D71" s="196">
        <v>3</v>
      </c>
      <c r="E71" s="196">
        <v>4</v>
      </c>
      <c r="F71" s="196">
        <v>0</v>
      </c>
      <c r="G71" s="197">
        <v>3</v>
      </c>
      <c r="H71" s="198">
        <v>102</v>
      </c>
      <c r="I71" s="196">
        <v>68</v>
      </c>
      <c r="J71" s="196">
        <v>12</v>
      </c>
      <c r="K71" s="196">
        <v>0</v>
      </c>
      <c r="L71" s="196">
        <v>1</v>
      </c>
      <c r="M71" s="197">
        <v>0</v>
      </c>
      <c r="N71" s="198">
        <v>2</v>
      </c>
      <c r="O71" s="196">
        <v>11</v>
      </c>
      <c r="P71" s="196">
        <v>3</v>
      </c>
      <c r="Q71" s="196">
        <v>0</v>
      </c>
      <c r="R71" s="196">
        <v>0</v>
      </c>
      <c r="S71" s="197">
        <v>0</v>
      </c>
      <c r="T71" s="199" t="s">
        <v>57</v>
      </c>
      <c r="U71" s="200">
        <f>U72/1.2</f>
        <v>18687.5</v>
      </c>
      <c r="V71" s="181"/>
      <c r="W71" s="422"/>
    </row>
    <row r="72" spans="1:23" s="212" customFormat="1" ht="12.75" customHeight="1" thickTop="1" thickBot="1" x14ac:dyDescent="0.25">
      <c r="A72" s="421"/>
      <c r="B72" s="201">
        <f>B71*B70</f>
        <v>1350</v>
      </c>
      <c r="C72" s="202">
        <f>C71*C70</f>
        <v>750</v>
      </c>
      <c r="D72" s="202">
        <f>D71*D70</f>
        <v>330</v>
      </c>
      <c r="E72" s="202">
        <f>E71*E70</f>
        <v>500</v>
      </c>
      <c r="F72" s="202">
        <f>F71*F70</f>
        <v>0</v>
      </c>
      <c r="G72" s="203">
        <v>1750</v>
      </c>
      <c r="H72" s="204">
        <f>H71*H70</f>
        <v>7140</v>
      </c>
      <c r="I72" s="205">
        <f>I71*I70</f>
        <v>6800</v>
      </c>
      <c r="J72" s="205">
        <f>J71*J70</f>
        <v>1620</v>
      </c>
      <c r="K72" s="205">
        <f>K71*K70</f>
        <v>0</v>
      </c>
      <c r="L72" s="205">
        <f>L71*L70</f>
        <v>220</v>
      </c>
      <c r="M72" s="206">
        <v>0</v>
      </c>
      <c r="N72" s="204">
        <f>N71*N70</f>
        <v>180</v>
      </c>
      <c r="O72" s="205">
        <f>O71*O70</f>
        <v>1320</v>
      </c>
      <c r="P72" s="205">
        <f>P71*P70</f>
        <v>465</v>
      </c>
      <c r="Q72" s="205">
        <f>Q71*Q70</f>
        <v>0</v>
      </c>
      <c r="R72" s="205">
        <f>R71*R70</f>
        <v>0</v>
      </c>
      <c r="S72" s="206">
        <v>0</v>
      </c>
      <c r="T72" s="207" t="s">
        <v>58</v>
      </c>
      <c r="U72" s="213">
        <f>SUM(B72:G72,N72:S72:H72:M72)</f>
        <v>22425</v>
      </c>
      <c r="V72" s="211">
        <f>'GENEL HASILAT'!V27-U72</f>
        <v>0</v>
      </c>
      <c r="W72" s="423"/>
    </row>
    <row r="73" spans="1:23" s="212" customFormat="1" ht="12.75" customHeight="1" thickTop="1" thickBot="1" x14ac:dyDescent="0.25">
      <c r="A73" s="420">
        <f>'GENEL HASILAT'!A28</f>
        <v>45587</v>
      </c>
      <c r="B73" s="189">
        <f>$B$9</f>
        <v>50</v>
      </c>
      <c r="C73" s="190">
        <f>$C$9</f>
        <v>75</v>
      </c>
      <c r="D73" s="190">
        <f>$D$9</f>
        <v>110</v>
      </c>
      <c r="E73" s="190">
        <f>$E$9</f>
        <v>125</v>
      </c>
      <c r="F73" s="190">
        <f>$F$9</f>
        <v>175</v>
      </c>
      <c r="G73" s="191">
        <f>G75/G74</f>
        <v>1358.3333333333333</v>
      </c>
      <c r="H73" s="192">
        <v>70</v>
      </c>
      <c r="I73" s="193">
        <v>100</v>
      </c>
      <c r="J73" s="193">
        <v>135</v>
      </c>
      <c r="K73" s="193">
        <v>160</v>
      </c>
      <c r="L73" s="193">
        <v>220</v>
      </c>
      <c r="M73" s="194" t="e">
        <f>M75/M74</f>
        <v>#DIV/0!</v>
      </c>
      <c r="N73" s="192">
        <f>$N$9</f>
        <v>90</v>
      </c>
      <c r="O73" s="193">
        <f>$O$9</f>
        <v>120</v>
      </c>
      <c r="P73" s="193">
        <f>$P$9</f>
        <v>155</v>
      </c>
      <c r="Q73" s="193">
        <f>$Q$9</f>
        <v>195</v>
      </c>
      <c r="R73" s="193">
        <f>$R$9</f>
        <v>265</v>
      </c>
      <c r="S73" s="194" t="e">
        <f>S75/S74</f>
        <v>#DIV/0!</v>
      </c>
      <c r="T73" s="182"/>
      <c r="U73" s="210"/>
      <c r="V73" s="181"/>
      <c r="W73" s="182"/>
    </row>
    <row r="74" spans="1:23" s="212" customFormat="1" ht="12.75" customHeight="1" thickTop="1" thickBot="1" x14ac:dyDescent="0.25">
      <c r="A74" s="421"/>
      <c r="B74" s="195">
        <v>25</v>
      </c>
      <c r="C74" s="196">
        <v>3</v>
      </c>
      <c r="D74" s="196">
        <v>2</v>
      </c>
      <c r="E74" s="196">
        <v>5</v>
      </c>
      <c r="F74" s="196">
        <v>0</v>
      </c>
      <c r="G74" s="197">
        <v>3</v>
      </c>
      <c r="H74" s="198">
        <v>57</v>
      </c>
      <c r="I74" s="196">
        <v>31</v>
      </c>
      <c r="J74" s="196">
        <v>3</v>
      </c>
      <c r="K74" s="196">
        <v>0</v>
      </c>
      <c r="L74" s="196">
        <v>1</v>
      </c>
      <c r="M74" s="197">
        <v>0</v>
      </c>
      <c r="N74" s="198">
        <v>1</v>
      </c>
      <c r="O74" s="196">
        <v>6</v>
      </c>
      <c r="P74" s="196">
        <v>2</v>
      </c>
      <c r="Q74" s="196">
        <v>0</v>
      </c>
      <c r="R74" s="196">
        <v>0</v>
      </c>
      <c r="S74" s="197">
        <v>0</v>
      </c>
      <c r="T74" s="199" t="s">
        <v>57</v>
      </c>
      <c r="U74" s="200">
        <f>U75/1.2</f>
        <v>12691.666666666668</v>
      </c>
      <c r="V74" s="181"/>
      <c r="W74" s="422"/>
    </row>
    <row r="75" spans="1:23" s="212" customFormat="1" ht="12.75" customHeight="1" thickTop="1" thickBot="1" x14ac:dyDescent="0.25">
      <c r="A75" s="421"/>
      <c r="B75" s="201">
        <f>B74*B73</f>
        <v>1250</v>
      </c>
      <c r="C75" s="202">
        <f>C74*C73</f>
        <v>225</v>
      </c>
      <c r="D75" s="202">
        <f>D74*D73</f>
        <v>220</v>
      </c>
      <c r="E75" s="202">
        <f>E74*E73</f>
        <v>625</v>
      </c>
      <c r="F75" s="202">
        <f>F74*F73</f>
        <v>0</v>
      </c>
      <c r="G75" s="203">
        <v>4075</v>
      </c>
      <c r="H75" s="204">
        <f>H74*H73</f>
        <v>3990</v>
      </c>
      <c r="I75" s="205">
        <f>I74*I73</f>
        <v>3100</v>
      </c>
      <c r="J75" s="205">
        <f>J74*J73</f>
        <v>405</v>
      </c>
      <c r="K75" s="205">
        <f>K74*K73</f>
        <v>0</v>
      </c>
      <c r="L75" s="205">
        <f>L74*L73</f>
        <v>220</v>
      </c>
      <c r="M75" s="206">
        <v>0</v>
      </c>
      <c r="N75" s="204">
        <f>N74*N73</f>
        <v>90</v>
      </c>
      <c r="O75" s="205">
        <f>O74*O73</f>
        <v>720</v>
      </c>
      <c r="P75" s="205">
        <f>P74*P73</f>
        <v>310</v>
      </c>
      <c r="Q75" s="205">
        <f>Q74*Q73</f>
        <v>0</v>
      </c>
      <c r="R75" s="205">
        <f>R74*R73</f>
        <v>0</v>
      </c>
      <c r="S75" s="206">
        <v>0</v>
      </c>
      <c r="T75" s="207" t="s">
        <v>58</v>
      </c>
      <c r="U75" s="213">
        <f>SUM(B75:G75,N75:S75:H75:M75)</f>
        <v>15230</v>
      </c>
      <c r="V75" s="211">
        <f>'GENEL HASILAT'!V28-U75</f>
        <v>0</v>
      </c>
      <c r="W75" s="423"/>
    </row>
    <row r="76" spans="1:23" s="212" customFormat="1" ht="12.75" customHeight="1" thickTop="1" thickBot="1" x14ac:dyDescent="0.25">
      <c r="A76" s="420">
        <f>'GENEL HASILAT'!A29</f>
        <v>45588</v>
      </c>
      <c r="B76" s="189">
        <f>$B$9</f>
        <v>50</v>
      </c>
      <c r="C76" s="190">
        <f>$C$9</f>
        <v>75</v>
      </c>
      <c r="D76" s="190">
        <f>$D$9</f>
        <v>110</v>
      </c>
      <c r="E76" s="190">
        <f>$E$9</f>
        <v>125</v>
      </c>
      <c r="F76" s="190">
        <f>$F$9</f>
        <v>175</v>
      </c>
      <c r="G76" s="191">
        <f>G78/G77</f>
        <v>1205</v>
      </c>
      <c r="H76" s="192">
        <v>70</v>
      </c>
      <c r="I76" s="193">
        <v>100</v>
      </c>
      <c r="J76" s="193">
        <v>135</v>
      </c>
      <c r="K76" s="193">
        <v>160</v>
      </c>
      <c r="L76" s="193">
        <v>220</v>
      </c>
      <c r="M76" s="194" t="e">
        <f>M78/M77</f>
        <v>#DIV/0!</v>
      </c>
      <c r="N76" s="192">
        <f>$N$9</f>
        <v>90</v>
      </c>
      <c r="O76" s="193">
        <f>$O$9</f>
        <v>120</v>
      </c>
      <c r="P76" s="193">
        <f>$P$9</f>
        <v>155</v>
      </c>
      <c r="Q76" s="193">
        <f>$Q$9</f>
        <v>195</v>
      </c>
      <c r="R76" s="193">
        <f>$R$9</f>
        <v>265</v>
      </c>
      <c r="S76" s="194" t="e">
        <f>S78/S77</f>
        <v>#DIV/0!</v>
      </c>
      <c r="T76" s="182"/>
      <c r="U76" s="210"/>
      <c r="V76" s="181"/>
      <c r="W76" s="182"/>
    </row>
    <row r="77" spans="1:23" s="212" customFormat="1" ht="12.75" customHeight="1" thickTop="1" thickBot="1" x14ac:dyDescent="0.25">
      <c r="A77" s="421"/>
      <c r="B77" s="195">
        <v>39</v>
      </c>
      <c r="C77" s="196">
        <v>11</v>
      </c>
      <c r="D77" s="196">
        <v>2</v>
      </c>
      <c r="E77" s="196">
        <v>2</v>
      </c>
      <c r="F77" s="196">
        <v>0</v>
      </c>
      <c r="G77" s="197">
        <v>5</v>
      </c>
      <c r="H77" s="198">
        <v>103</v>
      </c>
      <c r="I77" s="196">
        <v>35</v>
      </c>
      <c r="J77" s="196">
        <v>5</v>
      </c>
      <c r="K77" s="196">
        <v>1</v>
      </c>
      <c r="L77" s="196">
        <v>0</v>
      </c>
      <c r="M77" s="197">
        <v>0</v>
      </c>
      <c r="N77" s="198">
        <v>4</v>
      </c>
      <c r="O77" s="196">
        <v>10</v>
      </c>
      <c r="P77" s="196">
        <v>1</v>
      </c>
      <c r="Q77" s="196">
        <v>0</v>
      </c>
      <c r="R77" s="196">
        <v>0</v>
      </c>
      <c r="S77" s="197">
        <v>0</v>
      </c>
      <c r="T77" s="199" t="s">
        <v>57</v>
      </c>
      <c r="U77" s="200">
        <f>U78/1.2</f>
        <v>18775</v>
      </c>
      <c r="V77" s="181"/>
      <c r="W77" s="422"/>
    </row>
    <row r="78" spans="1:23" s="212" customFormat="1" ht="12.75" customHeight="1" thickTop="1" thickBot="1" x14ac:dyDescent="0.25">
      <c r="A78" s="421"/>
      <c r="B78" s="201">
        <f>B77*B76</f>
        <v>1950</v>
      </c>
      <c r="C78" s="202">
        <f>C77*C76</f>
        <v>825</v>
      </c>
      <c r="D78" s="202">
        <f>D77*D76</f>
        <v>220</v>
      </c>
      <c r="E78" s="202">
        <f>E77*E76</f>
        <v>250</v>
      </c>
      <c r="F78" s="202">
        <f>F77*F76</f>
        <v>0</v>
      </c>
      <c r="G78" s="203">
        <v>6025</v>
      </c>
      <c r="H78" s="204">
        <f>H77*H76</f>
        <v>7210</v>
      </c>
      <c r="I78" s="205">
        <f>I77*I76</f>
        <v>3500</v>
      </c>
      <c r="J78" s="205">
        <f>J77*J76</f>
        <v>675</v>
      </c>
      <c r="K78" s="205">
        <f>K77*K76</f>
        <v>160</v>
      </c>
      <c r="L78" s="205">
        <f>L77*L76</f>
        <v>0</v>
      </c>
      <c r="M78" s="206">
        <v>0</v>
      </c>
      <c r="N78" s="204">
        <f>N77*N76</f>
        <v>360</v>
      </c>
      <c r="O78" s="205">
        <f>O77*O76</f>
        <v>1200</v>
      </c>
      <c r="P78" s="205">
        <f>P77*P76</f>
        <v>155</v>
      </c>
      <c r="Q78" s="205">
        <f>Q77*Q76</f>
        <v>0</v>
      </c>
      <c r="R78" s="205">
        <f>R77*R76</f>
        <v>0</v>
      </c>
      <c r="S78" s="206">
        <v>0</v>
      </c>
      <c r="T78" s="207" t="s">
        <v>58</v>
      </c>
      <c r="U78" s="213">
        <f>SUM(B78:G78,N78:S78:H78:M78)</f>
        <v>22530</v>
      </c>
      <c r="V78" s="211">
        <f>'GENEL HASILAT'!V29-U78</f>
        <v>0</v>
      </c>
      <c r="W78" s="423"/>
    </row>
    <row r="79" spans="1:23" s="212" customFormat="1" ht="12.75" customHeight="1" thickTop="1" thickBot="1" x14ac:dyDescent="0.25">
      <c r="A79" s="420">
        <f>'GENEL HASILAT'!A30</f>
        <v>45589</v>
      </c>
      <c r="B79" s="189">
        <f>$B$9</f>
        <v>50</v>
      </c>
      <c r="C79" s="190">
        <f>$C$9</f>
        <v>75</v>
      </c>
      <c r="D79" s="190">
        <f>$D$9</f>
        <v>110</v>
      </c>
      <c r="E79" s="190">
        <f>$E$9</f>
        <v>125</v>
      </c>
      <c r="F79" s="190">
        <f>$F$9</f>
        <v>175</v>
      </c>
      <c r="G79" s="191" t="e">
        <f>G81/G80</f>
        <v>#DIV/0!</v>
      </c>
      <c r="H79" s="192">
        <v>70</v>
      </c>
      <c r="I79" s="193">
        <v>100</v>
      </c>
      <c r="J79" s="193">
        <v>135</v>
      </c>
      <c r="K79" s="193">
        <v>160</v>
      </c>
      <c r="L79" s="193">
        <v>220</v>
      </c>
      <c r="M79" s="194" t="e">
        <f>M81/M80</f>
        <v>#DIV/0!</v>
      </c>
      <c r="N79" s="192">
        <f>$N$9</f>
        <v>90</v>
      </c>
      <c r="O79" s="193">
        <f>$O$9</f>
        <v>120</v>
      </c>
      <c r="P79" s="193">
        <f>$P$9</f>
        <v>155</v>
      </c>
      <c r="Q79" s="193">
        <f>$Q$9</f>
        <v>195</v>
      </c>
      <c r="R79" s="193">
        <f>$R$9</f>
        <v>265</v>
      </c>
      <c r="S79" s="194" t="e">
        <f>S81/S80</f>
        <v>#DIV/0!</v>
      </c>
      <c r="T79" s="182"/>
      <c r="U79" s="210"/>
      <c r="V79" s="181"/>
      <c r="W79" s="182"/>
    </row>
    <row r="80" spans="1:23" s="212" customFormat="1" ht="12.75" customHeight="1" thickTop="1" thickBot="1" x14ac:dyDescent="0.25">
      <c r="A80" s="421"/>
      <c r="B80" s="195"/>
      <c r="C80" s="196"/>
      <c r="D80" s="196"/>
      <c r="E80" s="196"/>
      <c r="F80" s="196"/>
      <c r="G80" s="197"/>
      <c r="H80" s="198"/>
      <c r="I80" s="196"/>
      <c r="J80" s="196"/>
      <c r="K80" s="196"/>
      <c r="L80" s="196"/>
      <c r="M80" s="197"/>
      <c r="N80" s="198"/>
      <c r="O80" s="196"/>
      <c r="P80" s="196"/>
      <c r="Q80" s="196"/>
      <c r="R80" s="196"/>
      <c r="S80" s="197"/>
      <c r="T80" s="199" t="s">
        <v>57</v>
      </c>
      <c r="U80" s="200">
        <f>U81/1.2</f>
        <v>0</v>
      </c>
      <c r="V80" s="181"/>
      <c r="W80" s="422"/>
    </row>
    <row r="81" spans="1:23" s="212" customFormat="1" ht="12.75" customHeight="1" thickTop="1" thickBot="1" x14ac:dyDescent="0.25">
      <c r="A81" s="421"/>
      <c r="B81" s="201">
        <f>B80*B79</f>
        <v>0</v>
      </c>
      <c r="C81" s="202">
        <f>C80*C79</f>
        <v>0</v>
      </c>
      <c r="D81" s="202">
        <f>D80*D79</f>
        <v>0</v>
      </c>
      <c r="E81" s="202">
        <f>E80*E79</f>
        <v>0</v>
      </c>
      <c r="F81" s="202">
        <f>F80*F79</f>
        <v>0</v>
      </c>
      <c r="G81" s="203">
        <v>0</v>
      </c>
      <c r="H81" s="204">
        <f>H80*H79</f>
        <v>0</v>
      </c>
      <c r="I81" s="205">
        <f>I80*I79</f>
        <v>0</v>
      </c>
      <c r="J81" s="205">
        <f>J80*J79</f>
        <v>0</v>
      </c>
      <c r="K81" s="205">
        <f>K80*K79</f>
        <v>0</v>
      </c>
      <c r="L81" s="205">
        <f>L80*L79</f>
        <v>0</v>
      </c>
      <c r="M81" s="206">
        <v>0</v>
      </c>
      <c r="N81" s="204">
        <f>N80*N79</f>
        <v>0</v>
      </c>
      <c r="O81" s="205">
        <f>O80*O79</f>
        <v>0</v>
      </c>
      <c r="P81" s="205">
        <f>P80*P79</f>
        <v>0</v>
      </c>
      <c r="Q81" s="205">
        <f>Q80*Q79</f>
        <v>0</v>
      </c>
      <c r="R81" s="205">
        <f>R80*R79</f>
        <v>0</v>
      </c>
      <c r="S81" s="206">
        <v>0</v>
      </c>
      <c r="T81" s="207" t="s">
        <v>58</v>
      </c>
      <c r="U81" s="213">
        <f>SUM(B81:G81,N81:S81:H81:M81)</f>
        <v>0</v>
      </c>
      <c r="V81" s="211">
        <f>'GENEL HASILAT'!V30-U81</f>
        <v>0</v>
      </c>
      <c r="W81" s="423"/>
    </row>
    <row r="82" spans="1:23" s="212" customFormat="1" ht="12.75" customHeight="1" thickTop="1" thickBot="1" x14ac:dyDescent="0.25">
      <c r="A82" s="420">
        <f>'GENEL HASILAT'!A31</f>
        <v>45590</v>
      </c>
      <c r="B82" s="189">
        <f>$B$9</f>
        <v>50</v>
      </c>
      <c r="C82" s="190">
        <f>$C$9</f>
        <v>75</v>
      </c>
      <c r="D82" s="190">
        <f>$D$9</f>
        <v>110</v>
      </c>
      <c r="E82" s="190">
        <f>$E$9</f>
        <v>125</v>
      </c>
      <c r="F82" s="190">
        <f>$F$9</f>
        <v>175</v>
      </c>
      <c r="G82" s="191" t="e">
        <f>G84/G83</f>
        <v>#DIV/0!</v>
      </c>
      <c r="H82" s="192">
        <v>70</v>
      </c>
      <c r="I82" s="193">
        <v>100</v>
      </c>
      <c r="J82" s="193">
        <v>135</v>
      </c>
      <c r="K82" s="193">
        <v>160</v>
      </c>
      <c r="L82" s="193">
        <v>220</v>
      </c>
      <c r="M82" s="194" t="e">
        <f>M84/M83</f>
        <v>#DIV/0!</v>
      </c>
      <c r="N82" s="192">
        <f>$N$9</f>
        <v>90</v>
      </c>
      <c r="O82" s="193">
        <f>$O$9</f>
        <v>120</v>
      </c>
      <c r="P82" s="193">
        <f>$P$9</f>
        <v>155</v>
      </c>
      <c r="Q82" s="193">
        <f>$Q$9</f>
        <v>195</v>
      </c>
      <c r="R82" s="193">
        <f>$R$9</f>
        <v>265</v>
      </c>
      <c r="S82" s="194" t="e">
        <f>S84/S83</f>
        <v>#DIV/0!</v>
      </c>
      <c r="T82" s="182"/>
      <c r="U82" s="210"/>
      <c r="V82" s="181"/>
      <c r="W82" s="182"/>
    </row>
    <row r="83" spans="1:23" s="212" customFormat="1" ht="12.75" customHeight="1" thickTop="1" thickBot="1" x14ac:dyDescent="0.25">
      <c r="A83" s="421"/>
      <c r="B83" s="195"/>
      <c r="C83" s="196"/>
      <c r="D83" s="196"/>
      <c r="E83" s="196"/>
      <c r="F83" s="196"/>
      <c r="G83" s="197"/>
      <c r="H83" s="198"/>
      <c r="I83" s="196"/>
      <c r="J83" s="196"/>
      <c r="K83" s="196"/>
      <c r="L83" s="196"/>
      <c r="M83" s="197"/>
      <c r="N83" s="198"/>
      <c r="O83" s="196"/>
      <c r="P83" s="196"/>
      <c r="Q83" s="196"/>
      <c r="R83" s="196"/>
      <c r="S83" s="197"/>
      <c r="T83" s="199" t="s">
        <v>57</v>
      </c>
      <c r="U83" s="200">
        <f>U84/1.2</f>
        <v>0</v>
      </c>
      <c r="V83" s="181"/>
      <c r="W83" s="422"/>
    </row>
    <row r="84" spans="1:23" s="212" customFormat="1" ht="12.75" customHeight="1" thickTop="1" thickBot="1" x14ac:dyDescent="0.25">
      <c r="A84" s="421"/>
      <c r="B84" s="201">
        <f>B83*B82</f>
        <v>0</v>
      </c>
      <c r="C84" s="202">
        <f>C83*C82</f>
        <v>0</v>
      </c>
      <c r="D84" s="202">
        <f>D83*D82</f>
        <v>0</v>
      </c>
      <c r="E84" s="202">
        <f>E83*E82</f>
        <v>0</v>
      </c>
      <c r="F84" s="202">
        <f>F83*F82</f>
        <v>0</v>
      </c>
      <c r="G84" s="203">
        <v>0</v>
      </c>
      <c r="H84" s="204">
        <f>H83*H82</f>
        <v>0</v>
      </c>
      <c r="I84" s="205">
        <f>I83*I82</f>
        <v>0</v>
      </c>
      <c r="J84" s="205">
        <f>J83*J82</f>
        <v>0</v>
      </c>
      <c r="K84" s="205">
        <f>K83*K82</f>
        <v>0</v>
      </c>
      <c r="L84" s="205">
        <f>L83*L82</f>
        <v>0</v>
      </c>
      <c r="M84" s="206">
        <v>0</v>
      </c>
      <c r="N84" s="204">
        <f>N83*N82</f>
        <v>0</v>
      </c>
      <c r="O84" s="205">
        <f>O83*O82</f>
        <v>0</v>
      </c>
      <c r="P84" s="205">
        <f>P83*P82</f>
        <v>0</v>
      </c>
      <c r="Q84" s="205">
        <f>Q83*Q82</f>
        <v>0</v>
      </c>
      <c r="R84" s="205">
        <f>R83*R82</f>
        <v>0</v>
      </c>
      <c r="S84" s="206">
        <v>0</v>
      </c>
      <c r="T84" s="207" t="s">
        <v>58</v>
      </c>
      <c r="U84" s="213">
        <f>SUM(B84:G84,N84:S84:H84:M84)</f>
        <v>0</v>
      </c>
      <c r="V84" s="211">
        <f>'GENEL HASILAT'!V31-U84</f>
        <v>0</v>
      </c>
      <c r="W84" s="423"/>
    </row>
    <row r="85" spans="1:23" s="212" customFormat="1" ht="12.75" customHeight="1" thickTop="1" thickBot="1" x14ac:dyDescent="0.25">
      <c r="A85" s="420">
        <f>'GENEL HASILAT'!A32</f>
        <v>45591</v>
      </c>
      <c r="B85" s="189">
        <f>$B$9</f>
        <v>50</v>
      </c>
      <c r="C85" s="190">
        <f>$C$9</f>
        <v>75</v>
      </c>
      <c r="D85" s="190">
        <f>$D$9</f>
        <v>110</v>
      </c>
      <c r="E85" s="190">
        <f>$E$9</f>
        <v>125</v>
      </c>
      <c r="F85" s="190">
        <f>$F$9</f>
        <v>175</v>
      </c>
      <c r="G85" s="191" t="e">
        <f>G87/G86</f>
        <v>#DIV/0!</v>
      </c>
      <c r="H85" s="192">
        <v>70</v>
      </c>
      <c r="I85" s="193">
        <v>100</v>
      </c>
      <c r="J85" s="193">
        <v>135</v>
      </c>
      <c r="K85" s="193">
        <v>160</v>
      </c>
      <c r="L85" s="193">
        <v>220</v>
      </c>
      <c r="M85" s="194" t="e">
        <f>M87/M86</f>
        <v>#DIV/0!</v>
      </c>
      <c r="N85" s="192">
        <f>$N$9</f>
        <v>90</v>
      </c>
      <c r="O85" s="193">
        <f>$O$9</f>
        <v>120</v>
      </c>
      <c r="P85" s="193">
        <f>$P$9</f>
        <v>155</v>
      </c>
      <c r="Q85" s="193">
        <f>$Q$9</f>
        <v>195</v>
      </c>
      <c r="R85" s="193">
        <f>$R$9</f>
        <v>265</v>
      </c>
      <c r="S85" s="194" t="e">
        <f>S87/S86</f>
        <v>#DIV/0!</v>
      </c>
      <c r="T85" s="182"/>
      <c r="U85" s="210"/>
      <c r="V85" s="181"/>
      <c r="W85" s="182"/>
    </row>
    <row r="86" spans="1:23" s="212" customFormat="1" ht="12.75" customHeight="1" thickTop="1" thickBot="1" x14ac:dyDescent="0.25">
      <c r="A86" s="421"/>
      <c r="B86" s="195"/>
      <c r="C86" s="196"/>
      <c r="D86" s="196"/>
      <c r="E86" s="196"/>
      <c r="F86" s="196"/>
      <c r="G86" s="197"/>
      <c r="H86" s="198"/>
      <c r="I86" s="196"/>
      <c r="J86" s="196"/>
      <c r="K86" s="196"/>
      <c r="L86" s="196"/>
      <c r="M86" s="197"/>
      <c r="N86" s="198"/>
      <c r="O86" s="196"/>
      <c r="P86" s="196"/>
      <c r="Q86" s="196"/>
      <c r="R86" s="196"/>
      <c r="S86" s="197"/>
      <c r="T86" s="199" t="s">
        <v>57</v>
      </c>
      <c r="U86" s="200">
        <f>U87/1.2</f>
        <v>0</v>
      </c>
      <c r="V86" s="181"/>
      <c r="W86" s="422"/>
    </row>
    <row r="87" spans="1:23" s="212" customFormat="1" ht="12.75" customHeight="1" thickTop="1" thickBot="1" x14ac:dyDescent="0.25">
      <c r="A87" s="421"/>
      <c r="B87" s="201">
        <f>B86*B85</f>
        <v>0</v>
      </c>
      <c r="C87" s="202">
        <f>C86*C85</f>
        <v>0</v>
      </c>
      <c r="D87" s="202">
        <f>D86*D85</f>
        <v>0</v>
      </c>
      <c r="E87" s="202">
        <f>E86*E85</f>
        <v>0</v>
      </c>
      <c r="F87" s="202">
        <f>F86*F85</f>
        <v>0</v>
      </c>
      <c r="G87" s="203">
        <v>0</v>
      </c>
      <c r="H87" s="204">
        <f>H86*H85</f>
        <v>0</v>
      </c>
      <c r="I87" s="205">
        <f>I86*I85</f>
        <v>0</v>
      </c>
      <c r="J87" s="205">
        <f>J86*J85</f>
        <v>0</v>
      </c>
      <c r="K87" s="205">
        <f>K86*K85</f>
        <v>0</v>
      </c>
      <c r="L87" s="205">
        <f>L86*L85</f>
        <v>0</v>
      </c>
      <c r="M87" s="206">
        <v>0</v>
      </c>
      <c r="N87" s="204">
        <f>N86*N85</f>
        <v>0</v>
      </c>
      <c r="O87" s="205">
        <f>O86*O85</f>
        <v>0</v>
      </c>
      <c r="P87" s="205">
        <f>P86*P85</f>
        <v>0</v>
      </c>
      <c r="Q87" s="205">
        <f>Q86*Q85</f>
        <v>0</v>
      </c>
      <c r="R87" s="205">
        <f>R86*R85</f>
        <v>0</v>
      </c>
      <c r="S87" s="206">
        <v>0</v>
      </c>
      <c r="T87" s="207" t="s">
        <v>58</v>
      </c>
      <c r="U87" s="213">
        <f>SUM(B87:G87,N87:S87:H87:M87)</f>
        <v>0</v>
      </c>
      <c r="V87" s="211">
        <f>'GENEL HASILAT'!V32-U87</f>
        <v>0</v>
      </c>
      <c r="W87" s="423"/>
    </row>
    <row r="88" spans="1:23" s="212" customFormat="1" ht="12.75" customHeight="1" thickTop="1" thickBot="1" x14ac:dyDescent="0.25">
      <c r="A88" s="420">
        <f>'GENEL HASILAT'!A33</f>
        <v>45592</v>
      </c>
      <c r="B88" s="189">
        <f>$B$9</f>
        <v>50</v>
      </c>
      <c r="C88" s="190">
        <f>$C$9</f>
        <v>75</v>
      </c>
      <c r="D88" s="190">
        <f>$D$9</f>
        <v>110</v>
      </c>
      <c r="E88" s="190">
        <f>$E$9</f>
        <v>125</v>
      </c>
      <c r="F88" s="190">
        <f>$F$9</f>
        <v>175</v>
      </c>
      <c r="G88" s="191" t="e">
        <f>G90/G89</f>
        <v>#DIV/0!</v>
      </c>
      <c r="H88" s="192">
        <v>70</v>
      </c>
      <c r="I88" s="193">
        <v>100</v>
      </c>
      <c r="J88" s="193">
        <v>135</v>
      </c>
      <c r="K88" s="193">
        <v>160</v>
      </c>
      <c r="L88" s="193">
        <v>220</v>
      </c>
      <c r="M88" s="194" t="e">
        <f>M90/M89</f>
        <v>#DIV/0!</v>
      </c>
      <c r="N88" s="192">
        <f>$N$9</f>
        <v>90</v>
      </c>
      <c r="O88" s="193">
        <f>$O$9</f>
        <v>120</v>
      </c>
      <c r="P88" s="193">
        <f>$P$9</f>
        <v>155</v>
      </c>
      <c r="Q88" s="193">
        <f>$Q$9</f>
        <v>195</v>
      </c>
      <c r="R88" s="193">
        <f>$R$9</f>
        <v>265</v>
      </c>
      <c r="S88" s="194" t="e">
        <f>S90/S89</f>
        <v>#DIV/0!</v>
      </c>
      <c r="T88" s="182"/>
      <c r="U88" s="210"/>
      <c r="V88" s="181"/>
      <c r="W88" s="182"/>
    </row>
    <row r="89" spans="1:23" s="212" customFormat="1" ht="12.75" customHeight="1" thickTop="1" thickBot="1" x14ac:dyDescent="0.25">
      <c r="A89" s="421"/>
      <c r="B89" s="195"/>
      <c r="C89" s="196"/>
      <c r="D89" s="196"/>
      <c r="E89" s="196"/>
      <c r="F89" s="196"/>
      <c r="G89" s="197"/>
      <c r="H89" s="198"/>
      <c r="I89" s="196"/>
      <c r="J89" s="196"/>
      <c r="K89" s="196"/>
      <c r="L89" s="196"/>
      <c r="M89" s="197"/>
      <c r="N89" s="198"/>
      <c r="O89" s="196"/>
      <c r="P89" s="196"/>
      <c r="Q89" s="196"/>
      <c r="R89" s="196"/>
      <c r="S89" s="197"/>
      <c r="T89" s="199" t="s">
        <v>57</v>
      </c>
      <c r="U89" s="200">
        <f>U90/1.2</f>
        <v>0</v>
      </c>
      <c r="V89" s="181"/>
      <c r="W89" s="422"/>
    </row>
    <row r="90" spans="1:23" s="212" customFormat="1" ht="12.75" customHeight="1" thickTop="1" thickBot="1" x14ac:dyDescent="0.25">
      <c r="A90" s="421"/>
      <c r="B90" s="201">
        <f>B89*B88</f>
        <v>0</v>
      </c>
      <c r="C90" s="202">
        <f>C89*C88</f>
        <v>0</v>
      </c>
      <c r="D90" s="202">
        <f>D89*D88</f>
        <v>0</v>
      </c>
      <c r="E90" s="202">
        <f>E89*E88</f>
        <v>0</v>
      </c>
      <c r="F90" s="202">
        <f>F89*F88</f>
        <v>0</v>
      </c>
      <c r="G90" s="203">
        <v>0</v>
      </c>
      <c r="H90" s="204">
        <f>H89*H88</f>
        <v>0</v>
      </c>
      <c r="I90" s="205">
        <f>I89*I88</f>
        <v>0</v>
      </c>
      <c r="J90" s="205">
        <f>J89*J88</f>
        <v>0</v>
      </c>
      <c r="K90" s="205">
        <f>K89*K88</f>
        <v>0</v>
      </c>
      <c r="L90" s="205">
        <f>L89*L88</f>
        <v>0</v>
      </c>
      <c r="M90" s="206">
        <v>0</v>
      </c>
      <c r="N90" s="204">
        <f>N89*N88</f>
        <v>0</v>
      </c>
      <c r="O90" s="205">
        <f>O89*O88</f>
        <v>0</v>
      </c>
      <c r="P90" s="205">
        <f>P89*P88</f>
        <v>0</v>
      </c>
      <c r="Q90" s="205">
        <f>Q89*Q88</f>
        <v>0</v>
      </c>
      <c r="R90" s="205">
        <f>R89*R88</f>
        <v>0</v>
      </c>
      <c r="S90" s="206">
        <v>0</v>
      </c>
      <c r="T90" s="207" t="s">
        <v>58</v>
      </c>
      <c r="U90" s="213">
        <f>SUM(B90:G90,N90:S90:H90:M90)</f>
        <v>0</v>
      </c>
      <c r="V90" s="211">
        <f>'GENEL HASILAT'!V33-U90</f>
        <v>0</v>
      </c>
      <c r="W90" s="423"/>
    </row>
    <row r="91" spans="1:23" s="212" customFormat="1" ht="12.75" customHeight="1" thickTop="1" thickBot="1" x14ac:dyDescent="0.25">
      <c r="A91" s="420">
        <f>'GENEL HASILAT'!A34</f>
        <v>45593</v>
      </c>
      <c r="B91" s="189">
        <f>$B$9</f>
        <v>50</v>
      </c>
      <c r="C91" s="190">
        <f>$C$9</f>
        <v>75</v>
      </c>
      <c r="D91" s="190">
        <f>$D$9</f>
        <v>110</v>
      </c>
      <c r="E91" s="190">
        <f>$E$9</f>
        <v>125</v>
      </c>
      <c r="F91" s="190">
        <f>$F$9</f>
        <v>175</v>
      </c>
      <c r="G91" s="191" t="e">
        <f>G93/G92</f>
        <v>#DIV/0!</v>
      </c>
      <c r="H91" s="192">
        <v>70</v>
      </c>
      <c r="I91" s="193">
        <v>100</v>
      </c>
      <c r="J91" s="193">
        <v>135</v>
      </c>
      <c r="K91" s="193">
        <v>160</v>
      </c>
      <c r="L91" s="193">
        <v>220</v>
      </c>
      <c r="M91" s="194" t="e">
        <f>M93/M92</f>
        <v>#DIV/0!</v>
      </c>
      <c r="N91" s="192">
        <f>$N$9</f>
        <v>90</v>
      </c>
      <c r="O91" s="193">
        <f>$O$9</f>
        <v>120</v>
      </c>
      <c r="P91" s="193">
        <f>$P$9</f>
        <v>155</v>
      </c>
      <c r="Q91" s="193">
        <f>$Q$9</f>
        <v>195</v>
      </c>
      <c r="R91" s="193">
        <f>$R$9</f>
        <v>265</v>
      </c>
      <c r="S91" s="194" t="e">
        <f>S93/S92</f>
        <v>#DIV/0!</v>
      </c>
      <c r="T91" s="182"/>
      <c r="U91" s="210"/>
      <c r="V91" s="181"/>
      <c r="W91" s="182"/>
    </row>
    <row r="92" spans="1:23" s="212" customFormat="1" ht="12.75" customHeight="1" thickTop="1" thickBot="1" x14ac:dyDescent="0.25">
      <c r="A92" s="421"/>
      <c r="B92" s="195"/>
      <c r="C92" s="196"/>
      <c r="D92" s="196"/>
      <c r="E92" s="196"/>
      <c r="F92" s="196"/>
      <c r="G92" s="197"/>
      <c r="H92" s="198"/>
      <c r="I92" s="196"/>
      <c r="J92" s="196"/>
      <c r="K92" s="196"/>
      <c r="L92" s="196"/>
      <c r="M92" s="197"/>
      <c r="N92" s="198"/>
      <c r="O92" s="196"/>
      <c r="P92" s="196"/>
      <c r="Q92" s="196"/>
      <c r="R92" s="196"/>
      <c r="S92" s="197"/>
      <c r="T92" s="199" t="s">
        <v>57</v>
      </c>
      <c r="U92" s="200">
        <f>U93/1.2</f>
        <v>0</v>
      </c>
      <c r="V92" s="181"/>
      <c r="W92" s="422"/>
    </row>
    <row r="93" spans="1:23" s="212" customFormat="1" ht="12.75" customHeight="1" thickTop="1" thickBot="1" x14ac:dyDescent="0.25">
      <c r="A93" s="421"/>
      <c r="B93" s="201">
        <f>B92*B91</f>
        <v>0</v>
      </c>
      <c r="C93" s="202">
        <f>C92*C91</f>
        <v>0</v>
      </c>
      <c r="D93" s="202">
        <f>D92*D91</f>
        <v>0</v>
      </c>
      <c r="E93" s="202">
        <f>E92*E91</f>
        <v>0</v>
      </c>
      <c r="F93" s="202">
        <f>F92*F91</f>
        <v>0</v>
      </c>
      <c r="G93" s="203">
        <v>0</v>
      </c>
      <c r="H93" s="204">
        <f>H92*H91</f>
        <v>0</v>
      </c>
      <c r="I93" s="205">
        <f>I92*I91</f>
        <v>0</v>
      </c>
      <c r="J93" s="205">
        <f>J92*J91</f>
        <v>0</v>
      </c>
      <c r="K93" s="205">
        <f>K92*K91</f>
        <v>0</v>
      </c>
      <c r="L93" s="205">
        <f>L92*L91</f>
        <v>0</v>
      </c>
      <c r="M93" s="206">
        <v>0</v>
      </c>
      <c r="N93" s="204">
        <f>N92*N91</f>
        <v>0</v>
      </c>
      <c r="O93" s="205">
        <f>O92*O91</f>
        <v>0</v>
      </c>
      <c r="P93" s="205">
        <f>P92*P91</f>
        <v>0</v>
      </c>
      <c r="Q93" s="205">
        <f>Q92*Q91</f>
        <v>0</v>
      </c>
      <c r="R93" s="205">
        <f>R92*R91</f>
        <v>0</v>
      </c>
      <c r="S93" s="206">
        <v>0</v>
      </c>
      <c r="T93" s="207" t="s">
        <v>58</v>
      </c>
      <c r="U93" s="213">
        <f>SUM(B93:G93,N93:S93:H93:M93)</f>
        <v>0</v>
      </c>
      <c r="V93" s="211">
        <f>'GENEL HASILAT'!V34-U93</f>
        <v>0</v>
      </c>
      <c r="W93" s="423"/>
    </row>
    <row r="94" spans="1:23" s="212" customFormat="1" ht="12.75" customHeight="1" thickTop="1" thickBot="1" x14ac:dyDescent="0.25">
      <c r="A94" s="420">
        <f>'GENEL HASILAT'!A35</f>
        <v>45594</v>
      </c>
      <c r="B94" s="189">
        <f>$B$9</f>
        <v>50</v>
      </c>
      <c r="C94" s="190">
        <f>$C$9</f>
        <v>75</v>
      </c>
      <c r="D94" s="190">
        <f>$D$9</f>
        <v>110</v>
      </c>
      <c r="E94" s="190">
        <f>$E$9</f>
        <v>125</v>
      </c>
      <c r="F94" s="190">
        <f>$F$9</f>
        <v>175</v>
      </c>
      <c r="G94" s="191" t="e">
        <f>G96/G95</f>
        <v>#DIV/0!</v>
      </c>
      <c r="H94" s="192">
        <v>70</v>
      </c>
      <c r="I94" s="193">
        <v>100</v>
      </c>
      <c r="J94" s="193">
        <v>135</v>
      </c>
      <c r="K94" s="193">
        <v>160</v>
      </c>
      <c r="L94" s="193">
        <v>220</v>
      </c>
      <c r="M94" s="194" t="e">
        <f>M96/M95</f>
        <v>#DIV/0!</v>
      </c>
      <c r="N94" s="192">
        <f>$N$9</f>
        <v>90</v>
      </c>
      <c r="O94" s="193">
        <f>$O$9</f>
        <v>120</v>
      </c>
      <c r="P94" s="193">
        <f>$P$9</f>
        <v>155</v>
      </c>
      <c r="Q94" s="193">
        <f>$Q$9</f>
        <v>195</v>
      </c>
      <c r="R94" s="193">
        <f>$R$9</f>
        <v>265</v>
      </c>
      <c r="S94" s="194" t="e">
        <f>S96/S95</f>
        <v>#DIV/0!</v>
      </c>
      <c r="T94" s="182"/>
      <c r="U94" s="210"/>
      <c r="V94" s="181"/>
      <c r="W94" s="182"/>
    </row>
    <row r="95" spans="1:23" s="212" customFormat="1" ht="12.75" customHeight="1" thickTop="1" thickBot="1" x14ac:dyDescent="0.25">
      <c r="A95" s="421"/>
      <c r="B95" s="195"/>
      <c r="C95" s="196"/>
      <c r="D95" s="196"/>
      <c r="E95" s="196"/>
      <c r="F95" s="196"/>
      <c r="G95" s="197"/>
      <c r="H95" s="198"/>
      <c r="I95" s="196"/>
      <c r="J95" s="196"/>
      <c r="K95" s="196"/>
      <c r="L95" s="196"/>
      <c r="M95" s="197"/>
      <c r="N95" s="198"/>
      <c r="O95" s="196"/>
      <c r="P95" s="196"/>
      <c r="Q95" s="196"/>
      <c r="R95" s="196"/>
      <c r="S95" s="197"/>
      <c r="T95" s="199" t="s">
        <v>57</v>
      </c>
      <c r="U95" s="200">
        <f>U96/1.2</f>
        <v>0</v>
      </c>
      <c r="V95" s="181"/>
      <c r="W95" s="422"/>
    </row>
    <row r="96" spans="1:23" s="212" customFormat="1" ht="12.75" customHeight="1" thickTop="1" thickBot="1" x14ac:dyDescent="0.25">
      <c r="A96" s="421"/>
      <c r="B96" s="201">
        <f>B95*B94</f>
        <v>0</v>
      </c>
      <c r="C96" s="202">
        <f>C95*C94</f>
        <v>0</v>
      </c>
      <c r="D96" s="202">
        <f>D95*D94</f>
        <v>0</v>
      </c>
      <c r="E96" s="202">
        <f>E95*E94</f>
        <v>0</v>
      </c>
      <c r="F96" s="202">
        <f>F95*F94</f>
        <v>0</v>
      </c>
      <c r="G96" s="203">
        <v>0</v>
      </c>
      <c r="H96" s="204">
        <f>H95*H94</f>
        <v>0</v>
      </c>
      <c r="I96" s="205">
        <f>I95*I94</f>
        <v>0</v>
      </c>
      <c r="J96" s="205">
        <f>J95*J94</f>
        <v>0</v>
      </c>
      <c r="K96" s="205">
        <f>K95*K94</f>
        <v>0</v>
      </c>
      <c r="L96" s="205">
        <f>L95*L94</f>
        <v>0</v>
      </c>
      <c r="M96" s="206">
        <v>0</v>
      </c>
      <c r="N96" s="204">
        <f>N95*N94</f>
        <v>0</v>
      </c>
      <c r="O96" s="205">
        <f>O95*O94</f>
        <v>0</v>
      </c>
      <c r="P96" s="205">
        <f>P95*P94</f>
        <v>0</v>
      </c>
      <c r="Q96" s="205">
        <f>Q95*Q94</f>
        <v>0</v>
      </c>
      <c r="R96" s="205">
        <f>R95*R94</f>
        <v>0</v>
      </c>
      <c r="S96" s="206">
        <v>0</v>
      </c>
      <c r="T96" s="207" t="s">
        <v>58</v>
      </c>
      <c r="U96" s="213">
        <f>SUM(B96:G96,N96:S96:H96:M96)</f>
        <v>0</v>
      </c>
      <c r="V96" s="211">
        <f>'GENEL HASILAT'!V35-U96</f>
        <v>0</v>
      </c>
      <c r="W96" s="423"/>
    </row>
    <row r="97" spans="1:23" s="212" customFormat="1" ht="12.75" customHeight="1" thickTop="1" thickBot="1" x14ac:dyDescent="0.25">
      <c r="A97" s="420">
        <f>'GENEL HASILAT'!A36</f>
        <v>45595</v>
      </c>
      <c r="B97" s="189">
        <f>$B$9</f>
        <v>50</v>
      </c>
      <c r="C97" s="190">
        <f>$C$9</f>
        <v>75</v>
      </c>
      <c r="D97" s="190">
        <f>$D$9</f>
        <v>110</v>
      </c>
      <c r="E97" s="190">
        <f>$E$9</f>
        <v>125</v>
      </c>
      <c r="F97" s="190">
        <f>$F$9</f>
        <v>175</v>
      </c>
      <c r="G97" s="191" t="e">
        <f>G99/G98</f>
        <v>#DIV/0!</v>
      </c>
      <c r="H97" s="192">
        <v>70</v>
      </c>
      <c r="I97" s="193">
        <v>100</v>
      </c>
      <c r="J97" s="193">
        <v>135</v>
      </c>
      <c r="K97" s="193">
        <v>160</v>
      </c>
      <c r="L97" s="193">
        <v>220</v>
      </c>
      <c r="M97" s="194" t="e">
        <f>M99/M98</f>
        <v>#DIV/0!</v>
      </c>
      <c r="N97" s="192">
        <f>$N$9</f>
        <v>90</v>
      </c>
      <c r="O97" s="193">
        <f>$O$9</f>
        <v>120</v>
      </c>
      <c r="P97" s="193">
        <f>$P$9</f>
        <v>155</v>
      </c>
      <c r="Q97" s="193">
        <f>$Q$9</f>
        <v>195</v>
      </c>
      <c r="R97" s="193">
        <f>$R$9</f>
        <v>265</v>
      </c>
      <c r="S97" s="194" t="e">
        <f>S99/S98</f>
        <v>#DIV/0!</v>
      </c>
      <c r="T97" s="182"/>
      <c r="U97" s="210"/>
      <c r="V97" s="181"/>
      <c r="W97" s="182"/>
    </row>
    <row r="98" spans="1:23" s="212" customFormat="1" ht="12.75" customHeight="1" thickTop="1" thickBot="1" x14ac:dyDescent="0.25">
      <c r="A98" s="421"/>
      <c r="B98" s="195"/>
      <c r="C98" s="196"/>
      <c r="D98" s="196"/>
      <c r="E98" s="196"/>
      <c r="F98" s="196"/>
      <c r="G98" s="197"/>
      <c r="H98" s="198"/>
      <c r="I98" s="196"/>
      <c r="J98" s="196"/>
      <c r="K98" s="196"/>
      <c r="L98" s="196"/>
      <c r="M98" s="197"/>
      <c r="N98" s="198"/>
      <c r="O98" s="196"/>
      <c r="P98" s="196"/>
      <c r="Q98" s="196"/>
      <c r="R98" s="196"/>
      <c r="S98" s="197"/>
      <c r="T98" s="199" t="s">
        <v>57</v>
      </c>
      <c r="U98" s="200">
        <f>U99/1.2</f>
        <v>0</v>
      </c>
      <c r="V98" s="181"/>
      <c r="W98" s="422"/>
    </row>
    <row r="99" spans="1:23" s="212" customFormat="1" ht="12.75" customHeight="1" thickTop="1" thickBot="1" x14ac:dyDescent="0.25">
      <c r="A99" s="421"/>
      <c r="B99" s="201">
        <f>B98*B97</f>
        <v>0</v>
      </c>
      <c r="C99" s="202">
        <f>C98*C97</f>
        <v>0</v>
      </c>
      <c r="D99" s="202">
        <f>D98*D97</f>
        <v>0</v>
      </c>
      <c r="E99" s="202">
        <f>E98*E97</f>
        <v>0</v>
      </c>
      <c r="F99" s="202">
        <f>F98*F97</f>
        <v>0</v>
      </c>
      <c r="G99" s="203">
        <v>0</v>
      </c>
      <c r="H99" s="204">
        <f>H98*H97</f>
        <v>0</v>
      </c>
      <c r="I99" s="205">
        <f>I98*I97</f>
        <v>0</v>
      </c>
      <c r="J99" s="205">
        <f>J98*J97</f>
        <v>0</v>
      </c>
      <c r="K99" s="205">
        <f>K98*K97</f>
        <v>0</v>
      </c>
      <c r="L99" s="205">
        <f>L98*L97</f>
        <v>0</v>
      </c>
      <c r="M99" s="206">
        <v>0</v>
      </c>
      <c r="N99" s="204">
        <f>N98*N97</f>
        <v>0</v>
      </c>
      <c r="O99" s="205">
        <f>O98*O97</f>
        <v>0</v>
      </c>
      <c r="P99" s="205">
        <f>P98*P97</f>
        <v>0</v>
      </c>
      <c r="Q99" s="205">
        <f>Q98*Q97</f>
        <v>0</v>
      </c>
      <c r="R99" s="205">
        <f>R98*R97</f>
        <v>0</v>
      </c>
      <c r="S99" s="206">
        <v>0</v>
      </c>
      <c r="T99" s="207" t="s">
        <v>58</v>
      </c>
      <c r="U99" s="213">
        <f>SUM(B99:G99,N99:S99:H99:M99)</f>
        <v>0</v>
      </c>
      <c r="V99" s="211">
        <f>'GENEL HASILAT'!V36-U99</f>
        <v>0</v>
      </c>
      <c r="W99" s="423"/>
    </row>
    <row r="100" spans="1:23" s="212" customFormat="1" ht="12.75" customHeight="1" thickTop="1" thickBot="1" x14ac:dyDescent="0.25">
      <c r="A100" s="420">
        <f>'GENEL HASILAT'!A37</f>
        <v>45596</v>
      </c>
      <c r="B100" s="189">
        <f>$B$9</f>
        <v>50</v>
      </c>
      <c r="C100" s="190">
        <f>$C$9</f>
        <v>75</v>
      </c>
      <c r="D100" s="190">
        <f>$D$9</f>
        <v>110</v>
      </c>
      <c r="E100" s="190">
        <f>$E$9</f>
        <v>125</v>
      </c>
      <c r="F100" s="190">
        <f>$F$9</f>
        <v>175</v>
      </c>
      <c r="G100" s="191" t="e">
        <f>G102/G101</f>
        <v>#DIV/0!</v>
      </c>
      <c r="H100" s="192">
        <v>70</v>
      </c>
      <c r="I100" s="193">
        <v>100</v>
      </c>
      <c r="J100" s="193">
        <v>135</v>
      </c>
      <c r="K100" s="193">
        <v>160</v>
      </c>
      <c r="L100" s="193">
        <v>220</v>
      </c>
      <c r="M100" s="194" t="e">
        <f>M102/M101</f>
        <v>#DIV/0!</v>
      </c>
      <c r="N100" s="192">
        <f>$N$9</f>
        <v>90</v>
      </c>
      <c r="O100" s="193">
        <f>$O$9</f>
        <v>120</v>
      </c>
      <c r="P100" s="193">
        <f>$P$9</f>
        <v>155</v>
      </c>
      <c r="Q100" s="193">
        <f>$Q$9</f>
        <v>195</v>
      </c>
      <c r="R100" s="193">
        <f>$R$9</f>
        <v>265</v>
      </c>
      <c r="S100" s="194" t="e">
        <f>S102/S101</f>
        <v>#DIV/0!</v>
      </c>
      <c r="T100" s="182"/>
      <c r="U100" s="210"/>
      <c r="V100" s="181"/>
      <c r="W100" s="182"/>
    </row>
    <row r="101" spans="1:23" s="212" customFormat="1" ht="12.75" customHeight="1" thickTop="1" thickBot="1" x14ac:dyDescent="0.25">
      <c r="A101" s="421"/>
      <c r="B101" s="195"/>
      <c r="C101" s="196"/>
      <c r="D101" s="196"/>
      <c r="E101" s="196"/>
      <c r="F101" s="196"/>
      <c r="G101" s="197"/>
      <c r="H101" s="198"/>
      <c r="I101" s="196"/>
      <c r="J101" s="196"/>
      <c r="K101" s="196"/>
      <c r="L101" s="196"/>
      <c r="M101" s="197"/>
      <c r="N101" s="198"/>
      <c r="O101" s="196"/>
      <c r="P101" s="196"/>
      <c r="Q101" s="196"/>
      <c r="R101" s="196"/>
      <c r="S101" s="197"/>
      <c r="T101" s="199" t="s">
        <v>57</v>
      </c>
      <c r="U101" s="200">
        <f>U102/1.2</f>
        <v>0</v>
      </c>
      <c r="V101" s="181"/>
      <c r="W101" s="422"/>
    </row>
    <row r="102" spans="1:23" s="212" customFormat="1" ht="12.75" customHeight="1" thickTop="1" thickBot="1" x14ac:dyDescent="0.25">
      <c r="A102" s="421"/>
      <c r="B102" s="201">
        <f>B101*B100</f>
        <v>0</v>
      </c>
      <c r="C102" s="202">
        <f>C101*C100</f>
        <v>0</v>
      </c>
      <c r="D102" s="202">
        <f>D101*D100</f>
        <v>0</v>
      </c>
      <c r="E102" s="202">
        <f>E101*E100</f>
        <v>0</v>
      </c>
      <c r="F102" s="202">
        <f>F101*F100</f>
        <v>0</v>
      </c>
      <c r="G102" s="203">
        <v>0</v>
      </c>
      <c r="H102" s="214">
        <f>H101*H100</f>
        <v>0</v>
      </c>
      <c r="I102" s="215">
        <f>I101*I100</f>
        <v>0</v>
      </c>
      <c r="J102" s="215">
        <f>J101*J100</f>
        <v>0</v>
      </c>
      <c r="K102" s="215">
        <f>K101*K100</f>
        <v>0</v>
      </c>
      <c r="L102" s="215">
        <f>L101*L100</f>
        <v>0</v>
      </c>
      <c r="M102" s="216">
        <v>0</v>
      </c>
      <c r="N102" s="214">
        <f>N101*N100</f>
        <v>0</v>
      </c>
      <c r="O102" s="215">
        <f>O101*O100</f>
        <v>0</v>
      </c>
      <c r="P102" s="215">
        <f>P101*P100</f>
        <v>0</v>
      </c>
      <c r="Q102" s="215">
        <f>Q101*Q100</f>
        <v>0</v>
      </c>
      <c r="R102" s="215">
        <f>R101*R100</f>
        <v>0</v>
      </c>
      <c r="S102" s="216">
        <v>0</v>
      </c>
      <c r="T102" s="207" t="s">
        <v>58</v>
      </c>
      <c r="U102" s="213">
        <f>SUM(B102:G102,N102:S102:H102:M102)</f>
        <v>0</v>
      </c>
      <c r="V102" s="211">
        <f>'GENEL HASILAT'!V37-U102</f>
        <v>0</v>
      </c>
      <c r="W102" s="423"/>
    </row>
    <row r="103" spans="1:23" s="212" customFormat="1" ht="12.75" customHeight="1" thickBot="1" x14ac:dyDescent="0.25">
      <c r="A103" s="217"/>
      <c r="U103" s="218"/>
      <c r="V103" s="219"/>
    </row>
    <row r="104" spans="1:23" s="212" customFormat="1" ht="12.75" customHeight="1" thickTop="1" x14ac:dyDescent="0.2">
      <c r="A104" s="220" t="s">
        <v>61</v>
      </c>
      <c r="B104" s="221">
        <f>B11+B14+B17+B20+B23+B26+B29+B32+B35+B38+B41+B44+B47+B50+B53+B56+B59+B62+B65+B68+B71+B74+B77+B80+B83+B86+B89+B92+B95+B98+B101</f>
        <v>1067</v>
      </c>
      <c r="C104" s="222">
        <f t="shared" ref="C104:S104" si="0">C11+C14+C17+C20+C23+C26+C29+C32+C35+C38+C41+C44+C47+C50+C53+C56+C59+C62+C65+C68+C71+C74+C77+C80+C83+C86+C89+C92+C95+C98+C101</f>
        <v>346</v>
      </c>
      <c r="D104" s="222">
        <f t="shared" si="0"/>
        <v>76</v>
      </c>
      <c r="E104" s="222">
        <f t="shared" si="0"/>
        <v>73</v>
      </c>
      <c r="F104" s="222">
        <f t="shared" si="0"/>
        <v>29</v>
      </c>
      <c r="G104" s="222">
        <f t="shared" si="0"/>
        <v>73</v>
      </c>
      <c r="H104" s="221">
        <f t="shared" ref="H104:M104" si="1">H11+H14+H17+H20+H23+H26+H29+H32+H35+H38+H41+H44+H47+H50+H53+H56+H59+H62+H65+H68+H71+H74+H77+H80+H83+H86+H89+H92+H95+H98+H101</f>
        <v>3130</v>
      </c>
      <c r="I104" s="222">
        <f t="shared" si="1"/>
        <v>1814</v>
      </c>
      <c r="J104" s="222">
        <f t="shared" si="1"/>
        <v>203</v>
      </c>
      <c r="K104" s="222">
        <f t="shared" si="1"/>
        <v>27</v>
      </c>
      <c r="L104" s="222">
        <f t="shared" si="1"/>
        <v>6</v>
      </c>
      <c r="M104" s="222">
        <f t="shared" si="1"/>
        <v>0</v>
      </c>
      <c r="N104" s="221">
        <f t="shared" si="0"/>
        <v>117</v>
      </c>
      <c r="O104" s="222">
        <f t="shared" si="0"/>
        <v>476</v>
      </c>
      <c r="P104" s="222">
        <f t="shared" si="0"/>
        <v>68</v>
      </c>
      <c r="Q104" s="222">
        <f t="shared" si="0"/>
        <v>9</v>
      </c>
      <c r="R104" s="222">
        <f t="shared" si="0"/>
        <v>0</v>
      </c>
      <c r="S104" s="222">
        <f t="shared" si="0"/>
        <v>2</v>
      </c>
      <c r="T104" s="223"/>
      <c r="U104" s="224">
        <f>SUM(B104:G104,N104:S104)</f>
        <v>2336</v>
      </c>
      <c r="V104" s="219"/>
    </row>
    <row r="105" spans="1:23" s="212" customFormat="1" ht="12.75" customHeight="1" x14ac:dyDescent="0.2">
      <c r="A105" s="225" t="s">
        <v>59</v>
      </c>
      <c r="B105" s="226">
        <f t="shared" ref="B105:M105" si="2">+B102+B99+B96+B93+B90+B87+B84+B81+B78+B75+B72+B69+B66+B63+B60+B57+B54+B51+B48+B45+B42+B39+B36+B33+B30+B27+B24+B21+B18+B15+B12</f>
        <v>53350</v>
      </c>
      <c r="C105" s="227">
        <f t="shared" si="2"/>
        <v>25950</v>
      </c>
      <c r="D105" s="227">
        <f t="shared" si="2"/>
        <v>8360</v>
      </c>
      <c r="E105" s="227">
        <f t="shared" si="2"/>
        <v>9125</v>
      </c>
      <c r="F105" s="227">
        <f t="shared" si="2"/>
        <v>5075</v>
      </c>
      <c r="G105" s="227">
        <f t="shared" si="2"/>
        <v>64280</v>
      </c>
      <c r="H105" s="226">
        <f t="shared" si="2"/>
        <v>219100</v>
      </c>
      <c r="I105" s="227">
        <f t="shared" si="2"/>
        <v>181400</v>
      </c>
      <c r="J105" s="227">
        <f t="shared" si="2"/>
        <v>27405</v>
      </c>
      <c r="K105" s="227">
        <f t="shared" si="2"/>
        <v>4320</v>
      </c>
      <c r="L105" s="227">
        <f t="shared" si="2"/>
        <v>1320</v>
      </c>
      <c r="M105" s="227">
        <f t="shared" si="2"/>
        <v>0</v>
      </c>
      <c r="N105" s="226">
        <f t="shared" ref="N105:S105" si="3">+N102+N99+N96+N93+N90+N87+N84+N81+N78+N75+N72+N69+N66+N63+N60+N57+N54+N51+N48+N45+N42+N39+N36+N33+N30+N27+N24+N21+N18+N15+N12</f>
        <v>10530</v>
      </c>
      <c r="O105" s="227">
        <f t="shared" si="3"/>
        <v>57120</v>
      </c>
      <c r="P105" s="227">
        <f t="shared" si="3"/>
        <v>10540</v>
      </c>
      <c r="Q105" s="227">
        <f t="shared" si="3"/>
        <v>1755</v>
      </c>
      <c r="R105" s="227">
        <f t="shared" si="3"/>
        <v>0</v>
      </c>
      <c r="S105" s="227">
        <f t="shared" si="3"/>
        <v>2500</v>
      </c>
      <c r="T105" s="228"/>
      <c r="U105" s="229">
        <f>SUM(B105:S105)</f>
        <v>682130</v>
      </c>
      <c r="V105" s="230"/>
    </row>
    <row r="106" spans="1:23" s="237" customFormat="1" ht="12.75" customHeight="1" thickBot="1" x14ac:dyDescent="0.25">
      <c r="A106" s="231" t="s">
        <v>60</v>
      </c>
      <c r="B106" s="232">
        <f t="shared" ref="B106:S106" si="4">B105/1.2</f>
        <v>44458.333333333336</v>
      </c>
      <c r="C106" s="233">
        <f t="shared" si="4"/>
        <v>21625</v>
      </c>
      <c r="D106" s="233">
        <f t="shared" si="4"/>
        <v>6966.666666666667</v>
      </c>
      <c r="E106" s="233">
        <f t="shared" si="4"/>
        <v>7604.166666666667</v>
      </c>
      <c r="F106" s="233">
        <f t="shared" si="4"/>
        <v>4229.166666666667</v>
      </c>
      <c r="G106" s="233">
        <f t="shared" si="4"/>
        <v>53566.666666666672</v>
      </c>
      <c r="H106" s="232">
        <f t="shared" si="4"/>
        <v>182583.33333333334</v>
      </c>
      <c r="I106" s="233">
        <f t="shared" si="4"/>
        <v>151166.66666666669</v>
      </c>
      <c r="J106" s="233">
        <f t="shared" si="4"/>
        <v>22837.5</v>
      </c>
      <c r="K106" s="233">
        <f t="shared" si="4"/>
        <v>3600</v>
      </c>
      <c r="L106" s="233">
        <f t="shared" si="4"/>
        <v>1100</v>
      </c>
      <c r="M106" s="233">
        <f t="shared" si="4"/>
        <v>0</v>
      </c>
      <c r="N106" s="232">
        <f t="shared" si="4"/>
        <v>8775</v>
      </c>
      <c r="O106" s="233">
        <f t="shared" si="4"/>
        <v>47600</v>
      </c>
      <c r="P106" s="233">
        <f t="shared" si="4"/>
        <v>8783.3333333333339</v>
      </c>
      <c r="Q106" s="233">
        <f t="shared" si="4"/>
        <v>1462.5</v>
      </c>
      <c r="R106" s="233">
        <f t="shared" si="4"/>
        <v>0</v>
      </c>
      <c r="S106" s="233">
        <f t="shared" si="4"/>
        <v>2083.3333333333335</v>
      </c>
      <c r="T106" s="234"/>
      <c r="U106" s="235">
        <f>SUM(B106:G106,N106:S106,H106:M106)</f>
        <v>568441.66666666674</v>
      </c>
      <c r="V106" s="236">
        <f>SUM(V12:V102)</f>
        <v>0</v>
      </c>
    </row>
    <row r="107" spans="1:23" ht="12.75" customHeight="1" thickTop="1" x14ac:dyDescent="0.2">
      <c r="U107" s="239"/>
    </row>
    <row r="108" spans="1:23" ht="12.75" customHeight="1" x14ac:dyDescent="0.2">
      <c r="U108" s="240"/>
    </row>
    <row r="109" spans="1:23" s="242" customFormat="1" ht="12.75" customHeight="1" x14ac:dyDescent="0.2">
      <c r="A109" s="424"/>
      <c r="B109" s="424"/>
      <c r="C109" s="424"/>
      <c r="D109" s="42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  <c r="R109" s="424"/>
      <c r="S109" s="424"/>
      <c r="T109" s="424"/>
      <c r="U109" s="424"/>
      <c r="V109" s="241"/>
    </row>
    <row r="110" spans="1:23" s="242" customFormat="1" ht="12.75" customHeight="1" x14ac:dyDescent="0.2">
      <c r="A110" s="424"/>
      <c r="B110" s="424"/>
      <c r="C110" s="424"/>
      <c r="D110" s="424"/>
      <c r="E110" s="424"/>
      <c r="F110" s="424"/>
      <c r="G110" s="424"/>
      <c r="H110" s="424"/>
      <c r="I110" s="424"/>
      <c r="J110" s="424"/>
      <c r="K110" s="424"/>
      <c r="L110" s="424"/>
      <c r="M110" s="424"/>
      <c r="N110" s="424"/>
      <c r="O110" s="424"/>
      <c r="P110" s="424"/>
      <c r="Q110" s="424"/>
      <c r="R110" s="424"/>
      <c r="S110" s="424"/>
      <c r="T110" s="424"/>
      <c r="U110" s="424"/>
      <c r="V110" s="241"/>
    </row>
    <row r="111" spans="1:23" s="242" customFormat="1" ht="12.75" customHeight="1" x14ac:dyDescent="0.2">
      <c r="A111" s="424"/>
      <c r="B111" s="424"/>
      <c r="C111" s="424"/>
      <c r="D111" s="42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424"/>
      <c r="P111" s="424"/>
      <c r="Q111" s="424"/>
      <c r="R111" s="424"/>
      <c r="S111" s="424"/>
      <c r="T111" s="424"/>
      <c r="U111" s="424"/>
      <c r="V111" s="241"/>
    </row>
    <row r="112" spans="1:23" s="242" customFormat="1" ht="12.75" customHeight="1" x14ac:dyDescent="0.2">
      <c r="A112" s="424"/>
      <c r="B112" s="424"/>
      <c r="C112" s="424"/>
      <c r="D112" s="424"/>
      <c r="E112" s="424"/>
      <c r="F112" s="424"/>
      <c r="G112" s="424"/>
      <c r="H112" s="424"/>
      <c r="I112" s="424"/>
      <c r="J112" s="424"/>
      <c r="K112" s="424"/>
      <c r="L112" s="424"/>
      <c r="M112" s="424"/>
      <c r="N112" s="424"/>
      <c r="O112" s="424"/>
      <c r="P112" s="424"/>
      <c r="Q112" s="424"/>
      <c r="R112" s="424"/>
      <c r="S112" s="424"/>
      <c r="T112" s="424"/>
      <c r="U112" s="424"/>
      <c r="V112" s="241"/>
    </row>
    <row r="113" spans="1:21" ht="12.75" customHeight="1" x14ac:dyDescent="0.2">
      <c r="A113" s="424"/>
      <c r="B113" s="424"/>
      <c r="C113" s="424"/>
      <c r="D113" s="424"/>
      <c r="E113" s="424"/>
      <c r="F113" s="424"/>
      <c r="G113" s="424"/>
      <c r="H113" s="424"/>
      <c r="I113" s="424"/>
      <c r="J113" s="424"/>
      <c r="K113" s="424"/>
      <c r="L113" s="424"/>
      <c r="M113" s="424"/>
      <c r="N113" s="424"/>
      <c r="O113" s="424"/>
      <c r="P113" s="424"/>
      <c r="Q113" s="424"/>
      <c r="R113" s="424"/>
      <c r="S113" s="424"/>
      <c r="T113" s="424"/>
      <c r="U113" s="424"/>
    </row>
    <row r="114" spans="1:21" ht="12.75" customHeight="1" x14ac:dyDescent="0.2">
      <c r="A114" s="424"/>
      <c r="B114" s="424"/>
      <c r="C114" s="424"/>
      <c r="D114" s="424"/>
      <c r="E114" s="424"/>
      <c r="F114" s="424"/>
      <c r="G114" s="424"/>
      <c r="H114" s="424"/>
      <c r="I114" s="424"/>
      <c r="J114" s="424"/>
      <c r="K114" s="424"/>
      <c r="L114" s="424"/>
      <c r="M114" s="424"/>
      <c r="N114" s="424"/>
      <c r="O114" s="424"/>
      <c r="P114" s="424"/>
      <c r="Q114" s="424"/>
      <c r="R114" s="424"/>
      <c r="S114" s="424"/>
      <c r="T114" s="424"/>
      <c r="U114" s="424"/>
    </row>
    <row r="116" spans="1:21" ht="12.75" customHeight="1" x14ac:dyDescent="0.2">
      <c r="C116" s="243"/>
    </row>
  </sheetData>
  <sheetProtection algorithmName="SHA-512" hashValue="0q0LXK+tpPzcqYwmG8xFk5sT0qTCBu4HKCTdp0m36WRO9tQUYREl0ArvZXE/f5vfEUutXIfPyOIFjfstreeF8w==" saltValue="67nPwgog+8mI/f/Mciai/g==" spinCount="100000" sheet="1" selectLockedCells="1"/>
  <mergeCells count="90">
    <mergeCell ref="A109:U114"/>
    <mergeCell ref="A94:A96"/>
    <mergeCell ref="W95:W96"/>
    <mergeCell ref="A97:A99"/>
    <mergeCell ref="W98:W99"/>
    <mergeCell ref="A100:A102"/>
    <mergeCell ref="W101:W102"/>
    <mergeCell ref="A85:A87"/>
    <mergeCell ref="W86:W87"/>
    <mergeCell ref="A88:A90"/>
    <mergeCell ref="W89:W90"/>
    <mergeCell ref="A91:A93"/>
    <mergeCell ref="W92:W93"/>
    <mergeCell ref="A76:A78"/>
    <mergeCell ref="W77:W78"/>
    <mergeCell ref="A79:A81"/>
    <mergeCell ref="W80:W81"/>
    <mergeCell ref="A82:A84"/>
    <mergeCell ref="W83:W84"/>
    <mergeCell ref="A67:A69"/>
    <mergeCell ref="W68:W69"/>
    <mergeCell ref="A70:A72"/>
    <mergeCell ref="W71:W72"/>
    <mergeCell ref="A73:A75"/>
    <mergeCell ref="W74:W75"/>
    <mergeCell ref="A58:A60"/>
    <mergeCell ref="W59:W60"/>
    <mergeCell ref="A61:A63"/>
    <mergeCell ref="W62:W63"/>
    <mergeCell ref="A64:A66"/>
    <mergeCell ref="W65:W66"/>
    <mergeCell ref="A49:A51"/>
    <mergeCell ref="W50:W51"/>
    <mergeCell ref="A52:A54"/>
    <mergeCell ref="W53:W54"/>
    <mergeCell ref="A55:A57"/>
    <mergeCell ref="W56:W57"/>
    <mergeCell ref="A40:A42"/>
    <mergeCell ref="W41:W42"/>
    <mergeCell ref="A43:A45"/>
    <mergeCell ref="W44:W45"/>
    <mergeCell ref="A46:A48"/>
    <mergeCell ref="W47:W48"/>
    <mergeCell ref="A31:A33"/>
    <mergeCell ref="W32:W33"/>
    <mergeCell ref="A34:A36"/>
    <mergeCell ref="W35:W36"/>
    <mergeCell ref="A37:A39"/>
    <mergeCell ref="W38:W39"/>
    <mergeCell ref="A22:A24"/>
    <mergeCell ref="W23:W24"/>
    <mergeCell ref="A25:A27"/>
    <mergeCell ref="W26:W27"/>
    <mergeCell ref="A28:A30"/>
    <mergeCell ref="W29:W30"/>
    <mergeCell ref="A13:A15"/>
    <mergeCell ref="W14:W15"/>
    <mergeCell ref="A16:A18"/>
    <mergeCell ref="W17:W18"/>
    <mergeCell ref="A19:A21"/>
    <mergeCell ref="W20:W21"/>
    <mergeCell ref="V7:V8"/>
    <mergeCell ref="W7:W8"/>
    <mergeCell ref="A10:A12"/>
    <mergeCell ref="W11:W12"/>
    <mergeCell ref="G7:G8"/>
    <mergeCell ref="N7:N8"/>
    <mergeCell ref="O7:O8"/>
    <mergeCell ref="P7:P8"/>
    <mergeCell ref="Q7:Q8"/>
    <mergeCell ref="R7:R8"/>
    <mergeCell ref="H7:H8"/>
    <mergeCell ref="I7:I8"/>
    <mergeCell ref="J7:J8"/>
    <mergeCell ref="K7:K8"/>
    <mergeCell ref="L7:L8"/>
    <mergeCell ref="M7:M8"/>
    <mergeCell ref="A2:U2"/>
    <mergeCell ref="B4:S4"/>
    <mergeCell ref="B6:G6"/>
    <mergeCell ref="N6:S6"/>
    <mergeCell ref="A7:A8"/>
    <mergeCell ref="B7:B8"/>
    <mergeCell ref="C7:C8"/>
    <mergeCell ref="D7:D8"/>
    <mergeCell ref="E7:E8"/>
    <mergeCell ref="F7:F8"/>
    <mergeCell ref="S7:S8"/>
    <mergeCell ref="U7:U8"/>
    <mergeCell ref="H6:M6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Z43"/>
  <sheetViews>
    <sheetView zoomScale="75" workbookViewId="0">
      <pane ySplit="4" topLeftCell="A5" activePane="bottomLeft" state="frozenSplit"/>
      <selection activeCell="P4" sqref="P4:Q5"/>
      <selection pane="bottomLeft" activeCell="B28" sqref="B28"/>
    </sheetView>
  </sheetViews>
  <sheetFormatPr defaultRowHeight="12" customHeight="1" x14ac:dyDescent="0.2"/>
  <cols>
    <col min="1" max="1" width="14.5703125" style="295" bestFit="1" customWidth="1"/>
    <col min="2" max="2" width="9.7109375" style="295" customWidth="1"/>
    <col min="3" max="3" width="9.85546875" style="295" customWidth="1"/>
    <col min="4" max="4" width="10.140625" style="295" bestFit="1" customWidth="1"/>
    <col min="5" max="6" width="8.7109375" style="244" bestFit="1" customWidth="1"/>
    <col min="7" max="7" width="10.140625" style="244" bestFit="1" customWidth="1"/>
    <col min="8" max="8" width="17.42578125" style="244" customWidth="1"/>
    <col min="9" max="10" width="8.7109375" style="244" bestFit="1" customWidth="1"/>
    <col min="11" max="11" width="10" style="244" bestFit="1" customWidth="1"/>
    <col min="12" max="13" width="8.7109375" style="244" bestFit="1" customWidth="1"/>
    <col min="14" max="14" width="10" style="244" bestFit="1" customWidth="1"/>
    <col min="15" max="16" width="8.7109375" style="244" bestFit="1" customWidth="1"/>
    <col min="17" max="17" width="10" style="244" bestFit="1" customWidth="1"/>
    <col min="18" max="18" width="8.7109375" style="244" bestFit="1" customWidth="1"/>
    <col min="19" max="19" width="10.5703125" style="244" bestFit="1" customWidth="1"/>
    <col min="20" max="20" width="8.7109375" style="244" bestFit="1" customWidth="1"/>
    <col min="21" max="21" width="10.5703125" style="244" bestFit="1" customWidth="1"/>
    <col min="22" max="22" width="12.140625" style="244" customWidth="1"/>
    <col min="23" max="23" width="11.5703125" style="244" customWidth="1"/>
    <col min="24" max="24" width="9.28515625" style="244" bestFit="1" customWidth="1"/>
    <col min="25" max="16384" width="9.140625" style="244"/>
  </cols>
  <sheetData>
    <row r="1" spans="1:26" ht="19.5" x14ac:dyDescent="0.2">
      <c r="A1" s="428" t="str">
        <f>"OTOPARK ARAÇ GİRİŞ ÇIKIŞ TABLOSU " &amp; 'GENEL HASILAT'!A3</f>
        <v>OTOPARK ARAÇ GİRİŞ ÇIKIŞ TABLOSU EKİM 2024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</row>
    <row r="2" spans="1:26" s="247" customFormat="1" ht="17.25" customHeight="1" x14ac:dyDescent="0.2">
      <c r="A2" s="245"/>
      <c r="B2" s="429" t="s">
        <v>8</v>
      </c>
      <c r="C2" s="430"/>
      <c r="D2" s="430"/>
      <c r="E2" s="431"/>
      <c r="F2" s="431"/>
      <c r="G2" s="432"/>
      <c r="H2" s="433" t="s">
        <v>131</v>
      </c>
      <c r="I2" s="435" t="s">
        <v>9</v>
      </c>
      <c r="J2" s="436"/>
      <c r="K2" s="436"/>
      <c r="L2" s="436"/>
      <c r="M2" s="436"/>
      <c r="N2" s="436"/>
      <c r="O2" s="436"/>
      <c r="P2" s="436"/>
      <c r="Q2" s="437"/>
      <c r="R2" s="438" t="s">
        <v>10</v>
      </c>
      <c r="S2" s="439"/>
      <c r="T2" s="429" t="s">
        <v>66</v>
      </c>
      <c r="U2" s="440"/>
      <c r="V2" s="441" t="s">
        <v>2</v>
      </c>
      <c r="W2" s="442"/>
      <c r="X2" s="443"/>
      <c r="Y2" s="246"/>
      <c r="Z2" s="246"/>
    </row>
    <row r="3" spans="1:26" s="247" customFormat="1" ht="17.25" customHeight="1" x14ac:dyDescent="0.2">
      <c r="A3" s="248"/>
      <c r="B3" s="444" t="s">
        <v>128</v>
      </c>
      <c r="C3" s="426"/>
      <c r="D3" s="445"/>
      <c r="E3" s="446" t="s">
        <v>129</v>
      </c>
      <c r="F3" s="447"/>
      <c r="G3" s="448"/>
      <c r="H3" s="434"/>
      <c r="I3" s="446" t="s">
        <v>128</v>
      </c>
      <c r="J3" s="447"/>
      <c r="K3" s="448"/>
      <c r="L3" s="425" t="s">
        <v>129</v>
      </c>
      <c r="M3" s="426"/>
      <c r="N3" s="427"/>
      <c r="O3" s="425" t="s">
        <v>132</v>
      </c>
      <c r="P3" s="426"/>
      <c r="Q3" s="427"/>
      <c r="R3" s="249"/>
      <c r="S3" s="250"/>
      <c r="T3" s="249"/>
      <c r="U3" s="250"/>
      <c r="V3" s="249"/>
      <c r="W3" s="246"/>
      <c r="X3" s="250"/>
      <c r="Y3" s="246"/>
      <c r="Z3" s="246"/>
    </row>
    <row r="4" spans="1:26" s="247" customFormat="1" ht="17.25" customHeight="1" x14ac:dyDescent="0.2">
      <c r="A4" s="251" t="s">
        <v>1</v>
      </c>
      <c r="B4" s="252" t="s">
        <v>11</v>
      </c>
      <c r="C4" s="253" t="s">
        <v>12</v>
      </c>
      <c r="D4" s="254" t="s">
        <v>13</v>
      </c>
      <c r="E4" s="252" t="s">
        <v>11</v>
      </c>
      <c r="F4" s="253" t="s">
        <v>12</v>
      </c>
      <c r="G4" s="255" t="s">
        <v>13</v>
      </c>
      <c r="H4" s="434"/>
      <c r="I4" s="256" t="s">
        <v>11</v>
      </c>
      <c r="J4" s="257" t="s">
        <v>12</v>
      </c>
      <c r="K4" s="258" t="s">
        <v>13</v>
      </c>
      <c r="L4" s="259" t="s">
        <v>11</v>
      </c>
      <c r="M4" s="257" t="s">
        <v>12</v>
      </c>
      <c r="N4" s="258" t="s">
        <v>13</v>
      </c>
      <c r="O4" s="259" t="s">
        <v>11</v>
      </c>
      <c r="P4" s="257" t="s">
        <v>12</v>
      </c>
      <c r="Q4" s="258" t="s">
        <v>13</v>
      </c>
      <c r="R4" s="260" t="s">
        <v>12</v>
      </c>
      <c r="S4" s="261" t="s">
        <v>13</v>
      </c>
      <c r="T4" s="252" t="s">
        <v>12</v>
      </c>
      <c r="U4" s="255" t="s">
        <v>13</v>
      </c>
      <c r="V4" s="262" t="s">
        <v>11</v>
      </c>
      <c r="W4" s="263" t="s">
        <v>12</v>
      </c>
      <c r="X4" s="264" t="s">
        <v>13</v>
      </c>
      <c r="Y4" s="246"/>
      <c r="Z4" s="246"/>
    </row>
    <row r="5" spans="1:26" s="247" customFormat="1" ht="17.25" customHeight="1" x14ac:dyDescent="0.2">
      <c r="A5" s="265">
        <f>'GENEL HASILAT'!A7</f>
        <v>45566</v>
      </c>
      <c r="B5" s="335">
        <v>76</v>
      </c>
      <c r="C5" s="336">
        <v>0</v>
      </c>
      <c r="D5" s="268">
        <f t="shared" ref="D5:D34" si="0">C5/W5</f>
        <v>0</v>
      </c>
      <c r="E5" s="337">
        <v>221</v>
      </c>
      <c r="F5" s="338">
        <v>289</v>
      </c>
      <c r="G5" s="269">
        <f>+F5/W5</f>
        <v>0.26635944700460829</v>
      </c>
      <c r="H5" s="339">
        <v>2</v>
      </c>
      <c r="I5" s="340">
        <v>47</v>
      </c>
      <c r="J5" s="341">
        <v>0</v>
      </c>
      <c r="K5" s="273">
        <f t="shared" ref="K5:K16" si="1">+J5/W5</f>
        <v>0</v>
      </c>
      <c r="L5" s="343">
        <v>570</v>
      </c>
      <c r="M5" s="342">
        <v>696</v>
      </c>
      <c r="N5" s="273">
        <f t="shared" ref="N5:N34" si="2">+M5/W5</f>
        <v>0.6414746543778802</v>
      </c>
      <c r="O5" s="345">
        <v>90</v>
      </c>
      <c r="P5" s="344">
        <v>96</v>
      </c>
      <c r="Q5" s="273">
        <f>+P5/W5</f>
        <v>8.847926267281106E-2</v>
      </c>
      <c r="R5" s="346">
        <v>2</v>
      </c>
      <c r="S5" s="276">
        <f>R5/W5</f>
        <v>1.8433179723502304E-3</v>
      </c>
      <c r="T5" s="337">
        <v>0</v>
      </c>
      <c r="U5" s="269">
        <f t="shared" ref="U5:U30" si="3">T5/W5</f>
        <v>0</v>
      </c>
      <c r="V5" s="277">
        <f>+L5+I5+E5+B5+O5</f>
        <v>1004</v>
      </c>
      <c r="W5" s="278">
        <f>+M5+J5+F5+C5+R5+H5+P5+T5</f>
        <v>1085</v>
      </c>
      <c r="X5" s="279">
        <f>+S5+N5+K5+Q5+G5+D5+U5</f>
        <v>0.99815668202764973</v>
      </c>
      <c r="Y5" s="246"/>
      <c r="Z5" s="246"/>
    </row>
    <row r="6" spans="1:26" s="247" customFormat="1" ht="17.25" customHeight="1" x14ac:dyDescent="0.2">
      <c r="A6" s="265">
        <f>'GENEL HASILAT'!A8</f>
        <v>45567</v>
      </c>
      <c r="B6" s="335">
        <v>139</v>
      </c>
      <c r="C6" s="336">
        <v>0</v>
      </c>
      <c r="D6" s="268">
        <v>0</v>
      </c>
      <c r="E6" s="337">
        <v>323</v>
      </c>
      <c r="F6" s="338">
        <v>461</v>
      </c>
      <c r="G6" s="269">
        <f t="shared" ref="G6:G35" si="4">+F6/W6</f>
        <v>0.47970863683662851</v>
      </c>
      <c r="H6" s="339">
        <v>2</v>
      </c>
      <c r="I6" s="340">
        <v>41</v>
      </c>
      <c r="J6" s="341">
        <v>0</v>
      </c>
      <c r="K6" s="273">
        <f t="shared" si="1"/>
        <v>0</v>
      </c>
      <c r="L6" s="343">
        <v>335</v>
      </c>
      <c r="M6" s="342">
        <v>379</v>
      </c>
      <c r="N6" s="273">
        <f t="shared" si="2"/>
        <v>0.39438085327783556</v>
      </c>
      <c r="O6" s="345">
        <v>113</v>
      </c>
      <c r="P6" s="344">
        <v>109</v>
      </c>
      <c r="Q6" s="273">
        <f t="shared" ref="Q6:Q35" si="5">+P6/W6</f>
        <v>0.11342351716961499</v>
      </c>
      <c r="R6" s="346">
        <v>9</v>
      </c>
      <c r="S6" s="276">
        <f t="shared" ref="S6:S16" si="6">R6/W6</f>
        <v>9.3652445369406864E-3</v>
      </c>
      <c r="T6" s="337">
        <v>1</v>
      </c>
      <c r="U6" s="269">
        <f t="shared" si="3"/>
        <v>1.0405827263267431E-3</v>
      </c>
      <c r="V6" s="277">
        <f t="shared" ref="V6:V35" si="7">+L6+I6+E6+B6+O6</f>
        <v>951</v>
      </c>
      <c r="W6" s="278">
        <f t="shared" ref="W6:W35" si="8">+M6+J6+F6+C6+R6+H6+P6+T6</f>
        <v>961</v>
      </c>
      <c r="X6" s="279">
        <f t="shared" ref="X6:X35" si="9">+S6+N6+K6+Q6+G6+D6+U6</f>
        <v>0.99791883454734653</v>
      </c>
      <c r="Y6" s="246"/>
      <c r="Z6" s="246"/>
    </row>
    <row r="7" spans="1:26" s="247" customFormat="1" ht="17.25" customHeight="1" x14ac:dyDescent="0.2">
      <c r="A7" s="265">
        <f>'GENEL HASILAT'!A9</f>
        <v>45568</v>
      </c>
      <c r="B7" s="335">
        <v>106</v>
      </c>
      <c r="C7" s="336">
        <v>0</v>
      </c>
      <c r="D7" s="268">
        <f t="shared" si="0"/>
        <v>0</v>
      </c>
      <c r="E7" s="337">
        <v>321</v>
      </c>
      <c r="F7" s="338">
        <v>417</v>
      </c>
      <c r="G7" s="269">
        <f t="shared" si="4"/>
        <v>0.43392299687825181</v>
      </c>
      <c r="H7" s="339">
        <v>0</v>
      </c>
      <c r="I7" s="340">
        <v>49</v>
      </c>
      <c r="J7" s="341">
        <v>0</v>
      </c>
      <c r="K7" s="273">
        <f t="shared" si="1"/>
        <v>0</v>
      </c>
      <c r="L7" s="343">
        <v>394</v>
      </c>
      <c r="M7" s="342">
        <v>435</v>
      </c>
      <c r="N7" s="273">
        <f t="shared" si="2"/>
        <v>0.45265348595213317</v>
      </c>
      <c r="O7" s="345">
        <v>110</v>
      </c>
      <c r="P7" s="344">
        <v>106</v>
      </c>
      <c r="Q7" s="273">
        <f t="shared" si="5"/>
        <v>0.11030176899063475</v>
      </c>
      <c r="R7" s="346">
        <v>3</v>
      </c>
      <c r="S7" s="276">
        <f t="shared" si="6"/>
        <v>3.1217481789802288E-3</v>
      </c>
      <c r="T7" s="337">
        <v>0</v>
      </c>
      <c r="U7" s="269">
        <f t="shared" si="3"/>
        <v>0</v>
      </c>
      <c r="V7" s="277">
        <f t="shared" si="7"/>
        <v>980</v>
      </c>
      <c r="W7" s="278">
        <f t="shared" si="8"/>
        <v>961</v>
      </c>
      <c r="X7" s="279">
        <f t="shared" si="9"/>
        <v>1</v>
      </c>
      <c r="Y7" s="246"/>
      <c r="Z7" s="246"/>
    </row>
    <row r="8" spans="1:26" s="247" customFormat="1" ht="17.25" customHeight="1" x14ac:dyDescent="0.2">
      <c r="A8" s="265">
        <f>'GENEL HASILAT'!A10</f>
        <v>45569</v>
      </c>
      <c r="B8" s="335">
        <v>99</v>
      </c>
      <c r="C8" s="336">
        <v>0</v>
      </c>
      <c r="D8" s="268">
        <f t="shared" si="0"/>
        <v>0</v>
      </c>
      <c r="E8" s="337">
        <v>266</v>
      </c>
      <c r="F8" s="338">
        <v>342</v>
      </c>
      <c r="G8" s="269">
        <f t="shared" si="4"/>
        <v>0.4</v>
      </c>
      <c r="H8" s="339">
        <v>4</v>
      </c>
      <c r="I8" s="340">
        <v>59</v>
      </c>
      <c r="J8" s="341">
        <v>0</v>
      </c>
      <c r="K8" s="273">
        <f t="shared" si="1"/>
        <v>0</v>
      </c>
      <c r="L8" s="343">
        <v>368</v>
      </c>
      <c r="M8" s="342">
        <v>396</v>
      </c>
      <c r="N8" s="273">
        <f t="shared" si="2"/>
        <v>0.4631578947368421</v>
      </c>
      <c r="O8" s="345">
        <v>99</v>
      </c>
      <c r="P8" s="344">
        <v>107</v>
      </c>
      <c r="Q8" s="273">
        <f t="shared" si="5"/>
        <v>0.12514619883040937</v>
      </c>
      <c r="R8" s="346">
        <v>6</v>
      </c>
      <c r="S8" s="276">
        <f>R8/W8</f>
        <v>7.0175438596491229E-3</v>
      </c>
      <c r="T8" s="337">
        <v>0</v>
      </c>
      <c r="U8" s="269">
        <f t="shared" si="3"/>
        <v>0</v>
      </c>
      <c r="V8" s="277">
        <f t="shared" si="7"/>
        <v>891</v>
      </c>
      <c r="W8" s="278">
        <f t="shared" si="8"/>
        <v>855</v>
      </c>
      <c r="X8" s="279">
        <f t="shared" si="9"/>
        <v>0.99532163742690061</v>
      </c>
      <c r="Y8" s="246"/>
      <c r="Z8" s="246"/>
    </row>
    <row r="9" spans="1:26" s="247" customFormat="1" ht="17.25" customHeight="1" x14ac:dyDescent="0.2">
      <c r="A9" s="265">
        <f>'GENEL HASILAT'!A11</f>
        <v>45570</v>
      </c>
      <c r="B9" s="335">
        <v>117</v>
      </c>
      <c r="C9" s="336">
        <v>0</v>
      </c>
      <c r="D9" s="268">
        <f t="shared" si="0"/>
        <v>0</v>
      </c>
      <c r="E9" s="337">
        <v>351</v>
      </c>
      <c r="F9" s="338">
        <v>480</v>
      </c>
      <c r="G9" s="269">
        <f t="shared" si="4"/>
        <v>0.48338368580060426</v>
      </c>
      <c r="H9" s="339">
        <v>1</v>
      </c>
      <c r="I9" s="340">
        <v>43</v>
      </c>
      <c r="J9" s="341">
        <v>0</v>
      </c>
      <c r="K9" s="273">
        <f t="shared" si="1"/>
        <v>0</v>
      </c>
      <c r="L9" s="343">
        <v>373</v>
      </c>
      <c r="M9" s="342">
        <v>460</v>
      </c>
      <c r="N9" s="273">
        <f t="shared" si="2"/>
        <v>0.46324269889224573</v>
      </c>
      <c r="O9" s="345">
        <v>46</v>
      </c>
      <c r="P9" s="344">
        <v>48</v>
      </c>
      <c r="Q9" s="273">
        <f t="shared" si="5"/>
        <v>4.8338368580060423E-2</v>
      </c>
      <c r="R9" s="346">
        <v>4</v>
      </c>
      <c r="S9" s="276">
        <f t="shared" si="6"/>
        <v>4.0281973816717019E-3</v>
      </c>
      <c r="T9" s="337">
        <v>0</v>
      </c>
      <c r="U9" s="269">
        <f t="shared" si="3"/>
        <v>0</v>
      </c>
      <c r="V9" s="277">
        <f t="shared" si="7"/>
        <v>930</v>
      </c>
      <c r="W9" s="278">
        <f t="shared" si="8"/>
        <v>993</v>
      </c>
      <c r="X9" s="279">
        <f t="shared" si="9"/>
        <v>0.99899295065458205</v>
      </c>
      <c r="Y9" s="246"/>
      <c r="Z9" s="246"/>
    </row>
    <row r="10" spans="1:26" s="247" customFormat="1" ht="17.25" customHeight="1" x14ac:dyDescent="0.2">
      <c r="A10" s="265">
        <f>'GENEL HASILAT'!A12</f>
        <v>45571</v>
      </c>
      <c r="B10" s="335">
        <v>133</v>
      </c>
      <c r="C10" s="336">
        <v>0</v>
      </c>
      <c r="D10" s="268">
        <f t="shared" si="0"/>
        <v>0</v>
      </c>
      <c r="E10" s="337">
        <v>364</v>
      </c>
      <c r="F10" s="338">
        <v>496</v>
      </c>
      <c r="G10" s="269">
        <f t="shared" si="4"/>
        <v>0.51398963730569946</v>
      </c>
      <c r="H10" s="339">
        <v>3</v>
      </c>
      <c r="I10" s="340">
        <v>40</v>
      </c>
      <c r="J10" s="341">
        <v>0</v>
      </c>
      <c r="K10" s="273">
        <f t="shared" si="1"/>
        <v>0</v>
      </c>
      <c r="L10" s="343">
        <v>375</v>
      </c>
      <c r="M10" s="342">
        <v>399</v>
      </c>
      <c r="N10" s="273">
        <f t="shared" si="2"/>
        <v>0.41347150259067356</v>
      </c>
      <c r="O10" s="345">
        <v>67</v>
      </c>
      <c r="P10" s="344">
        <v>64</v>
      </c>
      <c r="Q10" s="273">
        <f t="shared" si="5"/>
        <v>6.6321243523316059E-2</v>
      </c>
      <c r="R10" s="346">
        <v>3</v>
      </c>
      <c r="S10" s="276">
        <f t="shared" si="6"/>
        <v>3.1088082901554403E-3</v>
      </c>
      <c r="T10" s="337">
        <v>0</v>
      </c>
      <c r="U10" s="269">
        <f t="shared" si="3"/>
        <v>0</v>
      </c>
      <c r="V10" s="277">
        <f t="shared" si="7"/>
        <v>979</v>
      </c>
      <c r="W10" s="278">
        <f t="shared" si="8"/>
        <v>965</v>
      </c>
      <c r="X10" s="279">
        <f t="shared" si="9"/>
        <v>0.99689119170984453</v>
      </c>
      <c r="Y10" s="246"/>
      <c r="Z10" s="246"/>
    </row>
    <row r="11" spans="1:26" s="247" customFormat="1" ht="17.25" customHeight="1" x14ac:dyDescent="0.2">
      <c r="A11" s="265">
        <f>'GENEL HASILAT'!A13</f>
        <v>45572</v>
      </c>
      <c r="B11" s="335">
        <v>71</v>
      </c>
      <c r="C11" s="336">
        <v>0</v>
      </c>
      <c r="D11" s="268">
        <f t="shared" si="0"/>
        <v>0</v>
      </c>
      <c r="E11" s="337">
        <v>233</v>
      </c>
      <c r="F11" s="338">
        <v>307</v>
      </c>
      <c r="G11" s="269">
        <f t="shared" si="4"/>
        <v>0.41825613079019075</v>
      </c>
      <c r="H11" s="339">
        <v>1</v>
      </c>
      <c r="I11" s="340">
        <v>49</v>
      </c>
      <c r="J11" s="341">
        <v>0</v>
      </c>
      <c r="K11" s="273">
        <f t="shared" si="1"/>
        <v>0</v>
      </c>
      <c r="L11" s="343">
        <v>274</v>
      </c>
      <c r="M11" s="342">
        <v>332</v>
      </c>
      <c r="N11" s="273">
        <f t="shared" si="2"/>
        <v>0.45231607629427795</v>
      </c>
      <c r="O11" s="345">
        <v>88</v>
      </c>
      <c r="P11" s="344">
        <v>93</v>
      </c>
      <c r="Q11" s="273">
        <f t="shared" si="5"/>
        <v>0.12670299727520437</v>
      </c>
      <c r="R11" s="346">
        <v>1</v>
      </c>
      <c r="S11" s="276">
        <f t="shared" si="6"/>
        <v>1.3623978201634877E-3</v>
      </c>
      <c r="T11" s="337">
        <v>0</v>
      </c>
      <c r="U11" s="269">
        <f t="shared" si="3"/>
        <v>0</v>
      </c>
      <c r="V11" s="277">
        <f t="shared" si="7"/>
        <v>715</v>
      </c>
      <c r="W11" s="278">
        <f t="shared" si="8"/>
        <v>734</v>
      </c>
      <c r="X11" s="279">
        <f t="shared" si="9"/>
        <v>0.99863760217983655</v>
      </c>
      <c r="Y11" s="246"/>
      <c r="Z11" s="246"/>
    </row>
    <row r="12" spans="1:26" s="247" customFormat="1" ht="17.25" customHeight="1" x14ac:dyDescent="0.2">
      <c r="A12" s="265">
        <f>'GENEL HASILAT'!A14</f>
        <v>45573</v>
      </c>
      <c r="B12" s="335">
        <v>91</v>
      </c>
      <c r="C12" s="336">
        <v>0</v>
      </c>
      <c r="D12" s="268">
        <f t="shared" si="0"/>
        <v>0</v>
      </c>
      <c r="E12" s="337">
        <v>202</v>
      </c>
      <c r="F12" s="338">
        <v>268</v>
      </c>
      <c r="G12" s="269">
        <f t="shared" si="4"/>
        <v>0.43577235772357725</v>
      </c>
      <c r="H12" s="339">
        <v>1</v>
      </c>
      <c r="I12" s="340">
        <v>41</v>
      </c>
      <c r="J12" s="341">
        <v>0</v>
      </c>
      <c r="K12" s="273">
        <f t="shared" si="1"/>
        <v>0</v>
      </c>
      <c r="L12" s="343">
        <v>237</v>
      </c>
      <c r="M12" s="342">
        <v>260</v>
      </c>
      <c r="N12" s="273">
        <f t="shared" si="2"/>
        <v>0.42276422764227645</v>
      </c>
      <c r="O12" s="345">
        <v>86</v>
      </c>
      <c r="P12" s="344">
        <v>83</v>
      </c>
      <c r="Q12" s="273">
        <f t="shared" si="5"/>
        <v>0.13495934959349593</v>
      </c>
      <c r="R12" s="346">
        <v>3</v>
      </c>
      <c r="S12" s="276">
        <f t="shared" si="6"/>
        <v>4.8780487804878049E-3</v>
      </c>
      <c r="T12" s="266">
        <v>0</v>
      </c>
      <c r="U12" s="269">
        <f t="shared" si="3"/>
        <v>0</v>
      </c>
      <c r="V12" s="277">
        <f t="shared" si="7"/>
        <v>657</v>
      </c>
      <c r="W12" s="278">
        <f t="shared" si="8"/>
        <v>615</v>
      </c>
      <c r="X12" s="279">
        <f t="shared" si="9"/>
        <v>0.99837398373983743</v>
      </c>
      <c r="Y12" s="246"/>
      <c r="Z12" s="246"/>
    </row>
    <row r="13" spans="1:26" s="247" customFormat="1" ht="17.25" customHeight="1" x14ac:dyDescent="0.2">
      <c r="A13" s="265">
        <f>'GENEL HASILAT'!A15</f>
        <v>45574</v>
      </c>
      <c r="B13" s="335">
        <v>105</v>
      </c>
      <c r="C13" s="336">
        <v>0</v>
      </c>
      <c r="D13" s="268">
        <f t="shared" si="0"/>
        <v>0</v>
      </c>
      <c r="E13" s="337">
        <v>273</v>
      </c>
      <c r="F13" s="338">
        <v>386</v>
      </c>
      <c r="G13" s="269">
        <f t="shared" si="4"/>
        <v>0.47420147420147418</v>
      </c>
      <c r="H13" s="339">
        <v>1</v>
      </c>
      <c r="I13" s="340">
        <v>45</v>
      </c>
      <c r="J13" s="341">
        <v>0</v>
      </c>
      <c r="K13" s="273">
        <f t="shared" si="1"/>
        <v>0</v>
      </c>
      <c r="L13" s="343">
        <v>258</v>
      </c>
      <c r="M13" s="342">
        <v>323</v>
      </c>
      <c r="N13" s="273">
        <f t="shared" si="2"/>
        <v>0.39680589680589679</v>
      </c>
      <c r="O13" s="345">
        <v>96</v>
      </c>
      <c r="P13" s="344">
        <v>100</v>
      </c>
      <c r="Q13" s="273">
        <f t="shared" si="5"/>
        <v>0.12285012285012285</v>
      </c>
      <c r="R13" s="346">
        <v>4</v>
      </c>
      <c r="S13" s="276">
        <f t="shared" si="6"/>
        <v>4.9140049140049139E-3</v>
      </c>
      <c r="T13" s="266">
        <v>0</v>
      </c>
      <c r="U13" s="269">
        <f t="shared" si="3"/>
        <v>0</v>
      </c>
      <c r="V13" s="277">
        <f t="shared" si="7"/>
        <v>777</v>
      </c>
      <c r="W13" s="278">
        <f t="shared" si="8"/>
        <v>814</v>
      </c>
      <c r="X13" s="279">
        <f t="shared" si="9"/>
        <v>0.99877149877149873</v>
      </c>
      <c r="Y13" s="246"/>
      <c r="Z13" s="246"/>
    </row>
    <row r="14" spans="1:26" s="247" customFormat="1" ht="17.25" customHeight="1" x14ac:dyDescent="0.2">
      <c r="A14" s="265">
        <f>'GENEL HASILAT'!A16</f>
        <v>45575</v>
      </c>
      <c r="B14" s="335">
        <v>75</v>
      </c>
      <c r="C14" s="336">
        <v>0</v>
      </c>
      <c r="D14" s="268">
        <f t="shared" si="0"/>
        <v>0</v>
      </c>
      <c r="E14" s="337">
        <v>256</v>
      </c>
      <c r="F14" s="338">
        <v>331</v>
      </c>
      <c r="G14" s="269">
        <f t="shared" si="4"/>
        <v>0.48180494905385735</v>
      </c>
      <c r="H14" s="339">
        <v>1</v>
      </c>
      <c r="I14" s="340">
        <v>32</v>
      </c>
      <c r="J14" s="341">
        <v>0</v>
      </c>
      <c r="K14" s="273">
        <f t="shared" si="1"/>
        <v>0</v>
      </c>
      <c r="L14" s="343">
        <v>241</v>
      </c>
      <c r="M14" s="342">
        <v>271</v>
      </c>
      <c r="N14" s="273">
        <f t="shared" si="2"/>
        <v>0.39446870451237265</v>
      </c>
      <c r="O14" s="345">
        <v>86</v>
      </c>
      <c r="P14" s="344">
        <v>82</v>
      </c>
      <c r="Q14" s="273">
        <f t="shared" si="5"/>
        <v>0.11935953420669577</v>
      </c>
      <c r="R14" s="346">
        <v>2</v>
      </c>
      <c r="S14" s="276">
        <f t="shared" si="6"/>
        <v>2.911208151382824E-3</v>
      </c>
      <c r="T14" s="266">
        <v>0</v>
      </c>
      <c r="U14" s="269">
        <f t="shared" si="3"/>
        <v>0</v>
      </c>
      <c r="V14" s="277">
        <f t="shared" si="7"/>
        <v>690</v>
      </c>
      <c r="W14" s="278">
        <f t="shared" si="8"/>
        <v>687</v>
      </c>
      <c r="X14" s="279">
        <f t="shared" si="9"/>
        <v>0.99854439592430855</v>
      </c>
      <c r="Y14" s="246"/>
      <c r="Z14" s="246"/>
    </row>
    <row r="15" spans="1:26" s="247" customFormat="1" ht="17.25" customHeight="1" x14ac:dyDescent="0.2">
      <c r="A15" s="265">
        <f>'GENEL HASILAT'!A17</f>
        <v>45576</v>
      </c>
      <c r="B15" s="335">
        <v>74</v>
      </c>
      <c r="C15" s="336">
        <v>0</v>
      </c>
      <c r="D15" s="268">
        <f t="shared" si="0"/>
        <v>0</v>
      </c>
      <c r="E15" s="337">
        <v>243</v>
      </c>
      <c r="F15" s="338">
        <v>298</v>
      </c>
      <c r="G15" s="269">
        <f t="shared" si="4"/>
        <v>0.45083207261724662</v>
      </c>
      <c r="H15" s="339">
        <v>0</v>
      </c>
      <c r="I15" s="340">
        <v>44</v>
      </c>
      <c r="J15" s="341">
        <v>0</v>
      </c>
      <c r="K15" s="273">
        <f t="shared" si="1"/>
        <v>0</v>
      </c>
      <c r="L15" s="343">
        <v>248</v>
      </c>
      <c r="M15" s="342">
        <v>272</v>
      </c>
      <c r="N15" s="273">
        <f t="shared" si="2"/>
        <v>0.4114977307110439</v>
      </c>
      <c r="O15" s="345">
        <v>91</v>
      </c>
      <c r="P15" s="344">
        <v>88</v>
      </c>
      <c r="Q15" s="273">
        <f t="shared" si="5"/>
        <v>0.13313161875945537</v>
      </c>
      <c r="R15" s="346">
        <v>3</v>
      </c>
      <c r="S15" s="276">
        <f t="shared" si="6"/>
        <v>4.5385779122541605E-3</v>
      </c>
      <c r="T15" s="266">
        <v>0</v>
      </c>
      <c r="U15" s="269">
        <f t="shared" si="3"/>
        <v>0</v>
      </c>
      <c r="V15" s="277">
        <f t="shared" si="7"/>
        <v>700</v>
      </c>
      <c r="W15" s="278">
        <f t="shared" si="8"/>
        <v>661</v>
      </c>
      <c r="X15" s="279">
        <f t="shared" si="9"/>
        <v>1</v>
      </c>
      <c r="Y15" s="246"/>
      <c r="Z15" s="246"/>
    </row>
    <row r="16" spans="1:26" s="247" customFormat="1" ht="17.25" customHeight="1" x14ac:dyDescent="0.2">
      <c r="A16" s="265">
        <f>'GENEL HASILAT'!A18</f>
        <v>45577</v>
      </c>
      <c r="B16" s="335">
        <v>110</v>
      </c>
      <c r="C16" s="336">
        <v>0</v>
      </c>
      <c r="D16" s="268">
        <f t="shared" si="0"/>
        <v>0</v>
      </c>
      <c r="E16" s="337">
        <v>316</v>
      </c>
      <c r="F16" s="338">
        <v>413</v>
      </c>
      <c r="G16" s="269">
        <f t="shared" si="4"/>
        <v>0.49401913875598086</v>
      </c>
      <c r="H16" s="339">
        <v>1</v>
      </c>
      <c r="I16" s="340">
        <v>50</v>
      </c>
      <c r="J16" s="341">
        <v>0</v>
      </c>
      <c r="K16" s="273">
        <f t="shared" si="1"/>
        <v>0</v>
      </c>
      <c r="L16" s="343">
        <v>303</v>
      </c>
      <c r="M16" s="342">
        <v>362</v>
      </c>
      <c r="N16" s="273">
        <f t="shared" si="2"/>
        <v>0.43301435406698563</v>
      </c>
      <c r="O16" s="345">
        <v>58</v>
      </c>
      <c r="P16" s="344">
        <v>58</v>
      </c>
      <c r="Q16" s="273">
        <f t="shared" si="5"/>
        <v>6.9377990430622011E-2</v>
      </c>
      <c r="R16" s="346">
        <v>1</v>
      </c>
      <c r="S16" s="276">
        <f t="shared" si="6"/>
        <v>1.1961722488038277E-3</v>
      </c>
      <c r="T16" s="266">
        <v>1</v>
      </c>
      <c r="U16" s="269">
        <f t="shared" si="3"/>
        <v>1.1961722488038277E-3</v>
      </c>
      <c r="V16" s="277">
        <f t="shared" si="7"/>
        <v>837</v>
      </c>
      <c r="W16" s="278">
        <f t="shared" si="8"/>
        <v>836</v>
      </c>
      <c r="X16" s="279">
        <f t="shared" si="9"/>
        <v>0.99880382775119614</v>
      </c>
      <c r="Y16" s="246"/>
      <c r="Z16" s="246"/>
    </row>
    <row r="17" spans="1:26" s="247" customFormat="1" ht="17.25" customHeight="1" x14ac:dyDescent="0.2">
      <c r="A17" s="265">
        <f>'GENEL HASILAT'!A19</f>
        <v>45578</v>
      </c>
      <c r="B17" s="335">
        <v>106</v>
      </c>
      <c r="C17" s="336">
        <v>0</v>
      </c>
      <c r="D17" s="268">
        <f t="shared" si="0"/>
        <v>0</v>
      </c>
      <c r="E17" s="337">
        <v>350</v>
      </c>
      <c r="F17" s="338">
        <v>460</v>
      </c>
      <c r="G17" s="269">
        <f t="shared" si="4"/>
        <v>0.55622732769044736</v>
      </c>
      <c r="H17" s="339">
        <v>3</v>
      </c>
      <c r="I17" s="340">
        <v>38</v>
      </c>
      <c r="J17" s="341">
        <v>0</v>
      </c>
      <c r="K17" s="273">
        <f>+J17/W17</f>
        <v>0</v>
      </c>
      <c r="L17" s="343">
        <v>282</v>
      </c>
      <c r="M17" s="342">
        <v>311</v>
      </c>
      <c r="N17" s="273">
        <f t="shared" si="2"/>
        <v>0.37605804111245467</v>
      </c>
      <c r="O17" s="345">
        <v>47</v>
      </c>
      <c r="P17" s="344">
        <v>50</v>
      </c>
      <c r="Q17" s="273">
        <f t="shared" si="5"/>
        <v>6.0459492140266025E-2</v>
      </c>
      <c r="R17" s="346">
        <v>3</v>
      </c>
      <c r="S17" s="276">
        <f>R17/W17</f>
        <v>3.6275695284159614E-3</v>
      </c>
      <c r="T17" s="266">
        <v>0</v>
      </c>
      <c r="U17" s="269">
        <f t="shared" si="3"/>
        <v>0</v>
      </c>
      <c r="V17" s="277">
        <f t="shared" si="7"/>
        <v>823</v>
      </c>
      <c r="W17" s="278">
        <f t="shared" si="8"/>
        <v>827</v>
      </c>
      <c r="X17" s="279">
        <f t="shared" si="9"/>
        <v>0.99637243047158397</v>
      </c>
      <c r="Y17" s="246"/>
      <c r="Z17" s="246"/>
    </row>
    <row r="18" spans="1:26" s="247" customFormat="1" ht="17.25" customHeight="1" x14ac:dyDescent="0.2">
      <c r="A18" s="265">
        <f>'GENEL HASILAT'!A20</f>
        <v>45579</v>
      </c>
      <c r="B18" s="335">
        <v>54</v>
      </c>
      <c r="C18" s="336">
        <v>0</v>
      </c>
      <c r="D18" s="268">
        <f t="shared" si="0"/>
        <v>0</v>
      </c>
      <c r="E18" s="337">
        <v>235</v>
      </c>
      <c r="F18" s="338">
        <v>308</v>
      </c>
      <c r="G18" s="269">
        <f t="shared" si="4"/>
        <v>0.42956764295676431</v>
      </c>
      <c r="H18" s="339">
        <v>0</v>
      </c>
      <c r="I18" s="340">
        <v>41</v>
      </c>
      <c r="J18" s="341">
        <v>0</v>
      </c>
      <c r="K18" s="273">
        <f>+J18/W18</f>
        <v>0</v>
      </c>
      <c r="L18" s="343">
        <v>228</v>
      </c>
      <c r="M18" s="342">
        <v>290</v>
      </c>
      <c r="N18" s="273">
        <f t="shared" si="2"/>
        <v>0.40446304044630405</v>
      </c>
      <c r="O18" s="345">
        <v>105</v>
      </c>
      <c r="P18" s="344">
        <v>111</v>
      </c>
      <c r="Q18" s="273">
        <f t="shared" si="5"/>
        <v>0.15481171548117154</v>
      </c>
      <c r="R18" s="346">
        <v>6</v>
      </c>
      <c r="S18" s="276">
        <f>+R18/W18</f>
        <v>8.368200836820083E-3</v>
      </c>
      <c r="T18" s="266">
        <v>2</v>
      </c>
      <c r="U18" s="269">
        <f t="shared" si="3"/>
        <v>2.7894002789400278E-3</v>
      </c>
      <c r="V18" s="277">
        <f t="shared" si="7"/>
        <v>663</v>
      </c>
      <c r="W18" s="278">
        <f t="shared" si="8"/>
        <v>717</v>
      </c>
      <c r="X18" s="279">
        <f t="shared" si="9"/>
        <v>1</v>
      </c>
      <c r="Y18" s="246"/>
      <c r="Z18" s="246"/>
    </row>
    <row r="19" spans="1:26" s="247" customFormat="1" ht="17.25" customHeight="1" x14ac:dyDescent="0.2">
      <c r="A19" s="265">
        <f>'GENEL HASILAT'!A21</f>
        <v>45580</v>
      </c>
      <c r="B19" s="335">
        <v>75</v>
      </c>
      <c r="C19" s="336">
        <v>0</v>
      </c>
      <c r="D19" s="268">
        <f t="shared" si="0"/>
        <v>0</v>
      </c>
      <c r="E19" s="337">
        <v>219</v>
      </c>
      <c r="F19" s="338">
        <v>282</v>
      </c>
      <c r="G19" s="269">
        <f t="shared" si="4"/>
        <v>0.46381578947368424</v>
      </c>
      <c r="H19" s="339">
        <v>1</v>
      </c>
      <c r="I19" s="340">
        <v>43</v>
      </c>
      <c r="J19" s="341">
        <v>0</v>
      </c>
      <c r="K19" s="273">
        <f>+J19/W19</f>
        <v>0</v>
      </c>
      <c r="L19" s="343">
        <v>186</v>
      </c>
      <c r="M19" s="342">
        <v>230</v>
      </c>
      <c r="N19" s="273">
        <f t="shared" si="2"/>
        <v>0.37828947368421051</v>
      </c>
      <c r="O19" s="345">
        <v>89</v>
      </c>
      <c r="P19" s="344">
        <v>92</v>
      </c>
      <c r="Q19" s="273">
        <f t="shared" si="5"/>
        <v>0.15131578947368421</v>
      </c>
      <c r="R19" s="346">
        <v>3</v>
      </c>
      <c r="S19" s="276">
        <f>R19/W19</f>
        <v>4.9342105263157892E-3</v>
      </c>
      <c r="T19" s="266">
        <v>0</v>
      </c>
      <c r="U19" s="269">
        <f t="shared" si="3"/>
        <v>0</v>
      </c>
      <c r="V19" s="277">
        <f t="shared" si="7"/>
        <v>612</v>
      </c>
      <c r="W19" s="278">
        <f t="shared" si="8"/>
        <v>608</v>
      </c>
      <c r="X19" s="279">
        <f t="shared" si="9"/>
        <v>0.99835526315789469</v>
      </c>
      <c r="Y19" s="246"/>
      <c r="Z19" s="246"/>
    </row>
    <row r="20" spans="1:26" s="247" customFormat="1" ht="17.25" customHeight="1" x14ac:dyDescent="0.2">
      <c r="A20" s="265">
        <f>'GENEL HASILAT'!A22</f>
        <v>45581</v>
      </c>
      <c r="B20" s="335">
        <v>98</v>
      </c>
      <c r="C20" s="336">
        <v>0</v>
      </c>
      <c r="D20" s="268">
        <f t="shared" si="0"/>
        <v>0</v>
      </c>
      <c r="E20" s="337">
        <v>262</v>
      </c>
      <c r="F20" s="338">
        <v>348</v>
      </c>
      <c r="G20" s="269">
        <f t="shared" si="4"/>
        <v>0.5058139534883721</v>
      </c>
      <c r="H20" s="339">
        <v>2</v>
      </c>
      <c r="I20" s="340">
        <v>34</v>
      </c>
      <c r="J20" s="341">
        <v>0</v>
      </c>
      <c r="K20" s="273">
        <f>+J20/W20</f>
        <v>0</v>
      </c>
      <c r="L20" s="343">
        <v>207</v>
      </c>
      <c r="M20" s="342">
        <v>245</v>
      </c>
      <c r="N20" s="273">
        <f t="shared" si="2"/>
        <v>0.35610465116279072</v>
      </c>
      <c r="O20" s="345">
        <v>88</v>
      </c>
      <c r="P20" s="344">
        <v>86</v>
      </c>
      <c r="Q20" s="273">
        <f t="shared" si="5"/>
        <v>0.125</v>
      </c>
      <c r="R20" s="346">
        <v>7</v>
      </c>
      <c r="S20" s="276">
        <f>+R20/W20</f>
        <v>1.0174418604651164E-2</v>
      </c>
      <c r="T20" s="266">
        <v>0</v>
      </c>
      <c r="U20" s="269">
        <f t="shared" si="3"/>
        <v>0</v>
      </c>
      <c r="V20" s="277">
        <f t="shared" si="7"/>
        <v>689</v>
      </c>
      <c r="W20" s="278">
        <f t="shared" si="8"/>
        <v>688</v>
      </c>
      <c r="X20" s="279">
        <f t="shared" si="9"/>
        <v>0.99709302325581395</v>
      </c>
      <c r="Y20" s="246"/>
      <c r="Z20" s="246"/>
    </row>
    <row r="21" spans="1:26" s="247" customFormat="1" ht="17.25" customHeight="1" x14ac:dyDescent="0.2">
      <c r="A21" s="265">
        <f>'GENEL HASILAT'!A23</f>
        <v>45582</v>
      </c>
      <c r="B21" s="335">
        <v>82</v>
      </c>
      <c r="C21" s="336">
        <v>0</v>
      </c>
      <c r="D21" s="268">
        <f t="shared" si="0"/>
        <v>0</v>
      </c>
      <c r="E21" s="337">
        <v>237</v>
      </c>
      <c r="F21" s="338">
        <v>315</v>
      </c>
      <c r="G21" s="269">
        <f t="shared" si="4"/>
        <v>0.4838709677419355</v>
      </c>
      <c r="H21" s="339">
        <v>2</v>
      </c>
      <c r="I21" s="340">
        <v>35</v>
      </c>
      <c r="J21" s="341">
        <v>0</v>
      </c>
      <c r="K21" s="273">
        <f t="shared" ref="K21:K34" si="10">+J21/W21</f>
        <v>0</v>
      </c>
      <c r="L21" s="343">
        <v>199</v>
      </c>
      <c r="M21" s="342">
        <v>228</v>
      </c>
      <c r="N21" s="273">
        <f t="shared" si="2"/>
        <v>0.35023041474654376</v>
      </c>
      <c r="O21" s="345">
        <v>102</v>
      </c>
      <c r="P21" s="344">
        <v>100</v>
      </c>
      <c r="Q21" s="273">
        <f t="shared" si="5"/>
        <v>0.15360983102918588</v>
      </c>
      <c r="R21" s="346">
        <v>6</v>
      </c>
      <c r="S21" s="276">
        <f t="shared" ref="S21:S34" si="11">+R21/W21</f>
        <v>9.2165898617511521E-3</v>
      </c>
      <c r="T21" s="266">
        <v>0</v>
      </c>
      <c r="U21" s="269">
        <f t="shared" si="3"/>
        <v>0</v>
      </c>
      <c r="V21" s="277">
        <f t="shared" si="7"/>
        <v>655</v>
      </c>
      <c r="W21" s="278">
        <f t="shared" si="8"/>
        <v>651</v>
      </c>
      <c r="X21" s="279">
        <f t="shared" si="9"/>
        <v>0.99692780337941633</v>
      </c>
      <c r="Y21" s="246"/>
      <c r="Z21" s="246"/>
    </row>
    <row r="22" spans="1:26" s="247" customFormat="1" ht="17.25" customHeight="1" x14ac:dyDescent="0.2">
      <c r="A22" s="265">
        <f>'GENEL HASILAT'!A24</f>
        <v>45583</v>
      </c>
      <c r="B22" s="266">
        <v>82</v>
      </c>
      <c r="C22" s="267">
        <v>0</v>
      </c>
      <c r="D22" s="268">
        <f t="shared" si="0"/>
        <v>0</v>
      </c>
      <c r="E22" s="266">
        <v>194</v>
      </c>
      <c r="F22" s="267">
        <v>271</v>
      </c>
      <c r="G22" s="269">
        <f t="shared" si="4"/>
        <v>0.43015873015873018</v>
      </c>
      <c r="H22" s="270">
        <v>1</v>
      </c>
      <c r="I22" s="271">
        <v>25</v>
      </c>
      <c r="J22" s="272">
        <v>0</v>
      </c>
      <c r="K22" s="273">
        <f t="shared" si="10"/>
        <v>0</v>
      </c>
      <c r="L22" s="274">
        <v>233</v>
      </c>
      <c r="M22" s="272">
        <v>249</v>
      </c>
      <c r="N22" s="273">
        <f t="shared" si="2"/>
        <v>0.39523809523809522</v>
      </c>
      <c r="O22" s="274">
        <v>107</v>
      </c>
      <c r="P22" s="272">
        <v>105</v>
      </c>
      <c r="Q22" s="273">
        <f t="shared" si="5"/>
        <v>0.16666666666666666</v>
      </c>
      <c r="R22" s="275">
        <v>4</v>
      </c>
      <c r="S22" s="276">
        <f t="shared" si="11"/>
        <v>6.3492063492063492E-3</v>
      </c>
      <c r="T22" s="266">
        <v>0</v>
      </c>
      <c r="U22" s="269">
        <f t="shared" si="3"/>
        <v>0</v>
      </c>
      <c r="V22" s="277">
        <f t="shared" si="7"/>
        <v>641</v>
      </c>
      <c r="W22" s="278">
        <f t="shared" si="8"/>
        <v>630</v>
      </c>
      <c r="X22" s="279">
        <f t="shared" si="9"/>
        <v>0.99841269841269842</v>
      </c>
      <c r="Y22" s="246"/>
      <c r="Z22" s="246"/>
    </row>
    <row r="23" spans="1:26" s="247" customFormat="1" ht="17.25" customHeight="1" x14ac:dyDescent="0.2">
      <c r="A23" s="265">
        <f>'GENEL HASILAT'!A25</f>
        <v>45584</v>
      </c>
      <c r="B23" s="266">
        <v>82</v>
      </c>
      <c r="C23" s="267">
        <v>0</v>
      </c>
      <c r="D23" s="268">
        <f t="shared" si="0"/>
        <v>0</v>
      </c>
      <c r="E23" s="266">
        <v>279</v>
      </c>
      <c r="F23" s="267">
        <v>363</v>
      </c>
      <c r="G23" s="269">
        <f t="shared" si="4"/>
        <v>0.50911640953716686</v>
      </c>
      <c r="H23" s="270">
        <v>0</v>
      </c>
      <c r="I23" s="271">
        <v>34</v>
      </c>
      <c r="J23" s="272">
        <v>0</v>
      </c>
      <c r="K23" s="273">
        <f t="shared" si="10"/>
        <v>0</v>
      </c>
      <c r="L23" s="274">
        <v>248</v>
      </c>
      <c r="M23" s="272">
        <v>298</v>
      </c>
      <c r="N23" s="273">
        <f t="shared" si="2"/>
        <v>0.41795231416549788</v>
      </c>
      <c r="O23" s="274">
        <v>47</v>
      </c>
      <c r="P23" s="272">
        <v>52</v>
      </c>
      <c r="Q23" s="273">
        <f t="shared" si="5"/>
        <v>7.2931276297335201E-2</v>
      </c>
      <c r="R23" s="275">
        <v>0</v>
      </c>
      <c r="S23" s="276">
        <f t="shared" si="11"/>
        <v>0</v>
      </c>
      <c r="T23" s="266">
        <v>0</v>
      </c>
      <c r="U23" s="269">
        <f t="shared" si="3"/>
        <v>0</v>
      </c>
      <c r="V23" s="277">
        <f t="shared" si="7"/>
        <v>690</v>
      </c>
      <c r="W23" s="278">
        <f t="shared" si="8"/>
        <v>713</v>
      </c>
      <c r="X23" s="279">
        <f t="shared" si="9"/>
        <v>1</v>
      </c>
      <c r="Y23" s="246"/>
      <c r="Z23" s="246"/>
    </row>
    <row r="24" spans="1:26" s="247" customFormat="1" ht="17.25" customHeight="1" x14ac:dyDescent="0.2">
      <c r="A24" s="265">
        <f>'GENEL HASILAT'!A26</f>
        <v>45585</v>
      </c>
      <c r="B24" s="266">
        <v>75</v>
      </c>
      <c r="C24" s="267">
        <v>0</v>
      </c>
      <c r="D24" s="268">
        <f t="shared" si="0"/>
        <v>0</v>
      </c>
      <c r="E24" s="266">
        <v>260</v>
      </c>
      <c r="F24" s="267">
        <v>342</v>
      </c>
      <c r="G24" s="269">
        <f t="shared" si="4"/>
        <v>0.54720000000000002</v>
      </c>
      <c r="H24" s="270">
        <v>0</v>
      </c>
      <c r="I24" s="271">
        <v>30</v>
      </c>
      <c r="J24" s="272">
        <v>0</v>
      </c>
      <c r="K24" s="273">
        <f t="shared" si="10"/>
        <v>0</v>
      </c>
      <c r="L24" s="274">
        <v>209</v>
      </c>
      <c r="M24" s="272">
        <v>236</v>
      </c>
      <c r="N24" s="273">
        <f t="shared" si="2"/>
        <v>0.37759999999999999</v>
      </c>
      <c r="O24" s="274">
        <v>48</v>
      </c>
      <c r="P24" s="272">
        <v>45</v>
      </c>
      <c r="Q24" s="273">
        <f t="shared" si="5"/>
        <v>7.1999999999999995E-2</v>
      </c>
      <c r="R24" s="275">
        <v>2</v>
      </c>
      <c r="S24" s="276">
        <f t="shared" si="11"/>
        <v>3.2000000000000002E-3</v>
      </c>
      <c r="T24" s="266">
        <v>0</v>
      </c>
      <c r="U24" s="269">
        <f t="shared" si="3"/>
        <v>0</v>
      </c>
      <c r="V24" s="277">
        <f t="shared" si="7"/>
        <v>622</v>
      </c>
      <c r="W24" s="278">
        <f t="shared" si="8"/>
        <v>625</v>
      </c>
      <c r="X24" s="279">
        <f t="shared" si="9"/>
        <v>1</v>
      </c>
      <c r="Y24" s="246"/>
      <c r="Z24" s="246"/>
    </row>
    <row r="25" spans="1:26" s="247" customFormat="1" ht="17.25" customHeight="1" x14ac:dyDescent="0.2">
      <c r="A25" s="265">
        <f>'GENEL HASILAT'!A27</f>
        <v>45586</v>
      </c>
      <c r="B25" s="266">
        <v>60</v>
      </c>
      <c r="C25" s="267">
        <v>0</v>
      </c>
      <c r="D25" s="268">
        <f t="shared" si="0"/>
        <v>0</v>
      </c>
      <c r="E25" s="266">
        <v>199</v>
      </c>
      <c r="F25" s="267">
        <v>259</v>
      </c>
      <c r="G25" s="269">
        <f t="shared" si="4"/>
        <v>0.47262773722627738</v>
      </c>
      <c r="H25" s="270">
        <v>0</v>
      </c>
      <c r="I25" s="271">
        <v>23</v>
      </c>
      <c r="J25" s="272">
        <v>0</v>
      </c>
      <c r="K25" s="273">
        <f t="shared" si="10"/>
        <v>0</v>
      </c>
      <c r="L25" s="274">
        <v>175</v>
      </c>
      <c r="M25" s="272">
        <v>200</v>
      </c>
      <c r="N25" s="273">
        <f t="shared" si="2"/>
        <v>0.36496350364963503</v>
      </c>
      <c r="O25" s="274">
        <v>86</v>
      </c>
      <c r="P25" s="272">
        <v>86</v>
      </c>
      <c r="Q25" s="273">
        <f t="shared" si="5"/>
        <v>0.15693430656934307</v>
      </c>
      <c r="R25" s="275">
        <v>3</v>
      </c>
      <c r="S25" s="276">
        <f t="shared" si="11"/>
        <v>5.4744525547445258E-3</v>
      </c>
      <c r="T25" s="266">
        <v>0</v>
      </c>
      <c r="U25" s="269">
        <f t="shared" si="3"/>
        <v>0</v>
      </c>
      <c r="V25" s="277">
        <f t="shared" si="7"/>
        <v>543</v>
      </c>
      <c r="W25" s="278">
        <f t="shared" si="8"/>
        <v>548</v>
      </c>
      <c r="X25" s="279">
        <f t="shared" si="9"/>
        <v>1</v>
      </c>
      <c r="Y25" s="246"/>
      <c r="Z25" s="246"/>
    </row>
    <row r="26" spans="1:26" s="247" customFormat="1" ht="17.25" customHeight="1" x14ac:dyDescent="0.2">
      <c r="A26" s="265">
        <f>'GENEL HASILAT'!A28</f>
        <v>45587</v>
      </c>
      <c r="B26" s="266">
        <v>53</v>
      </c>
      <c r="C26" s="267">
        <v>0</v>
      </c>
      <c r="D26" s="268">
        <f t="shared" si="0"/>
        <v>0</v>
      </c>
      <c r="E26" s="266">
        <v>99</v>
      </c>
      <c r="F26" s="267">
        <v>151</v>
      </c>
      <c r="G26" s="269">
        <f t="shared" si="4"/>
        <v>0.3775</v>
      </c>
      <c r="H26" s="270">
        <v>2</v>
      </c>
      <c r="I26" s="271">
        <v>33</v>
      </c>
      <c r="J26" s="272">
        <v>0</v>
      </c>
      <c r="K26" s="273">
        <f t="shared" si="10"/>
        <v>0</v>
      </c>
      <c r="L26" s="274">
        <v>125</v>
      </c>
      <c r="M26" s="272">
        <v>157</v>
      </c>
      <c r="N26" s="273">
        <f t="shared" si="2"/>
        <v>0.39250000000000002</v>
      </c>
      <c r="O26" s="274">
        <v>83</v>
      </c>
      <c r="P26" s="272">
        <v>87</v>
      </c>
      <c r="Q26" s="273">
        <f t="shared" si="5"/>
        <v>0.2175</v>
      </c>
      <c r="R26" s="275">
        <v>3</v>
      </c>
      <c r="S26" s="276">
        <f t="shared" si="11"/>
        <v>7.4999999999999997E-3</v>
      </c>
      <c r="T26" s="266">
        <v>0</v>
      </c>
      <c r="U26" s="269">
        <f t="shared" si="3"/>
        <v>0</v>
      </c>
      <c r="V26" s="277">
        <f t="shared" si="7"/>
        <v>393</v>
      </c>
      <c r="W26" s="278">
        <f t="shared" si="8"/>
        <v>400</v>
      </c>
      <c r="X26" s="279">
        <f t="shared" si="9"/>
        <v>0.99500000000000011</v>
      </c>
      <c r="Y26" s="246"/>
      <c r="Z26" s="246"/>
    </row>
    <row r="27" spans="1:26" s="247" customFormat="1" ht="17.25" customHeight="1" x14ac:dyDescent="0.2">
      <c r="A27" s="265">
        <f>'GENEL HASILAT'!A29</f>
        <v>45588</v>
      </c>
      <c r="B27" s="266">
        <v>74</v>
      </c>
      <c r="C27" s="267">
        <v>0</v>
      </c>
      <c r="D27" s="268">
        <f t="shared" si="0"/>
        <v>0</v>
      </c>
      <c r="E27" s="266">
        <v>162</v>
      </c>
      <c r="F27" s="267">
        <v>229</v>
      </c>
      <c r="G27" s="269">
        <f t="shared" si="4"/>
        <v>0.46169354838709675</v>
      </c>
      <c r="H27" s="270">
        <v>3</v>
      </c>
      <c r="I27" s="271">
        <v>43</v>
      </c>
      <c r="J27" s="272">
        <v>0</v>
      </c>
      <c r="K27" s="273">
        <f t="shared" si="10"/>
        <v>0</v>
      </c>
      <c r="L27" s="274">
        <v>137</v>
      </c>
      <c r="M27" s="272">
        <v>176</v>
      </c>
      <c r="N27" s="273">
        <f t="shared" si="2"/>
        <v>0.35483870967741937</v>
      </c>
      <c r="O27" s="274">
        <v>88</v>
      </c>
      <c r="P27" s="272">
        <v>85</v>
      </c>
      <c r="Q27" s="273">
        <f t="shared" si="5"/>
        <v>0.17137096774193547</v>
      </c>
      <c r="R27" s="275">
        <v>3</v>
      </c>
      <c r="S27" s="276">
        <f t="shared" si="11"/>
        <v>6.0483870967741934E-3</v>
      </c>
      <c r="T27" s="266">
        <v>0</v>
      </c>
      <c r="U27" s="269">
        <f t="shared" si="3"/>
        <v>0</v>
      </c>
      <c r="V27" s="277">
        <f t="shared" si="7"/>
        <v>504</v>
      </c>
      <c r="W27" s="278">
        <f t="shared" si="8"/>
        <v>496</v>
      </c>
      <c r="X27" s="279">
        <f t="shared" si="9"/>
        <v>0.99395161290322576</v>
      </c>
      <c r="Y27" s="246"/>
      <c r="Z27" s="246"/>
    </row>
    <row r="28" spans="1:26" s="247" customFormat="1" ht="17.25" customHeight="1" x14ac:dyDescent="0.2">
      <c r="A28" s="265">
        <f>'GENEL HASILAT'!A30</f>
        <v>45589</v>
      </c>
      <c r="B28" s="266"/>
      <c r="C28" s="267"/>
      <c r="D28" s="268" t="e">
        <f t="shared" si="0"/>
        <v>#DIV/0!</v>
      </c>
      <c r="E28" s="266"/>
      <c r="F28" s="267"/>
      <c r="G28" s="269" t="e">
        <f t="shared" si="4"/>
        <v>#DIV/0!</v>
      </c>
      <c r="H28" s="270"/>
      <c r="I28" s="271"/>
      <c r="J28" s="272"/>
      <c r="K28" s="273" t="e">
        <f t="shared" si="10"/>
        <v>#DIV/0!</v>
      </c>
      <c r="L28" s="274"/>
      <c r="M28" s="272"/>
      <c r="N28" s="273" t="e">
        <f t="shared" si="2"/>
        <v>#DIV/0!</v>
      </c>
      <c r="O28" s="274"/>
      <c r="P28" s="272"/>
      <c r="Q28" s="273" t="e">
        <f t="shared" si="5"/>
        <v>#DIV/0!</v>
      </c>
      <c r="R28" s="275"/>
      <c r="S28" s="276" t="e">
        <f t="shared" si="11"/>
        <v>#DIV/0!</v>
      </c>
      <c r="T28" s="266"/>
      <c r="U28" s="269" t="e">
        <f t="shared" si="3"/>
        <v>#DIV/0!</v>
      </c>
      <c r="V28" s="277">
        <f t="shared" si="7"/>
        <v>0</v>
      </c>
      <c r="W28" s="278">
        <f t="shared" si="8"/>
        <v>0</v>
      </c>
      <c r="X28" s="279" t="e">
        <f t="shared" si="9"/>
        <v>#DIV/0!</v>
      </c>
      <c r="Y28" s="246"/>
      <c r="Z28" s="246"/>
    </row>
    <row r="29" spans="1:26" s="247" customFormat="1" ht="17.25" customHeight="1" x14ac:dyDescent="0.2">
      <c r="A29" s="265">
        <f>'GENEL HASILAT'!A31</f>
        <v>45590</v>
      </c>
      <c r="B29" s="266"/>
      <c r="C29" s="267"/>
      <c r="D29" s="268" t="e">
        <f t="shared" si="0"/>
        <v>#DIV/0!</v>
      </c>
      <c r="E29" s="266"/>
      <c r="F29" s="267"/>
      <c r="G29" s="269" t="e">
        <f t="shared" si="4"/>
        <v>#DIV/0!</v>
      </c>
      <c r="H29" s="270"/>
      <c r="I29" s="271"/>
      <c r="J29" s="272"/>
      <c r="K29" s="273" t="e">
        <f t="shared" si="10"/>
        <v>#DIV/0!</v>
      </c>
      <c r="L29" s="274"/>
      <c r="M29" s="272"/>
      <c r="N29" s="273" t="e">
        <f t="shared" si="2"/>
        <v>#DIV/0!</v>
      </c>
      <c r="O29" s="274"/>
      <c r="P29" s="272"/>
      <c r="Q29" s="273" t="e">
        <f t="shared" si="5"/>
        <v>#DIV/0!</v>
      </c>
      <c r="R29" s="275"/>
      <c r="S29" s="276" t="e">
        <f t="shared" si="11"/>
        <v>#DIV/0!</v>
      </c>
      <c r="T29" s="266"/>
      <c r="U29" s="269" t="e">
        <f t="shared" si="3"/>
        <v>#DIV/0!</v>
      </c>
      <c r="V29" s="277">
        <f t="shared" si="7"/>
        <v>0</v>
      </c>
      <c r="W29" s="278">
        <f t="shared" si="8"/>
        <v>0</v>
      </c>
      <c r="X29" s="279" t="e">
        <f t="shared" si="9"/>
        <v>#DIV/0!</v>
      </c>
      <c r="Y29" s="246"/>
      <c r="Z29" s="246"/>
    </row>
    <row r="30" spans="1:26" s="247" customFormat="1" ht="17.25" customHeight="1" x14ac:dyDescent="0.2">
      <c r="A30" s="265">
        <f>'GENEL HASILAT'!A32</f>
        <v>45591</v>
      </c>
      <c r="B30" s="266"/>
      <c r="C30" s="267"/>
      <c r="D30" s="268" t="e">
        <f t="shared" si="0"/>
        <v>#DIV/0!</v>
      </c>
      <c r="E30" s="266"/>
      <c r="F30" s="267"/>
      <c r="G30" s="269" t="e">
        <f t="shared" si="4"/>
        <v>#DIV/0!</v>
      </c>
      <c r="H30" s="270"/>
      <c r="I30" s="271"/>
      <c r="J30" s="272"/>
      <c r="K30" s="273" t="e">
        <f t="shared" si="10"/>
        <v>#DIV/0!</v>
      </c>
      <c r="L30" s="274"/>
      <c r="M30" s="272"/>
      <c r="N30" s="273" t="e">
        <f t="shared" si="2"/>
        <v>#DIV/0!</v>
      </c>
      <c r="O30" s="274"/>
      <c r="P30" s="272"/>
      <c r="Q30" s="273" t="e">
        <f t="shared" si="5"/>
        <v>#DIV/0!</v>
      </c>
      <c r="R30" s="275"/>
      <c r="S30" s="276" t="e">
        <f t="shared" si="11"/>
        <v>#DIV/0!</v>
      </c>
      <c r="T30" s="266"/>
      <c r="U30" s="269" t="e">
        <f t="shared" si="3"/>
        <v>#DIV/0!</v>
      </c>
      <c r="V30" s="277">
        <f t="shared" si="7"/>
        <v>0</v>
      </c>
      <c r="W30" s="278">
        <f t="shared" si="8"/>
        <v>0</v>
      </c>
      <c r="X30" s="279" t="e">
        <f t="shared" si="9"/>
        <v>#DIV/0!</v>
      </c>
      <c r="Y30" s="246"/>
      <c r="Z30" s="246"/>
    </row>
    <row r="31" spans="1:26" s="247" customFormat="1" ht="17.25" customHeight="1" x14ac:dyDescent="0.2">
      <c r="A31" s="265">
        <f>'GENEL HASILAT'!A33</f>
        <v>45592</v>
      </c>
      <c r="B31" s="266"/>
      <c r="C31" s="267"/>
      <c r="D31" s="268" t="e">
        <f t="shared" si="0"/>
        <v>#DIV/0!</v>
      </c>
      <c r="E31" s="266"/>
      <c r="F31" s="267"/>
      <c r="G31" s="269" t="e">
        <f t="shared" si="4"/>
        <v>#DIV/0!</v>
      </c>
      <c r="H31" s="270"/>
      <c r="I31" s="271"/>
      <c r="J31" s="272"/>
      <c r="K31" s="273" t="e">
        <f t="shared" si="10"/>
        <v>#DIV/0!</v>
      </c>
      <c r="L31" s="274"/>
      <c r="M31" s="272"/>
      <c r="N31" s="273" t="e">
        <f t="shared" si="2"/>
        <v>#DIV/0!</v>
      </c>
      <c r="O31" s="274"/>
      <c r="P31" s="272"/>
      <c r="Q31" s="273" t="e">
        <f t="shared" si="5"/>
        <v>#DIV/0!</v>
      </c>
      <c r="R31" s="275"/>
      <c r="S31" s="276" t="e">
        <f t="shared" si="11"/>
        <v>#DIV/0!</v>
      </c>
      <c r="T31" s="266"/>
      <c r="U31" s="269" t="e">
        <f>T31/W31</f>
        <v>#DIV/0!</v>
      </c>
      <c r="V31" s="277">
        <f t="shared" si="7"/>
        <v>0</v>
      </c>
      <c r="W31" s="278">
        <f t="shared" si="8"/>
        <v>0</v>
      </c>
      <c r="X31" s="279" t="e">
        <f t="shared" si="9"/>
        <v>#DIV/0!</v>
      </c>
      <c r="Y31" s="246"/>
      <c r="Z31" s="246"/>
    </row>
    <row r="32" spans="1:26" s="247" customFormat="1" ht="17.25" customHeight="1" x14ac:dyDescent="0.2">
      <c r="A32" s="265">
        <f>'GENEL HASILAT'!A34</f>
        <v>45593</v>
      </c>
      <c r="B32" s="266"/>
      <c r="C32" s="267"/>
      <c r="D32" s="268" t="e">
        <f>C32/W32</f>
        <v>#DIV/0!</v>
      </c>
      <c r="E32" s="266"/>
      <c r="F32" s="267"/>
      <c r="G32" s="269" t="e">
        <f>+F32/W32</f>
        <v>#DIV/0!</v>
      </c>
      <c r="H32" s="270"/>
      <c r="I32" s="271"/>
      <c r="J32" s="272"/>
      <c r="K32" s="273" t="e">
        <f>+J32/W32</f>
        <v>#DIV/0!</v>
      </c>
      <c r="L32" s="274"/>
      <c r="M32" s="272"/>
      <c r="N32" s="273" t="e">
        <f>+M32/W32</f>
        <v>#DIV/0!</v>
      </c>
      <c r="O32" s="274"/>
      <c r="P32" s="272"/>
      <c r="Q32" s="273" t="e">
        <f t="shared" si="5"/>
        <v>#DIV/0!</v>
      </c>
      <c r="R32" s="275"/>
      <c r="S32" s="276" t="e">
        <f>+R32/W32</f>
        <v>#DIV/0!</v>
      </c>
      <c r="T32" s="266"/>
      <c r="U32" s="269" t="e">
        <f>T32/W32</f>
        <v>#DIV/0!</v>
      </c>
      <c r="V32" s="277">
        <f t="shared" si="7"/>
        <v>0</v>
      </c>
      <c r="W32" s="278">
        <f t="shared" si="8"/>
        <v>0</v>
      </c>
      <c r="X32" s="279" t="e">
        <f t="shared" si="9"/>
        <v>#DIV/0!</v>
      </c>
      <c r="Y32" s="246"/>
      <c r="Z32" s="246"/>
    </row>
    <row r="33" spans="1:26" s="247" customFormat="1" ht="17.25" customHeight="1" x14ac:dyDescent="0.2">
      <c r="A33" s="265">
        <f>'GENEL HASILAT'!A35</f>
        <v>45594</v>
      </c>
      <c r="B33" s="266"/>
      <c r="C33" s="267"/>
      <c r="D33" s="268" t="e">
        <f t="shared" si="0"/>
        <v>#DIV/0!</v>
      </c>
      <c r="E33" s="266"/>
      <c r="F33" s="267"/>
      <c r="G33" s="269" t="e">
        <f t="shared" si="4"/>
        <v>#DIV/0!</v>
      </c>
      <c r="H33" s="270"/>
      <c r="I33" s="271"/>
      <c r="J33" s="272"/>
      <c r="K33" s="273" t="e">
        <f t="shared" si="10"/>
        <v>#DIV/0!</v>
      </c>
      <c r="L33" s="274"/>
      <c r="M33" s="272"/>
      <c r="N33" s="273" t="e">
        <f t="shared" si="2"/>
        <v>#DIV/0!</v>
      </c>
      <c r="O33" s="274"/>
      <c r="P33" s="272"/>
      <c r="Q33" s="273" t="e">
        <f t="shared" si="5"/>
        <v>#DIV/0!</v>
      </c>
      <c r="R33" s="275"/>
      <c r="S33" s="276" t="e">
        <f t="shared" si="11"/>
        <v>#DIV/0!</v>
      </c>
      <c r="T33" s="266"/>
      <c r="U33" s="269" t="e">
        <f>T33/W33</f>
        <v>#DIV/0!</v>
      </c>
      <c r="V33" s="277">
        <f t="shared" si="7"/>
        <v>0</v>
      </c>
      <c r="W33" s="278">
        <f t="shared" si="8"/>
        <v>0</v>
      </c>
      <c r="X33" s="279" t="e">
        <f t="shared" si="9"/>
        <v>#DIV/0!</v>
      </c>
      <c r="Y33" s="246"/>
      <c r="Z33" s="246"/>
    </row>
    <row r="34" spans="1:26" s="247" customFormat="1" ht="17.25" customHeight="1" x14ac:dyDescent="0.2">
      <c r="A34" s="265">
        <f>'GENEL HASILAT'!A36</f>
        <v>45595</v>
      </c>
      <c r="B34" s="266"/>
      <c r="C34" s="267"/>
      <c r="D34" s="268" t="e">
        <f t="shared" si="0"/>
        <v>#DIV/0!</v>
      </c>
      <c r="E34" s="266"/>
      <c r="F34" s="267"/>
      <c r="G34" s="269" t="e">
        <f t="shared" si="4"/>
        <v>#DIV/0!</v>
      </c>
      <c r="H34" s="270"/>
      <c r="I34" s="271"/>
      <c r="J34" s="272"/>
      <c r="K34" s="273" t="e">
        <f t="shared" si="10"/>
        <v>#DIV/0!</v>
      </c>
      <c r="L34" s="274"/>
      <c r="M34" s="272"/>
      <c r="N34" s="273" t="e">
        <f t="shared" si="2"/>
        <v>#DIV/0!</v>
      </c>
      <c r="O34" s="274"/>
      <c r="P34" s="272"/>
      <c r="Q34" s="273" t="e">
        <f t="shared" si="5"/>
        <v>#DIV/0!</v>
      </c>
      <c r="R34" s="275"/>
      <c r="S34" s="276" t="e">
        <f t="shared" si="11"/>
        <v>#DIV/0!</v>
      </c>
      <c r="T34" s="266"/>
      <c r="U34" s="269" t="e">
        <f>T34/W34</f>
        <v>#DIV/0!</v>
      </c>
      <c r="V34" s="277">
        <f t="shared" si="7"/>
        <v>0</v>
      </c>
      <c r="W34" s="278">
        <f t="shared" si="8"/>
        <v>0</v>
      </c>
      <c r="X34" s="279" t="e">
        <f t="shared" si="9"/>
        <v>#DIV/0!</v>
      </c>
      <c r="Y34" s="246"/>
      <c r="Z34" s="246"/>
    </row>
    <row r="35" spans="1:26" s="247" customFormat="1" ht="17.25" customHeight="1" x14ac:dyDescent="0.2">
      <c r="A35" s="265">
        <f>'GENEL HASILAT'!A37</f>
        <v>45596</v>
      </c>
      <c r="B35" s="266"/>
      <c r="C35" s="267"/>
      <c r="D35" s="268" t="e">
        <f>C35/W35</f>
        <v>#DIV/0!</v>
      </c>
      <c r="E35" s="266"/>
      <c r="F35" s="267"/>
      <c r="G35" s="269" t="e">
        <f t="shared" si="4"/>
        <v>#DIV/0!</v>
      </c>
      <c r="H35" s="270"/>
      <c r="I35" s="271"/>
      <c r="J35" s="272"/>
      <c r="K35" s="273" t="e">
        <f>+J35/W35</f>
        <v>#DIV/0!</v>
      </c>
      <c r="L35" s="274"/>
      <c r="M35" s="272"/>
      <c r="N35" s="273" t="e">
        <f>+M35/W35</f>
        <v>#DIV/0!</v>
      </c>
      <c r="O35" s="274"/>
      <c r="P35" s="272"/>
      <c r="Q35" s="273" t="e">
        <f t="shared" si="5"/>
        <v>#DIV/0!</v>
      </c>
      <c r="R35" s="275"/>
      <c r="S35" s="276" t="e">
        <f>+R35/W35</f>
        <v>#DIV/0!</v>
      </c>
      <c r="T35" s="266"/>
      <c r="U35" s="269" t="e">
        <f>T35/W35</f>
        <v>#DIV/0!</v>
      </c>
      <c r="V35" s="277">
        <f t="shared" si="7"/>
        <v>0</v>
      </c>
      <c r="W35" s="278">
        <f t="shared" si="8"/>
        <v>0</v>
      </c>
      <c r="X35" s="279" t="e">
        <f t="shared" si="9"/>
        <v>#DIV/0!</v>
      </c>
      <c r="Y35" s="246"/>
      <c r="Z35" s="246"/>
    </row>
    <row r="36" spans="1:26" s="247" customFormat="1" ht="17.25" customHeight="1" thickBot="1" x14ac:dyDescent="0.25">
      <c r="A36" s="246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46"/>
      <c r="Z36" s="246"/>
    </row>
    <row r="37" spans="1:26" s="247" customFormat="1" ht="17.25" customHeight="1" thickTop="1" thickBot="1" x14ac:dyDescent="0.25">
      <c r="A37" s="281" t="s">
        <v>4</v>
      </c>
      <c r="B37" s="282">
        <f>SUM(B5:B35)</f>
        <v>2037</v>
      </c>
      <c r="C37" s="282">
        <f>SUM(C5:C35)</f>
        <v>0</v>
      </c>
      <c r="D37" s="283">
        <f>C37/W37</f>
        <v>0</v>
      </c>
      <c r="E37" s="282">
        <f>SUM(E5:E35)</f>
        <v>5865</v>
      </c>
      <c r="F37" s="282">
        <f>SUM(F5:F35)</f>
        <v>7816</v>
      </c>
      <c r="G37" s="283">
        <f>+F37/W37</f>
        <v>0.45787932044522556</v>
      </c>
      <c r="H37" s="284">
        <f>SUM(H5:H35)</f>
        <v>31</v>
      </c>
      <c r="I37" s="285">
        <f>SUM(I5:I35)</f>
        <v>919</v>
      </c>
      <c r="J37" s="285">
        <f>SUM(J5:J35)</f>
        <v>0</v>
      </c>
      <c r="K37" s="286">
        <f>+J37/W37</f>
        <v>0</v>
      </c>
      <c r="L37" s="285">
        <f>SUM(L5:L35)</f>
        <v>6205</v>
      </c>
      <c r="M37" s="285">
        <f>SUM(M5:M35)</f>
        <v>7205</v>
      </c>
      <c r="N37" s="286">
        <f>+M37/W37</f>
        <v>0.4220855301698887</v>
      </c>
      <c r="O37" s="285">
        <f>SUM(O5:O35)</f>
        <v>1920</v>
      </c>
      <c r="P37" s="285">
        <f>SUM(P5:P35)</f>
        <v>1933</v>
      </c>
      <c r="Q37" s="286">
        <f>+P37/W37</f>
        <v>0.11323960164030462</v>
      </c>
      <c r="R37" s="287">
        <f>SUM(R5:R35)</f>
        <v>81</v>
      </c>
      <c r="S37" s="288">
        <f>+R37/W37</f>
        <v>4.7451669595782071E-3</v>
      </c>
      <c r="T37" s="284">
        <f>SUM(T5:T35)</f>
        <v>4</v>
      </c>
      <c r="U37" s="283">
        <f>+T37/W37</f>
        <v>2.3432923257176333E-4</v>
      </c>
      <c r="V37" s="289">
        <f>SUM(V5:V35)</f>
        <v>16946</v>
      </c>
      <c r="W37" s="289">
        <f>SUM(W5:W35)</f>
        <v>17070</v>
      </c>
      <c r="X37" s="290">
        <f>+S37+N37+K37+G37+D37+U37</f>
        <v>0.88494434680726419</v>
      </c>
      <c r="Y37" s="246"/>
      <c r="Z37" s="246"/>
    </row>
    <row r="38" spans="1:26" ht="12" customHeight="1" thickTop="1" x14ac:dyDescent="0.2">
      <c r="A38" s="291"/>
      <c r="B38" s="292"/>
      <c r="C38" s="292"/>
      <c r="D38" s="292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4"/>
      <c r="Z38" s="294"/>
    </row>
    <row r="39" spans="1:26" ht="12" customHeight="1" x14ac:dyDescent="0.2">
      <c r="A39" s="291"/>
      <c r="B39" s="292"/>
      <c r="C39" s="292"/>
      <c r="D39" s="292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4"/>
      <c r="Z39" s="294"/>
    </row>
    <row r="40" spans="1:26" ht="12" customHeight="1" x14ac:dyDescent="0.2">
      <c r="A40" s="291"/>
      <c r="B40" s="292"/>
      <c r="C40" s="292"/>
      <c r="D40" s="292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4"/>
      <c r="Z40" s="294"/>
    </row>
    <row r="41" spans="1:26" ht="12" customHeight="1" x14ac:dyDescent="0.2">
      <c r="A41" s="291"/>
      <c r="B41" s="291"/>
      <c r="C41" s="291"/>
      <c r="D41" s="291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</row>
    <row r="42" spans="1:26" ht="12" customHeight="1" x14ac:dyDescent="0.2">
      <c r="A42" s="291"/>
      <c r="B42" s="291"/>
      <c r="C42" s="291"/>
      <c r="D42" s="291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</row>
    <row r="43" spans="1:26" ht="12" customHeight="1" x14ac:dyDescent="0.2">
      <c r="A43" s="291"/>
      <c r="B43" s="291"/>
      <c r="C43" s="291"/>
      <c r="D43" s="291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</row>
  </sheetData>
  <sheetProtection algorithmName="SHA-512" hashValue="wdCMP6qruqsYlhVy4TQ365Ygjej0J/4M1DNRbn7QkCC++94RwoKV2FHut06r4lS0WOefoJ1sluSCtOGssY/EJg==" saltValue="5HU7R/dtbBY2l4iKOP5Cag==" spinCount="100000" sheet="1" selectLockedCells="1"/>
  <mergeCells count="12">
    <mergeCell ref="L3:N3"/>
    <mergeCell ref="O3:Q3"/>
    <mergeCell ref="A1:X1"/>
    <mergeCell ref="B2:G2"/>
    <mergeCell ref="H2:H4"/>
    <mergeCell ref="I2:Q2"/>
    <mergeCell ref="R2:S2"/>
    <mergeCell ref="T2:U2"/>
    <mergeCell ref="V2:X2"/>
    <mergeCell ref="B3:D3"/>
    <mergeCell ref="E3:G3"/>
    <mergeCell ref="I3:K3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38"/>
  <sheetViews>
    <sheetView workbookViewId="0">
      <selection activeCell="B27" sqref="B27"/>
    </sheetView>
  </sheetViews>
  <sheetFormatPr defaultColWidth="0" defaultRowHeight="0" customHeight="1" zeroHeight="1" x14ac:dyDescent="0.2"/>
  <cols>
    <col min="1" max="4" width="14.7109375" style="298" customWidth="1"/>
    <col min="5" max="5" width="18.7109375" style="332" customWidth="1"/>
    <col min="6" max="6" width="14.7109375" style="333" customWidth="1"/>
    <col min="7" max="7" width="14.7109375" style="334" customWidth="1"/>
    <col min="8" max="12" width="14.7109375" style="298" customWidth="1"/>
    <col min="13" max="13" width="1.28515625" style="298" customWidth="1"/>
    <col min="14" max="255" width="0" style="298" hidden="1"/>
    <col min="256" max="268" width="14.7109375" style="298" customWidth="1"/>
    <col min="269" max="269" width="1.28515625" style="298" customWidth="1"/>
    <col min="270" max="511" width="0" style="298" hidden="1"/>
    <col min="512" max="524" width="14.7109375" style="298" customWidth="1"/>
    <col min="525" max="525" width="1.28515625" style="298" customWidth="1"/>
    <col min="526" max="767" width="0" style="298" hidden="1"/>
    <col min="768" max="780" width="14.7109375" style="298" customWidth="1"/>
    <col min="781" max="781" width="1.28515625" style="298" customWidth="1"/>
    <col min="782" max="1023" width="0" style="298" hidden="1"/>
    <col min="1024" max="1036" width="14.7109375" style="298" customWidth="1"/>
    <col min="1037" max="1037" width="1.28515625" style="298" customWidth="1"/>
    <col min="1038" max="1279" width="0" style="298" hidden="1"/>
    <col min="1280" max="1292" width="14.7109375" style="298" customWidth="1"/>
    <col min="1293" max="1293" width="1.28515625" style="298" customWidth="1"/>
    <col min="1294" max="1535" width="0" style="298" hidden="1"/>
    <col min="1536" max="1548" width="14.7109375" style="298" customWidth="1"/>
    <col min="1549" max="1549" width="1.28515625" style="298" customWidth="1"/>
    <col min="1550" max="1791" width="0" style="298" hidden="1"/>
    <col min="1792" max="1804" width="14.7109375" style="298" customWidth="1"/>
    <col min="1805" max="1805" width="1.28515625" style="298" customWidth="1"/>
    <col min="1806" max="2047" width="0" style="298" hidden="1"/>
    <col min="2048" max="2060" width="14.7109375" style="298" customWidth="1"/>
    <col min="2061" max="2061" width="1.28515625" style="298" customWidth="1"/>
    <col min="2062" max="2303" width="0" style="298" hidden="1"/>
    <col min="2304" max="2316" width="14.7109375" style="298" customWidth="1"/>
    <col min="2317" max="2317" width="1.28515625" style="298" customWidth="1"/>
    <col min="2318" max="2559" width="0" style="298" hidden="1"/>
    <col min="2560" max="2572" width="14.7109375" style="298" customWidth="1"/>
    <col min="2573" max="2573" width="1.28515625" style="298" customWidth="1"/>
    <col min="2574" max="2815" width="0" style="298" hidden="1"/>
    <col min="2816" max="2828" width="14.7109375" style="298" customWidth="1"/>
    <col min="2829" max="2829" width="1.28515625" style="298" customWidth="1"/>
    <col min="2830" max="3071" width="0" style="298" hidden="1"/>
    <col min="3072" max="3084" width="14.7109375" style="298" customWidth="1"/>
    <col min="3085" max="3085" width="1.28515625" style="298" customWidth="1"/>
    <col min="3086" max="3327" width="0" style="298" hidden="1"/>
    <col min="3328" max="3340" width="14.7109375" style="298" customWidth="1"/>
    <col min="3341" max="3341" width="1.28515625" style="298" customWidth="1"/>
    <col min="3342" max="3583" width="0" style="298" hidden="1"/>
    <col min="3584" max="3596" width="14.7109375" style="298" customWidth="1"/>
    <col min="3597" max="3597" width="1.28515625" style="298" customWidth="1"/>
    <col min="3598" max="3839" width="0" style="298" hidden="1"/>
    <col min="3840" max="3852" width="14.7109375" style="298" customWidth="1"/>
    <col min="3853" max="3853" width="1.28515625" style="298" customWidth="1"/>
    <col min="3854" max="4095" width="0" style="298" hidden="1"/>
    <col min="4096" max="4108" width="14.7109375" style="298" customWidth="1"/>
    <col min="4109" max="4109" width="1.28515625" style="298" customWidth="1"/>
    <col min="4110" max="4351" width="0" style="298" hidden="1"/>
    <col min="4352" max="4364" width="14.7109375" style="298" customWidth="1"/>
    <col min="4365" max="4365" width="1.28515625" style="298" customWidth="1"/>
    <col min="4366" max="4607" width="0" style="298" hidden="1"/>
    <col min="4608" max="4620" width="14.7109375" style="298" customWidth="1"/>
    <col min="4621" max="4621" width="1.28515625" style="298" customWidth="1"/>
    <col min="4622" max="4863" width="0" style="298" hidden="1"/>
    <col min="4864" max="4876" width="14.7109375" style="298" customWidth="1"/>
    <col min="4877" max="4877" width="1.28515625" style="298" customWidth="1"/>
    <col min="4878" max="5119" width="0" style="298" hidden="1"/>
    <col min="5120" max="5132" width="14.7109375" style="298" customWidth="1"/>
    <col min="5133" max="5133" width="1.28515625" style="298" customWidth="1"/>
    <col min="5134" max="5375" width="0" style="298" hidden="1"/>
    <col min="5376" max="5388" width="14.7109375" style="298" customWidth="1"/>
    <col min="5389" max="5389" width="1.28515625" style="298" customWidth="1"/>
    <col min="5390" max="5631" width="0" style="298" hidden="1"/>
    <col min="5632" max="5644" width="14.7109375" style="298" customWidth="1"/>
    <col min="5645" max="5645" width="1.28515625" style="298" customWidth="1"/>
    <col min="5646" max="5887" width="0" style="298" hidden="1"/>
    <col min="5888" max="5900" width="14.7109375" style="298" customWidth="1"/>
    <col min="5901" max="5901" width="1.28515625" style="298" customWidth="1"/>
    <col min="5902" max="6143" width="0" style="298" hidden="1"/>
    <col min="6144" max="6156" width="14.7109375" style="298" customWidth="1"/>
    <col min="6157" max="6157" width="1.28515625" style="298" customWidth="1"/>
    <col min="6158" max="6399" width="0" style="298" hidden="1"/>
    <col min="6400" max="6412" width="14.7109375" style="298" customWidth="1"/>
    <col min="6413" max="6413" width="1.28515625" style="298" customWidth="1"/>
    <col min="6414" max="6655" width="0" style="298" hidden="1"/>
    <col min="6656" max="6668" width="14.7109375" style="298" customWidth="1"/>
    <col min="6669" max="6669" width="1.28515625" style="298" customWidth="1"/>
    <col min="6670" max="6911" width="0" style="298" hidden="1"/>
    <col min="6912" max="6924" width="14.7109375" style="298" customWidth="1"/>
    <col min="6925" max="6925" width="1.28515625" style="298" customWidth="1"/>
    <col min="6926" max="7167" width="0" style="298" hidden="1"/>
    <col min="7168" max="7180" width="14.7109375" style="298" customWidth="1"/>
    <col min="7181" max="7181" width="1.28515625" style="298" customWidth="1"/>
    <col min="7182" max="7423" width="0" style="298" hidden="1"/>
    <col min="7424" max="7436" width="14.7109375" style="298" customWidth="1"/>
    <col min="7437" max="7437" width="1.28515625" style="298" customWidth="1"/>
    <col min="7438" max="7679" width="0" style="298" hidden="1"/>
    <col min="7680" max="7692" width="14.7109375" style="298" customWidth="1"/>
    <col min="7693" max="7693" width="1.28515625" style="298" customWidth="1"/>
    <col min="7694" max="7935" width="0" style="298" hidden="1"/>
    <col min="7936" max="7948" width="14.7109375" style="298" customWidth="1"/>
    <col min="7949" max="7949" width="1.28515625" style="298" customWidth="1"/>
    <col min="7950" max="8191" width="0" style="298" hidden="1"/>
    <col min="8192" max="8204" width="14.7109375" style="298" customWidth="1"/>
    <col min="8205" max="8205" width="1.28515625" style="298" customWidth="1"/>
    <col min="8206" max="8447" width="0" style="298" hidden="1"/>
    <col min="8448" max="8460" width="14.7109375" style="298" customWidth="1"/>
    <col min="8461" max="8461" width="1.28515625" style="298" customWidth="1"/>
    <col min="8462" max="8703" width="0" style="298" hidden="1"/>
    <col min="8704" max="8716" width="14.7109375" style="298" customWidth="1"/>
    <col min="8717" max="8717" width="1.28515625" style="298" customWidth="1"/>
    <col min="8718" max="8959" width="0" style="298" hidden="1"/>
    <col min="8960" max="8972" width="14.7109375" style="298" customWidth="1"/>
    <col min="8973" max="8973" width="1.28515625" style="298" customWidth="1"/>
    <col min="8974" max="9215" width="0" style="298" hidden="1"/>
    <col min="9216" max="9228" width="14.7109375" style="298" customWidth="1"/>
    <col min="9229" max="9229" width="1.28515625" style="298" customWidth="1"/>
    <col min="9230" max="9471" width="0" style="298" hidden="1"/>
    <col min="9472" max="9484" width="14.7109375" style="298" customWidth="1"/>
    <col min="9485" max="9485" width="1.28515625" style="298" customWidth="1"/>
    <col min="9486" max="9727" width="0" style="298" hidden="1"/>
    <col min="9728" max="9740" width="14.7109375" style="298" customWidth="1"/>
    <col min="9741" max="9741" width="1.28515625" style="298" customWidth="1"/>
    <col min="9742" max="9983" width="0" style="298" hidden="1"/>
    <col min="9984" max="9996" width="14.7109375" style="298" customWidth="1"/>
    <col min="9997" max="9997" width="1.28515625" style="298" customWidth="1"/>
    <col min="9998" max="10239" width="0" style="298" hidden="1"/>
    <col min="10240" max="10252" width="14.7109375" style="298" customWidth="1"/>
    <col min="10253" max="10253" width="1.28515625" style="298" customWidth="1"/>
    <col min="10254" max="10495" width="0" style="298" hidden="1"/>
    <col min="10496" max="10508" width="14.7109375" style="298" customWidth="1"/>
    <col min="10509" max="10509" width="1.28515625" style="298" customWidth="1"/>
    <col min="10510" max="10751" width="0" style="298" hidden="1"/>
    <col min="10752" max="10764" width="14.7109375" style="298" customWidth="1"/>
    <col min="10765" max="10765" width="1.28515625" style="298" customWidth="1"/>
    <col min="10766" max="11007" width="0" style="298" hidden="1"/>
    <col min="11008" max="11020" width="14.7109375" style="298" customWidth="1"/>
    <col min="11021" max="11021" width="1.28515625" style="298" customWidth="1"/>
    <col min="11022" max="11263" width="0" style="298" hidden="1"/>
    <col min="11264" max="11276" width="14.7109375" style="298" customWidth="1"/>
    <col min="11277" max="11277" width="1.28515625" style="298" customWidth="1"/>
    <col min="11278" max="11519" width="0" style="298" hidden="1"/>
    <col min="11520" max="11532" width="14.7109375" style="298" customWidth="1"/>
    <col min="11533" max="11533" width="1.28515625" style="298" customWidth="1"/>
    <col min="11534" max="11775" width="0" style="298" hidden="1"/>
    <col min="11776" max="11788" width="14.7109375" style="298" customWidth="1"/>
    <col min="11789" max="11789" width="1.28515625" style="298" customWidth="1"/>
    <col min="11790" max="12031" width="0" style="298" hidden="1"/>
    <col min="12032" max="12044" width="14.7109375" style="298" customWidth="1"/>
    <col min="12045" max="12045" width="1.28515625" style="298" customWidth="1"/>
    <col min="12046" max="12287" width="0" style="298" hidden="1"/>
    <col min="12288" max="12300" width="14.7109375" style="298" customWidth="1"/>
    <col min="12301" max="12301" width="1.28515625" style="298" customWidth="1"/>
    <col min="12302" max="12543" width="0" style="298" hidden="1"/>
    <col min="12544" max="12556" width="14.7109375" style="298" customWidth="1"/>
    <col min="12557" max="12557" width="1.28515625" style="298" customWidth="1"/>
    <col min="12558" max="12799" width="0" style="298" hidden="1"/>
    <col min="12800" max="12812" width="14.7109375" style="298" customWidth="1"/>
    <col min="12813" max="12813" width="1.28515625" style="298" customWidth="1"/>
    <col min="12814" max="13055" width="0" style="298" hidden="1"/>
    <col min="13056" max="13068" width="14.7109375" style="298" customWidth="1"/>
    <col min="13069" max="13069" width="1.28515625" style="298" customWidth="1"/>
    <col min="13070" max="13311" width="0" style="298" hidden="1"/>
    <col min="13312" max="13324" width="14.7109375" style="298" customWidth="1"/>
    <col min="13325" max="13325" width="1.28515625" style="298" customWidth="1"/>
    <col min="13326" max="13567" width="0" style="298" hidden="1"/>
    <col min="13568" max="13580" width="14.7109375" style="298" customWidth="1"/>
    <col min="13581" max="13581" width="1.28515625" style="298" customWidth="1"/>
    <col min="13582" max="13823" width="0" style="298" hidden="1"/>
    <col min="13824" max="13836" width="14.7109375" style="298" customWidth="1"/>
    <col min="13837" max="13837" width="1.28515625" style="298" customWidth="1"/>
    <col min="13838" max="14079" width="0" style="298" hidden="1"/>
    <col min="14080" max="14092" width="14.7109375" style="298" customWidth="1"/>
    <col min="14093" max="14093" width="1.28515625" style="298" customWidth="1"/>
    <col min="14094" max="14335" width="0" style="298" hidden="1"/>
    <col min="14336" max="14348" width="14.7109375" style="298" customWidth="1"/>
    <col min="14349" max="14349" width="1.28515625" style="298" customWidth="1"/>
    <col min="14350" max="14591" width="0" style="298" hidden="1"/>
    <col min="14592" max="14604" width="14.7109375" style="298" customWidth="1"/>
    <col min="14605" max="14605" width="1.28515625" style="298" customWidth="1"/>
    <col min="14606" max="14847" width="0" style="298" hidden="1"/>
    <col min="14848" max="14860" width="14.7109375" style="298" customWidth="1"/>
    <col min="14861" max="14861" width="1.28515625" style="298" customWidth="1"/>
    <col min="14862" max="15103" width="0" style="298" hidden="1"/>
    <col min="15104" max="15116" width="14.7109375" style="298" customWidth="1"/>
    <col min="15117" max="15117" width="1.28515625" style="298" customWidth="1"/>
    <col min="15118" max="15359" width="0" style="298" hidden="1"/>
    <col min="15360" max="15372" width="14.7109375" style="298" customWidth="1"/>
    <col min="15373" max="15373" width="1.28515625" style="298" customWidth="1"/>
    <col min="15374" max="15615" width="0" style="298" hidden="1"/>
    <col min="15616" max="15628" width="14.7109375" style="298" customWidth="1"/>
    <col min="15629" max="15629" width="1.28515625" style="298" customWidth="1"/>
    <col min="15630" max="15871" width="0" style="298" hidden="1"/>
    <col min="15872" max="15884" width="14.7109375" style="298" customWidth="1"/>
    <col min="15885" max="15885" width="1.28515625" style="298" customWidth="1"/>
    <col min="15886" max="16127" width="0" style="298" hidden="1"/>
    <col min="16128" max="16140" width="14.7109375" style="298" customWidth="1"/>
    <col min="16141" max="16141" width="1.28515625" style="298" customWidth="1"/>
    <col min="16142" max="16384" width="0" style="298" hidden="1"/>
  </cols>
  <sheetData>
    <row r="1" spans="1:255" ht="22.5" customHeight="1" x14ac:dyDescent="0.2">
      <c r="A1" s="449" t="s">
        <v>1</v>
      </c>
      <c r="B1" s="450" t="s">
        <v>68</v>
      </c>
      <c r="C1" s="450"/>
      <c r="D1" s="450"/>
      <c r="E1" s="296" t="s">
        <v>79</v>
      </c>
      <c r="F1" s="451" t="s">
        <v>80</v>
      </c>
      <c r="G1" s="454" t="s">
        <v>81</v>
      </c>
      <c r="H1" s="455" t="s">
        <v>82</v>
      </c>
      <c r="I1" s="463" t="s">
        <v>83</v>
      </c>
      <c r="J1" s="456" t="s">
        <v>84</v>
      </c>
      <c r="K1" s="457" t="s">
        <v>70</v>
      </c>
      <c r="L1" s="458" t="s">
        <v>69</v>
      </c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7"/>
      <c r="DK1" s="297"/>
      <c r="DL1" s="297"/>
      <c r="DM1" s="297"/>
      <c r="DN1" s="297"/>
      <c r="DO1" s="297"/>
      <c r="DP1" s="297"/>
      <c r="DQ1" s="297"/>
      <c r="DR1" s="297"/>
      <c r="DS1" s="297"/>
      <c r="DT1" s="297"/>
      <c r="DU1" s="297"/>
      <c r="DV1" s="297"/>
      <c r="DW1" s="297"/>
      <c r="DX1" s="297"/>
      <c r="DY1" s="297"/>
      <c r="DZ1" s="297"/>
      <c r="EA1" s="297"/>
      <c r="EB1" s="297"/>
      <c r="EC1" s="297"/>
      <c r="ED1" s="297"/>
      <c r="EE1" s="297"/>
      <c r="EF1" s="297"/>
      <c r="EG1" s="297"/>
      <c r="EH1" s="297"/>
      <c r="EI1" s="297"/>
      <c r="EJ1" s="297"/>
      <c r="EK1" s="297"/>
      <c r="EL1" s="297"/>
      <c r="EM1" s="297"/>
      <c r="EN1" s="297"/>
      <c r="EO1" s="297"/>
      <c r="EP1" s="297"/>
      <c r="EQ1" s="297"/>
      <c r="ER1" s="297"/>
      <c r="ES1" s="297"/>
      <c r="ET1" s="297"/>
      <c r="EU1" s="297"/>
      <c r="EV1" s="297"/>
      <c r="EW1" s="297"/>
      <c r="EX1" s="297"/>
      <c r="EY1" s="297"/>
      <c r="EZ1" s="297"/>
      <c r="FA1" s="297"/>
      <c r="FB1" s="297"/>
      <c r="FC1" s="297"/>
      <c r="FD1" s="297"/>
      <c r="FE1" s="297"/>
      <c r="FF1" s="297"/>
      <c r="FG1" s="297"/>
      <c r="FH1" s="297"/>
      <c r="FI1" s="297"/>
      <c r="FJ1" s="297"/>
      <c r="FK1" s="297"/>
      <c r="FL1" s="297"/>
      <c r="FM1" s="297"/>
      <c r="FN1" s="297"/>
      <c r="FO1" s="297"/>
      <c r="FP1" s="297"/>
      <c r="FQ1" s="297"/>
      <c r="FR1" s="297"/>
      <c r="FS1" s="297"/>
      <c r="FT1" s="297"/>
      <c r="FU1" s="297"/>
      <c r="FV1" s="297"/>
      <c r="FW1" s="297"/>
      <c r="FX1" s="297"/>
      <c r="FY1" s="297"/>
      <c r="FZ1" s="297"/>
      <c r="GA1" s="297"/>
      <c r="GB1" s="297"/>
      <c r="GC1" s="297"/>
      <c r="GD1" s="297"/>
      <c r="GE1" s="297"/>
      <c r="GF1" s="297"/>
      <c r="GG1" s="297"/>
      <c r="GH1" s="297"/>
      <c r="GI1" s="297"/>
      <c r="GJ1" s="297"/>
      <c r="GK1" s="297"/>
      <c r="GL1" s="297"/>
      <c r="GM1" s="297"/>
      <c r="GN1" s="297"/>
      <c r="GO1" s="297"/>
      <c r="GP1" s="297"/>
      <c r="GQ1" s="297"/>
      <c r="GR1" s="297"/>
      <c r="GS1" s="297"/>
      <c r="GT1" s="297"/>
      <c r="GU1" s="297"/>
      <c r="GV1" s="297"/>
      <c r="GW1" s="297"/>
      <c r="GX1" s="297"/>
      <c r="GY1" s="297"/>
      <c r="GZ1" s="297"/>
      <c r="HA1" s="297"/>
      <c r="HB1" s="297"/>
      <c r="HC1" s="297"/>
      <c r="HD1" s="297"/>
      <c r="HE1" s="297"/>
      <c r="HF1" s="297"/>
      <c r="HG1" s="297"/>
      <c r="HH1" s="297"/>
      <c r="HI1" s="297"/>
      <c r="HJ1" s="297"/>
      <c r="HK1" s="297"/>
      <c r="HL1" s="297"/>
      <c r="HM1" s="297"/>
      <c r="HN1" s="297"/>
      <c r="HO1" s="297"/>
      <c r="HP1" s="297"/>
      <c r="HQ1" s="297"/>
      <c r="HR1" s="297"/>
      <c r="HS1" s="297"/>
      <c r="HT1" s="297"/>
      <c r="HU1" s="297"/>
      <c r="HV1" s="297"/>
      <c r="HW1" s="297"/>
      <c r="HX1" s="297"/>
      <c r="HY1" s="297"/>
      <c r="HZ1" s="297"/>
      <c r="IA1" s="297"/>
      <c r="IB1" s="297"/>
      <c r="IC1" s="297"/>
      <c r="ID1" s="297"/>
      <c r="IE1" s="297"/>
      <c r="IF1" s="297"/>
      <c r="IG1" s="297"/>
      <c r="IH1" s="297"/>
      <c r="II1" s="297"/>
      <c r="IJ1" s="297"/>
      <c r="IK1" s="297"/>
      <c r="IL1" s="297"/>
      <c r="IM1" s="297"/>
      <c r="IN1" s="297"/>
      <c r="IO1" s="297"/>
      <c r="IP1" s="297"/>
      <c r="IQ1" s="297"/>
      <c r="IR1" s="297"/>
      <c r="IS1" s="297"/>
      <c r="IT1" s="297"/>
      <c r="IU1" s="297"/>
    </row>
    <row r="2" spans="1:255" ht="22.5" customHeight="1" x14ac:dyDescent="0.2">
      <c r="A2" s="449"/>
      <c r="B2" s="459" t="s">
        <v>91</v>
      </c>
      <c r="C2" s="460" t="s">
        <v>85</v>
      </c>
      <c r="D2" s="461" t="s">
        <v>86</v>
      </c>
      <c r="E2" s="462" t="s">
        <v>87</v>
      </c>
      <c r="F2" s="452"/>
      <c r="G2" s="454"/>
      <c r="H2" s="455"/>
      <c r="I2" s="463"/>
      <c r="J2" s="456"/>
      <c r="K2" s="457"/>
      <c r="L2" s="458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299"/>
      <c r="AX2" s="299"/>
      <c r="AY2" s="299"/>
      <c r="AZ2" s="299"/>
      <c r="BA2" s="299"/>
      <c r="BB2" s="299"/>
      <c r="BC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D2" s="299"/>
      <c r="CE2" s="299"/>
      <c r="CF2" s="299"/>
      <c r="CG2" s="299"/>
      <c r="CH2" s="299"/>
      <c r="CI2" s="299"/>
      <c r="CJ2" s="299"/>
      <c r="CK2" s="299"/>
      <c r="CL2" s="299"/>
      <c r="CM2" s="299"/>
      <c r="CN2" s="299"/>
      <c r="CO2" s="299"/>
      <c r="CP2" s="299"/>
      <c r="CQ2" s="299"/>
      <c r="CR2" s="299"/>
      <c r="CS2" s="299"/>
      <c r="CT2" s="299"/>
      <c r="CU2" s="299"/>
      <c r="CV2" s="299"/>
      <c r="CW2" s="299"/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299"/>
      <c r="DI2" s="299"/>
      <c r="DJ2" s="299"/>
      <c r="DK2" s="299"/>
      <c r="DL2" s="299"/>
      <c r="DM2" s="299"/>
      <c r="DN2" s="299"/>
      <c r="DO2" s="299"/>
      <c r="DP2" s="299"/>
      <c r="DQ2" s="299"/>
      <c r="DR2" s="299"/>
      <c r="DS2" s="299"/>
      <c r="DT2" s="299"/>
      <c r="DU2" s="299"/>
      <c r="DV2" s="299"/>
      <c r="DW2" s="299"/>
      <c r="DX2" s="299"/>
      <c r="DY2" s="299"/>
      <c r="DZ2" s="299"/>
      <c r="EA2" s="299"/>
      <c r="EB2" s="299"/>
      <c r="EC2" s="299"/>
      <c r="ED2" s="299"/>
      <c r="EE2" s="299"/>
      <c r="EF2" s="299"/>
      <c r="EG2" s="299"/>
      <c r="EH2" s="299"/>
      <c r="EI2" s="299"/>
      <c r="EJ2" s="299"/>
      <c r="EK2" s="299"/>
      <c r="EL2" s="299"/>
      <c r="EM2" s="299"/>
      <c r="EN2" s="299"/>
      <c r="EO2" s="299"/>
      <c r="EP2" s="299"/>
      <c r="EQ2" s="299"/>
      <c r="ER2" s="299"/>
      <c r="ES2" s="299"/>
      <c r="ET2" s="299"/>
      <c r="EU2" s="299"/>
      <c r="EV2" s="299"/>
      <c r="EW2" s="299"/>
      <c r="EX2" s="299"/>
      <c r="EY2" s="299"/>
      <c r="EZ2" s="299"/>
      <c r="FA2" s="299"/>
      <c r="FB2" s="299"/>
      <c r="FC2" s="299"/>
      <c r="FD2" s="299"/>
      <c r="FE2" s="299"/>
      <c r="FF2" s="299"/>
      <c r="FG2" s="299"/>
      <c r="FH2" s="299"/>
      <c r="FI2" s="299"/>
      <c r="FJ2" s="299"/>
      <c r="FK2" s="299"/>
      <c r="FL2" s="299"/>
      <c r="FM2" s="299"/>
      <c r="FN2" s="299"/>
      <c r="FO2" s="299"/>
      <c r="FP2" s="299"/>
      <c r="FQ2" s="299"/>
      <c r="FR2" s="299"/>
      <c r="FS2" s="299"/>
      <c r="FT2" s="299"/>
      <c r="FU2" s="299"/>
      <c r="FV2" s="299"/>
      <c r="FW2" s="299"/>
      <c r="FX2" s="299"/>
      <c r="FY2" s="299"/>
      <c r="FZ2" s="299"/>
      <c r="GA2" s="299"/>
      <c r="GB2" s="299"/>
      <c r="GC2" s="299"/>
      <c r="GD2" s="299"/>
      <c r="GE2" s="299"/>
      <c r="GF2" s="299"/>
      <c r="GG2" s="299"/>
      <c r="GH2" s="299"/>
      <c r="GI2" s="299"/>
      <c r="GJ2" s="299"/>
      <c r="GK2" s="299"/>
      <c r="GL2" s="299"/>
      <c r="GM2" s="299"/>
      <c r="GN2" s="299"/>
      <c r="GO2" s="299"/>
      <c r="GP2" s="299"/>
      <c r="GQ2" s="299"/>
      <c r="GR2" s="299"/>
      <c r="GS2" s="299"/>
      <c r="GT2" s="299"/>
      <c r="GU2" s="299"/>
      <c r="GV2" s="299"/>
      <c r="GW2" s="299"/>
      <c r="GX2" s="299"/>
      <c r="GY2" s="299"/>
      <c r="GZ2" s="299"/>
      <c r="HA2" s="299"/>
      <c r="HB2" s="299"/>
      <c r="HC2" s="299"/>
      <c r="HD2" s="299"/>
      <c r="HE2" s="299"/>
      <c r="HF2" s="299"/>
      <c r="HG2" s="299"/>
      <c r="HH2" s="299"/>
      <c r="HI2" s="299"/>
      <c r="HJ2" s="299"/>
      <c r="HK2" s="299"/>
      <c r="HL2" s="299"/>
      <c r="HM2" s="299"/>
      <c r="HN2" s="299"/>
      <c r="HO2" s="299"/>
      <c r="HP2" s="299"/>
      <c r="HQ2" s="299"/>
      <c r="HR2" s="299"/>
      <c r="HS2" s="299"/>
      <c r="HT2" s="299"/>
      <c r="HU2" s="299"/>
      <c r="HV2" s="299"/>
      <c r="HW2" s="299"/>
      <c r="HX2" s="299"/>
      <c r="HY2" s="299"/>
      <c r="HZ2" s="299"/>
      <c r="IA2" s="299"/>
      <c r="IB2" s="299"/>
      <c r="IC2" s="299"/>
      <c r="ID2" s="299"/>
      <c r="IE2" s="299"/>
      <c r="IF2" s="299"/>
      <c r="IG2" s="299"/>
      <c r="IH2" s="299"/>
      <c r="II2" s="299"/>
      <c r="IJ2" s="299"/>
      <c r="IK2" s="299"/>
      <c r="IL2" s="299"/>
      <c r="IM2" s="299"/>
      <c r="IN2" s="299"/>
      <c r="IO2" s="299"/>
      <c r="IP2" s="299"/>
      <c r="IQ2" s="299"/>
      <c r="IR2" s="299"/>
      <c r="IS2" s="299"/>
      <c r="IT2" s="299"/>
      <c r="IU2" s="299"/>
    </row>
    <row r="3" spans="1:255" ht="22.5" customHeight="1" x14ac:dyDescent="0.2">
      <c r="A3" s="449"/>
      <c r="B3" s="459"/>
      <c r="C3" s="460"/>
      <c r="D3" s="461"/>
      <c r="E3" s="462"/>
      <c r="F3" s="453"/>
      <c r="G3" s="454"/>
      <c r="H3" s="455"/>
      <c r="I3" s="463"/>
      <c r="J3" s="456"/>
      <c r="K3" s="457"/>
      <c r="L3" s="458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9"/>
      <c r="BA3" s="299"/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9"/>
      <c r="BX3" s="299"/>
      <c r="BY3" s="299"/>
      <c r="BZ3" s="299"/>
      <c r="CA3" s="299"/>
      <c r="CB3" s="299"/>
      <c r="CC3" s="299"/>
      <c r="CD3" s="299"/>
      <c r="CE3" s="299"/>
      <c r="CF3" s="299"/>
      <c r="CG3" s="299"/>
      <c r="CH3" s="299"/>
      <c r="CI3" s="299"/>
      <c r="CJ3" s="299"/>
      <c r="CK3" s="299"/>
      <c r="CL3" s="299"/>
      <c r="CM3" s="299"/>
      <c r="CN3" s="299"/>
      <c r="CO3" s="299"/>
      <c r="CP3" s="299"/>
      <c r="CQ3" s="299"/>
      <c r="CR3" s="299"/>
      <c r="CS3" s="299"/>
      <c r="CT3" s="299"/>
      <c r="CU3" s="299"/>
      <c r="CV3" s="299"/>
      <c r="CW3" s="299"/>
      <c r="CX3" s="299"/>
      <c r="CY3" s="299"/>
      <c r="CZ3" s="299"/>
      <c r="DA3" s="299"/>
      <c r="DB3" s="299"/>
      <c r="DC3" s="299"/>
      <c r="DD3" s="299"/>
      <c r="DE3" s="299"/>
      <c r="DF3" s="299"/>
      <c r="DG3" s="299"/>
      <c r="DH3" s="299"/>
      <c r="DI3" s="299"/>
      <c r="DJ3" s="299"/>
      <c r="DK3" s="299"/>
      <c r="DL3" s="299"/>
      <c r="DM3" s="299"/>
      <c r="DN3" s="299"/>
      <c r="DO3" s="299"/>
      <c r="DP3" s="299"/>
      <c r="DQ3" s="299"/>
      <c r="DR3" s="299"/>
      <c r="DS3" s="299"/>
      <c r="DT3" s="299"/>
      <c r="DU3" s="299"/>
      <c r="DV3" s="299"/>
      <c r="DW3" s="299"/>
      <c r="DX3" s="299"/>
      <c r="DY3" s="299"/>
      <c r="DZ3" s="299"/>
      <c r="EA3" s="299"/>
      <c r="EB3" s="299"/>
      <c r="EC3" s="299"/>
      <c r="ED3" s="299"/>
      <c r="EE3" s="299"/>
      <c r="EF3" s="299"/>
      <c r="EG3" s="299"/>
      <c r="EH3" s="299"/>
      <c r="EI3" s="299"/>
      <c r="EJ3" s="299"/>
      <c r="EK3" s="299"/>
      <c r="EL3" s="299"/>
      <c r="EM3" s="299"/>
      <c r="EN3" s="299"/>
      <c r="EO3" s="299"/>
      <c r="EP3" s="299"/>
      <c r="EQ3" s="299"/>
      <c r="ER3" s="299"/>
      <c r="ES3" s="299"/>
      <c r="ET3" s="299"/>
      <c r="EU3" s="299"/>
      <c r="EV3" s="299"/>
      <c r="EW3" s="299"/>
      <c r="EX3" s="299"/>
      <c r="EY3" s="299"/>
      <c r="EZ3" s="299"/>
      <c r="FA3" s="299"/>
      <c r="FB3" s="299"/>
      <c r="FC3" s="299"/>
      <c r="FD3" s="299"/>
      <c r="FE3" s="299"/>
      <c r="FF3" s="299"/>
      <c r="FG3" s="299"/>
      <c r="FH3" s="299"/>
      <c r="FI3" s="299"/>
      <c r="FJ3" s="299"/>
      <c r="FK3" s="299"/>
      <c r="FL3" s="299"/>
      <c r="FM3" s="299"/>
      <c r="FN3" s="299"/>
      <c r="FO3" s="299"/>
      <c r="FP3" s="299"/>
      <c r="FQ3" s="299"/>
      <c r="FR3" s="299"/>
      <c r="FS3" s="299"/>
      <c r="FT3" s="299"/>
      <c r="FU3" s="299"/>
      <c r="FV3" s="299"/>
      <c r="FW3" s="299"/>
      <c r="FX3" s="299"/>
      <c r="FY3" s="299"/>
      <c r="FZ3" s="299"/>
      <c r="GA3" s="299"/>
      <c r="GB3" s="299"/>
      <c r="GC3" s="299"/>
      <c r="GD3" s="299"/>
      <c r="GE3" s="299"/>
      <c r="GF3" s="299"/>
      <c r="GG3" s="299"/>
      <c r="GH3" s="299"/>
      <c r="GI3" s="299"/>
      <c r="GJ3" s="299"/>
      <c r="GK3" s="299"/>
      <c r="GL3" s="299"/>
      <c r="GM3" s="299"/>
      <c r="GN3" s="299"/>
      <c r="GO3" s="299"/>
      <c r="GP3" s="299"/>
      <c r="GQ3" s="299"/>
      <c r="GR3" s="299"/>
      <c r="GS3" s="299"/>
      <c r="GT3" s="299"/>
      <c r="GU3" s="299"/>
      <c r="GV3" s="299"/>
      <c r="GW3" s="299"/>
      <c r="GX3" s="299"/>
      <c r="GY3" s="299"/>
      <c r="GZ3" s="299"/>
      <c r="HA3" s="299"/>
      <c r="HB3" s="299"/>
      <c r="HC3" s="299"/>
      <c r="HD3" s="299"/>
      <c r="HE3" s="299"/>
      <c r="HF3" s="299"/>
      <c r="HG3" s="299"/>
      <c r="HH3" s="299"/>
      <c r="HI3" s="299"/>
      <c r="HJ3" s="299"/>
      <c r="HK3" s="299"/>
      <c r="HL3" s="299"/>
      <c r="HM3" s="299"/>
      <c r="HN3" s="299"/>
      <c r="HO3" s="299"/>
      <c r="HP3" s="299"/>
      <c r="HQ3" s="299"/>
      <c r="HR3" s="299"/>
      <c r="HS3" s="299"/>
      <c r="HT3" s="299"/>
      <c r="HU3" s="299"/>
      <c r="HV3" s="299"/>
      <c r="HW3" s="299"/>
      <c r="HX3" s="299"/>
      <c r="HY3" s="299"/>
      <c r="HZ3" s="299"/>
      <c r="IA3" s="299"/>
      <c r="IB3" s="299"/>
      <c r="IC3" s="299"/>
      <c r="ID3" s="299"/>
      <c r="IE3" s="299"/>
      <c r="IF3" s="299"/>
      <c r="IG3" s="299"/>
      <c r="IH3" s="299"/>
      <c r="II3" s="299"/>
      <c r="IJ3" s="299"/>
      <c r="IK3" s="299"/>
      <c r="IL3" s="299"/>
      <c r="IM3" s="299"/>
      <c r="IN3" s="299"/>
      <c r="IO3" s="299"/>
      <c r="IP3" s="299"/>
      <c r="IQ3" s="299"/>
      <c r="IR3" s="299"/>
      <c r="IS3" s="299"/>
      <c r="IT3" s="299"/>
      <c r="IU3" s="299"/>
    </row>
    <row r="4" spans="1:255" ht="12.75" x14ac:dyDescent="0.2">
      <c r="A4" s="300">
        <f>'GENEL HASILAT'!A7</f>
        <v>45566</v>
      </c>
      <c r="B4" s="347">
        <v>32</v>
      </c>
      <c r="C4" s="348">
        <v>2</v>
      </c>
      <c r="D4" s="349">
        <v>51</v>
      </c>
      <c r="E4" s="301">
        <f>SUM('OTOPARK GİRİŞ-ÇIKIŞ'!J5+'OTOPARK GİRİŞ-ÇIKIŞ'!M5+'OTOPARK GİRİŞ-ÇIKIŞ'!P5)-D4</f>
        <v>741</v>
      </c>
      <c r="F4" s="302">
        <f>SUM(D4,E4)</f>
        <v>792</v>
      </c>
      <c r="G4" s="303">
        <f>SUM('OTOPARK GİRİŞ-ÇIKIŞ'!C5+'OTOPARK GİRİŞ-ÇIKIŞ'!F5+'OTOPARK GİRİŞ-ÇIKIŞ'!H5+'OTOPARK GİRİŞ-ÇIKIŞ'!R5+'OTOPARK GİRİŞ-ÇIKIŞ'!T5)</f>
        <v>293</v>
      </c>
      <c r="H4" s="304">
        <f t="shared" ref="H4:H34" si="0">B4+C4+D4</f>
        <v>85</v>
      </c>
      <c r="I4" s="305">
        <f>+E4+G4</f>
        <v>1034</v>
      </c>
      <c r="J4" s="306">
        <f>H4+I4</f>
        <v>1119</v>
      </c>
      <c r="K4" s="307">
        <f>+H4/J4</f>
        <v>7.5960679177837359E-2</v>
      </c>
      <c r="L4" s="308">
        <f>+I4/J4</f>
        <v>0.92403932082216267</v>
      </c>
    </row>
    <row r="5" spans="1:255" ht="12.75" x14ac:dyDescent="0.2">
      <c r="A5" s="300">
        <f>'GENEL HASILAT'!A8</f>
        <v>45567</v>
      </c>
      <c r="B5" s="350">
        <v>35</v>
      </c>
      <c r="C5" s="351">
        <v>9</v>
      </c>
      <c r="D5" s="352">
        <v>49</v>
      </c>
      <c r="E5" s="312">
        <f>SUM('OTOPARK GİRİŞ-ÇIKIŞ'!J6+'OTOPARK GİRİŞ-ÇIKIŞ'!M6+'OTOPARK GİRİŞ-ÇIKIŞ'!P6)-D5</f>
        <v>439</v>
      </c>
      <c r="F5" s="313">
        <f t="shared" ref="F5:F34" si="1">SUM(D5,E5)</f>
        <v>488</v>
      </c>
      <c r="G5" s="314">
        <f>SUM('OTOPARK GİRİŞ-ÇIKIŞ'!C6+'OTOPARK GİRİŞ-ÇIKIŞ'!F6+'OTOPARK GİRİŞ-ÇIKIŞ'!H6+'OTOPARK GİRİŞ-ÇIKIŞ'!R6+'OTOPARK GİRİŞ-ÇIKIŞ'!T6)</f>
        <v>473</v>
      </c>
      <c r="H5" s="315">
        <f t="shared" si="0"/>
        <v>93</v>
      </c>
      <c r="I5" s="316">
        <f t="shared" ref="I5:I35" si="2">+E5+G5</f>
        <v>912</v>
      </c>
      <c r="J5" s="317">
        <f t="shared" ref="J5:J34" si="3">H5+I5</f>
        <v>1005</v>
      </c>
      <c r="K5" s="318">
        <f t="shared" ref="K5:K34" si="4">+H5/J5</f>
        <v>9.2537313432835819E-2</v>
      </c>
      <c r="L5" s="319">
        <f t="shared" ref="L5:L34" si="5">+I5/J5</f>
        <v>0.90746268656716422</v>
      </c>
    </row>
    <row r="6" spans="1:255" ht="12.75" x14ac:dyDescent="0.2">
      <c r="A6" s="300">
        <f>'GENEL HASILAT'!A9</f>
        <v>45568</v>
      </c>
      <c r="B6" s="350">
        <v>25</v>
      </c>
      <c r="C6" s="351">
        <v>3</v>
      </c>
      <c r="D6" s="352">
        <v>44</v>
      </c>
      <c r="E6" s="312">
        <f>SUM('OTOPARK GİRİŞ-ÇIKIŞ'!J7+'OTOPARK GİRİŞ-ÇIKIŞ'!M7+'OTOPARK GİRİŞ-ÇIKIŞ'!P7)-D6</f>
        <v>497</v>
      </c>
      <c r="F6" s="313">
        <f t="shared" si="1"/>
        <v>541</v>
      </c>
      <c r="G6" s="314">
        <f>SUM('OTOPARK GİRİŞ-ÇIKIŞ'!C7+'OTOPARK GİRİŞ-ÇIKIŞ'!F7+'OTOPARK GİRİŞ-ÇIKIŞ'!H7+'OTOPARK GİRİŞ-ÇIKIŞ'!R7+'OTOPARK GİRİŞ-ÇIKIŞ'!T7)</f>
        <v>420</v>
      </c>
      <c r="H6" s="315">
        <f t="shared" si="0"/>
        <v>72</v>
      </c>
      <c r="I6" s="316">
        <f t="shared" si="2"/>
        <v>917</v>
      </c>
      <c r="J6" s="317">
        <f t="shared" si="3"/>
        <v>989</v>
      </c>
      <c r="K6" s="318">
        <f t="shared" si="4"/>
        <v>7.2800808897876643E-2</v>
      </c>
      <c r="L6" s="319">
        <f t="shared" si="5"/>
        <v>0.92719919110212334</v>
      </c>
    </row>
    <row r="7" spans="1:255" ht="12.75" x14ac:dyDescent="0.2">
      <c r="A7" s="300">
        <f>'GENEL HASILAT'!A10</f>
        <v>45569</v>
      </c>
      <c r="B7" s="350">
        <v>27</v>
      </c>
      <c r="C7" s="351">
        <v>6</v>
      </c>
      <c r="D7" s="352">
        <v>60</v>
      </c>
      <c r="E7" s="312">
        <f>SUM('OTOPARK GİRİŞ-ÇIKIŞ'!J8+'OTOPARK GİRİŞ-ÇIKIŞ'!M8+'OTOPARK GİRİŞ-ÇIKIŞ'!P8)-D7</f>
        <v>443</v>
      </c>
      <c r="F7" s="313">
        <f t="shared" si="1"/>
        <v>503</v>
      </c>
      <c r="G7" s="314">
        <f>SUM('OTOPARK GİRİŞ-ÇIKIŞ'!C8+'OTOPARK GİRİŞ-ÇIKIŞ'!F8+'OTOPARK GİRİŞ-ÇIKIŞ'!H8+'OTOPARK GİRİŞ-ÇIKIŞ'!R8+'OTOPARK GİRİŞ-ÇIKIŞ'!T8)</f>
        <v>352</v>
      </c>
      <c r="H7" s="315">
        <f t="shared" si="0"/>
        <v>93</v>
      </c>
      <c r="I7" s="316">
        <f t="shared" si="2"/>
        <v>795</v>
      </c>
      <c r="J7" s="317">
        <f t="shared" si="3"/>
        <v>888</v>
      </c>
      <c r="K7" s="318">
        <f t="shared" si="4"/>
        <v>0.10472972972972973</v>
      </c>
      <c r="L7" s="319">
        <f t="shared" si="5"/>
        <v>0.89527027027027029</v>
      </c>
    </row>
    <row r="8" spans="1:255" ht="12.75" x14ac:dyDescent="0.2">
      <c r="A8" s="300">
        <f>'GENEL HASILAT'!A11</f>
        <v>45570</v>
      </c>
      <c r="B8" s="350">
        <v>29</v>
      </c>
      <c r="C8" s="351">
        <v>4</v>
      </c>
      <c r="D8" s="352">
        <v>22</v>
      </c>
      <c r="E8" s="312">
        <f>SUM('OTOPARK GİRİŞ-ÇIKIŞ'!J9+'OTOPARK GİRİŞ-ÇIKIŞ'!M9+'OTOPARK GİRİŞ-ÇIKIŞ'!P9)-D8</f>
        <v>486</v>
      </c>
      <c r="F8" s="313">
        <f t="shared" si="1"/>
        <v>508</v>
      </c>
      <c r="G8" s="314">
        <f>SUM('OTOPARK GİRİŞ-ÇIKIŞ'!C9+'OTOPARK GİRİŞ-ÇIKIŞ'!F9+'OTOPARK GİRİŞ-ÇIKIŞ'!H9+'OTOPARK GİRİŞ-ÇIKIŞ'!R9+'OTOPARK GİRİŞ-ÇIKIŞ'!T9)</f>
        <v>485</v>
      </c>
      <c r="H8" s="315">
        <f t="shared" si="0"/>
        <v>55</v>
      </c>
      <c r="I8" s="316">
        <f t="shared" si="2"/>
        <v>971</v>
      </c>
      <c r="J8" s="317">
        <f t="shared" si="3"/>
        <v>1026</v>
      </c>
      <c r="K8" s="318">
        <f t="shared" si="4"/>
        <v>5.360623781676413E-2</v>
      </c>
      <c r="L8" s="319">
        <f t="shared" si="5"/>
        <v>0.9463937621832359</v>
      </c>
    </row>
    <row r="9" spans="1:255" ht="12.75" x14ac:dyDescent="0.2">
      <c r="A9" s="300">
        <f>'GENEL HASILAT'!A12</f>
        <v>45571</v>
      </c>
      <c r="B9" s="350">
        <v>36</v>
      </c>
      <c r="C9" s="351">
        <v>3</v>
      </c>
      <c r="D9" s="352">
        <v>20</v>
      </c>
      <c r="E9" s="312">
        <f>SUM('OTOPARK GİRİŞ-ÇIKIŞ'!J10+'OTOPARK GİRİŞ-ÇIKIŞ'!M10+'OTOPARK GİRİŞ-ÇIKIŞ'!P10)-D9</f>
        <v>443</v>
      </c>
      <c r="F9" s="313">
        <f t="shared" si="1"/>
        <v>463</v>
      </c>
      <c r="G9" s="314">
        <f>SUM('OTOPARK GİRİŞ-ÇIKIŞ'!C10+'OTOPARK GİRİŞ-ÇIKIŞ'!F10+'OTOPARK GİRİŞ-ÇIKIŞ'!H10+'OTOPARK GİRİŞ-ÇIKIŞ'!R10+'OTOPARK GİRİŞ-ÇIKIŞ'!T10)</f>
        <v>502</v>
      </c>
      <c r="H9" s="315">
        <f t="shared" si="0"/>
        <v>59</v>
      </c>
      <c r="I9" s="316">
        <f t="shared" si="2"/>
        <v>945</v>
      </c>
      <c r="J9" s="317">
        <f t="shared" si="3"/>
        <v>1004</v>
      </c>
      <c r="K9" s="318">
        <f t="shared" si="4"/>
        <v>5.8764940239043828E-2</v>
      </c>
      <c r="L9" s="319">
        <f t="shared" si="5"/>
        <v>0.94123505976095623</v>
      </c>
    </row>
    <row r="10" spans="1:255" ht="12.75" x14ac:dyDescent="0.2">
      <c r="A10" s="300">
        <f>'GENEL HASILAT'!A13</f>
        <v>45572</v>
      </c>
      <c r="B10" s="350">
        <v>29</v>
      </c>
      <c r="C10" s="351">
        <v>1</v>
      </c>
      <c r="D10" s="352">
        <v>33</v>
      </c>
      <c r="E10" s="312">
        <f>SUM('OTOPARK GİRİŞ-ÇIKIŞ'!J11+'OTOPARK GİRİŞ-ÇIKIŞ'!M11+'OTOPARK GİRİŞ-ÇIKIŞ'!P11)-D10</f>
        <v>392</v>
      </c>
      <c r="F10" s="313">
        <f t="shared" si="1"/>
        <v>425</v>
      </c>
      <c r="G10" s="314">
        <f>SUM('OTOPARK GİRİŞ-ÇIKIŞ'!C11+'OTOPARK GİRİŞ-ÇIKIŞ'!F11+'OTOPARK GİRİŞ-ÇIKIŞ'!H11+'OTOPARK GİRİŞ-ÇIKIŞ'!R11+'OTOPARK GİRİŞ-ÇIKIŞ'!T11)</f>
        <v>309</v>
      </c>
      <c r="H10" s="315">
        <f t="shared" si="0"/>
        <v>63</v>
      </c>
      <c r="I10" s="316">
        <f t="shared" si="2"/>
        <v>701</v>
      </c>
      <c r="J10" s="317">
        <f t="shared" si="3"/>
        <v>764</v>
      </c>
      <c r="K10" s="318">
        <f t="shared" si="4"/>
        <v>8.2460732984293197E-2</v>
      </c>
      <c r="L10" s="319">
        <f t="shared" si="5"/>
        <v>0.91753926701570676</v>
      </c>
    </row>
    <row r="11" spans="1:255" ht="12.75" x14ac:dyDescent="0.2">
      <c r="A11" s="300">
        <f>'GENEL HASILAT'!A14</f>
        <v>45573</v>
      </c>
      <c r="B11" s="350">
        <v>18</v>
      </c>
      <c r="C11" s="351">
        <v>3</v>
      </c>
      <c r="D11" s="352">
        <v>48</v>
      </c>
      <c r="E11" s="312">
        <f>SUM('OTOPARK GİRİŞ-ÇIKIŞ'!J12+'OTOPARK GİRİŞ-ÇIKIŞ'!M12+'OTOPARK GİRİŞ-ÇIKIŞ'!P12)-D11</f>
        <v>295</v>
      </c>
      <c r="F11" s="313">
        <f t="shared" si="1"/>
        <v>343</v>
      </c>
      <c r="G11" s="314">
        <f>SUM('OTOPARK GİRİŞ-ÇIKIŞ'!C12+'OTOPARK GİRİŞ-ÇIKIŞ'!F12+'OTOPARK GİRİŞ-ÇIKIŞ'!H12+'OTOPARK GİRİŞ-ÇIKIŞ'!R12+'OTOPARK GİRİŞ-ÇIKIŞ'!T12)</f>
        <v>272</v>
      </c>
      <c r="H11" s="315">
        <f t="shared" si="0"/>
        <v>69</v>
      </c>
      <c r="I11" s="316">
        <f t="shared" si="2"/>
        <v>567</v>
      </c>
      <c r="J11" s="317">
        <f t="shared" si="3"/>
        <v>636</v>
      </c>
      <c r="K11" s="318">
        <f t="shared" si="4"/>
        <v>0.10849056603773585</v>
      </c>
      <c r="L11" s="319">
        <f t="shared" si="5"/>
        <v>0.89150943396226412</v>
      </c>
    </row>
    <row r="12" spans="1:255" ht="12.75" x14ac:dyDescent="0.2">
      <c r="A12" s="300">
        <f>'GENEL HASILAT'!A15</f>
        <v>45574</v>
      </c>
      <c r="B12" s="350">
        <v>31</v>
      </c>
      <c r="C12" s="351">
        <v>4</v>
      </c>
      <c r="D12" s="352">
        <v>50</v>
      </c>
      <c r="E12" s="312">
        <f>SUM('OTOPARK GİRİŞ-ÇIKIŞ'!J13+'OTOPARK GİRİŞ-ÇIKIŞ'!M13+'OTOPARK GİRİŞ-ÇIKIŞ'!P13)-D12</f>
        <v>373</v>
      </c>
      <c r="F12" s="313">
        <f t="shared" si="1"/>
        <v>423</v>
      </c>
      <c r="G12" s="314">
        <f>SUM('OTOPARK GİRİŞ-ÇIKIŞ'!C13+'OTOPARK GİRİŞ-ÇIKIŞ'!F13+'OTOPARK GİRİŞ-ÇIKIŞ'!H13+'OTOPARK GİRİŞ-ÇIKIŞ'!R13+'OTOPARK GİRİŞ-ÇIKIŞ'!T13)</f>
        <v>391</v>
      </c>
      <c r="H12" s="315">
        <f t="shared" si="0"/>
        <v>85</v>
      </c>
      <c r="I12" s="316">
        <f t="shared" si="2"/>
        <v>764</v>
      </c>
      <c r="J12" s="317">
        <f t="shared" si="3"/>
        <v>849</v>
      </c>
      <c r="K12" s="318">
        <f t="shared" si="4"/>
        <v>0.10011778563015312</v>
      </c>
      <c r="L12" s="319">
        <f t="shared" si="5"/>
        <v>0.89988221436984683</v>
      </c>
    </row>
    <row r="13" spans="1:255" ht="12.75" x14ac:dyDescent="0.2">
      <c r="A13" s="300">
        <f>'GENEL HASILAT'!A16</f>
        <v>45575</v>
      </c>
      <c r="B13" s="350">
        <v>23</v>
      </c>
      <c r="C13" s="351">
        <v>2</v>
      </c>
      <c r="D13" s="352">
        <v>43</v>
      </c>
      <c r="E13" s="312">
        <f>SUM('OTOPARK GİRİŞ-ÇIKIŞ'!J14+'OTOPARK GİRİŞ-ÇIKIŞ'!M14+'OTOPARK GİRİŞ-ÇIKIŞ'!P14)-D13</f>
        <v>310</v>
      </c>
      <c r="F13" s="313">
        <f t="shared" si="1"/>
        <v>353</v>
      </c>
      <c r="G13" s="314">
        <f>SUM('OTOPARK GİRİŞ-ÇIKIŞ'!C14+'OTOPARK GİRİŞ-ÇIKIŞ'!F14+'OTOPARK GİRİŞ-ÇIKIŞ'!H14+'OTOPARK GİRİŞ-ÇIKIŞ'!R14+'OTOPARK GİRİŞ-ÇIKIŞ'!T14)</f>
        <v>334</v>
      </c>
      <c r="H13" s="315">
        <f t="shared" si="0"/>
        <v>68</v>
      </c>
      <c r="I13" s="316">
        <f t="shared" si="2"/>
        <v>644</v>
      </c>
      <c r="J13" s="317">
        <f t="shared" si="3"/>
        <v>712</v>
      </c>
      <c r="K13" s="318">
        <f t="shared" si="4"/>
        <v>9.5505617977528087E-2</v>
      </c>
      <c r="L13" s="319">
        <f t="shared" si="5"/>
        <v>0.9044943820224719</v>
      </c>
    </row>
    <row r="14" spans="1:255" ht="12.75" x14ac:dyDescent="0.2">
      <c r="A14" s="300">
        <f>'GENEL HASILAT'!A17</f>
        <v>45576</v>
      </c>
      <c r="B14" s="350">
        <v>22</v>
      </c>
      <c r="C14" s="351">
        <v>3</v>
      </c>
      <c r="D14" s="352">
        <v>37</v>
      </c>
      <c r="E14" s="312">
        <f>SUM('OTOPARK GİRİŞ-ÇIKIŞ'!J15+'OTOPARK GİRİŞ-ÇIKIŞ'!M15+'OTOPARK GİRİŞ-ÇIKIŞ'!P15)-D14</f>
        <v>323</v>
      </c>
      <c r="F14" s="313">
        <f t="shared" si="1"/>
        <v>360</v>
      </c>
      <c r="G14" s="314">
        <f>SUM('OTOPARK GİRİŞ-ÇIKIŞ'!C15+'OTOPARK GİRİŞ-ÇIKIŞ'!F15+'OTOPARK GİRİŞ-ÇIKIŞ'!H15+'OTOPARK GİRİŞ-ÇIKIŞ'!R15+'OTOPARK GİRİŞ-ÇIKIŞ'!T15)</f>
        <v>301</v>
      </c>
      <c r="H14" s="315">
        <f t="shared" si="0"/>
        <v>62</v>
      </c>
      <c r="I14" s="316">
        <f t="shared" si="2"/>
        <v>624</v>
      </c>
      <c r="J14" s="317">
        <f t="shared" si="3"/>
        <v>686</v>
      </c>
      <c r="K14" s="318">
        <f t="shared" si="4"/>
        <v>9.0379008746355682E-2</v>
      </c>
      <c r="L14" s="319">
        <f t="shared" si="5"/>
        <v>0.90962099125364426</v>
      </c>
    </row>
    <row r="15" spans="1:255" ht="12.75" x14ac:dyDescent="0.2">
      <c r="A15" s="300">
        <f>'GENEL HASILAT'!A18</f>
        <v>45577</v>
      </c>
      <c r="B15" s="350">
        <v>35</v>
      </c>
      <c r="C15" s="351">
        <v>1</v>
      </c>
      <c r="D15" s="352">
        <v>26</v>
      </c>
      <c r="E15" s="312">
        <f>SUM('OTOPARK GİRİŞ-ÇIKIŞ'!J16+'OTOPARK GİRİŞ-ÇIKIŞ'!M16+'OTOPARK GİRİŞ-ÇIKIŞ'!P16)-D15</f>
        <v>394</v>
      </c>
      <c r="F15" s="313">
        <f t="shared" si="1"/>
        <v>420</v>
      </c>
      <c r="G15" s="314">
        <f>SUM('OTOPARK GİRİŞ-ÇIKIŞ'!C16+'OTOPARK GİRİŞ-ÇIKIŞ'!F16+'OTOPARK GİRİŞ-ÇIKIŞ'!H16+'OTOPARK GİRİŞ-ÇIKIŞ'!R16+'OTOPARK GİRİŞ-ÇIKIŞ'!T16)</f>
        <v>416</v>
      </c>
      <c r="H15" s="315">
        <f t="shared" si="0"/>
        <v>62</v>
      </c>
      <c r="I15" s="316">
        <f t="shared" si="2"/>
        <v>810</v>
      </c>
      <c r="J15" s="317">
        <f t="shared" si="3"/>
        <v>872</v>
      </c>
      <c r="K15" s="318">
        <f t="shared" si="4"/>
        <v>7.1100917431192664E-2</v>
      </c>
      <c r="L15" s="319">
        <f t="shared" si="5"/>
        <v>0.92889908256880738</v>
      </c>
    </row>
    <row r="16" spans="1:255" ht="12.75" x14ac:dyDescent="0.2">
      <c r="A16" s="300">
        <f>'GENEL HASILAT'!A19</f>
        <v>45578</v>
      </c>
      <c r="B16" s="350">
        <v>23</v>
      </c>
      <c r="C16" s="351">
        <v>3</v>
      </c>
      <c r="D16" s="352">
        <v>16</v>
      </c>
      <c r="E16" s="312">
        <f>SUM('OTOPARK GİRİŞ-ÇIKIŞ'!J17+'OTOPARK GİRİŞ-ÇIKIŞ'!M17+'OTOPARK GİRİŞ-ÇIKIŞ'!P17)-D16</f>
        <v>345</v>
      </c>
      <c r="F16" s="313">
        <f t="shared" si="1"/>
        <v>361</v>
      </c>
      <c r="G16" s="314">
        <f>SUM('OTOPARK GİRİŞ-ÇIKIŞ'!C17+'OTOPARK GİRİŞ-ÇIKIŞ'!F17+'OTOPARK GİRİŞ-ÇIKIŞ'!H17+'OTOPARK GİRİŞ-ÇIKIŞ'!R17+'OTOPARK GİRİŞ-ÇIKIŞ'!T17)</f>
        <v>466</v>
      </c>
      <c r="H16" s="315">
        <f t="shared" si="0"/>
        <v>42</v>
      </c>
      <c r="I16" s="316">
        <f t="shared" si="2"/>
        <v>811</v>
      </c>
      <c r="J16" s="317">
        <f t="shared" si="3"/>
        <v>853</v>
      </c>
      <c r="K16" s="318">
        <f t="shared" si="4"/>
        <v>4.9237983587338802E-2</v>
      </c>
      <c r="L16" s="319">
        <f t="shared" si="5"/>
        <v>0.95076201641266123</v>
      </c>
    </row>
    <row r="17" spans="1:12" ht="12.75" x14ac:dyDescent="0.2">
      <c r="A17" s="300">
        <f>'GENEL HASILAT'!A20</f>
        <v>45579</v>
      </c>
      <c r="B17" s="350">
        <v>25</v>
      </c>
      <c r="C17" s="351">
        <v>6</v>
      </c>
      <c r="D17" s="352">
        <v>55</v>
      </c>
      <c r="E17" s="312">
        <f>SUM('OTOPARK GİRİŞ-ÇIKIŞ'!J18+'OTOPARK GİRİŞ-ÇIKIŞ'!M18+'OTOPARK GİRİŞ-ÇIKIŞ'!P18)-D17</f>
        <v>346</v>
      </c>
      <c r="F17" s="313">
        <f t="shared" si="1"/>
        <v>401</v>
      </c>
      <c r="G17" s="314">
        <f>SUM('OTOPARK GİRİŞ-ÇIKIŞ'!C18+'OTOPARK GİRİŞ-ÇIKIŞ'!F18+'OTOPARK GİRİŞ-ÇIKIŞ'!H18+'OTOPARK GİRİŞ-ÇIKIŞ'!R18+'OTOPARK GİRİŞ-ÇIKIŞ'!T18)</f>
        <v>316</v>
      </c>
      <c r="H17" s="315">
        <f t="shared" si="0"/>
        <v>86</v>
      </c>
      <c r="I17" s="316">
        <f t="shared" si="2"/>
        <v>662</v>
      </c>
      <c r="J17" s="317">
        <f t="shared" si="3"/>
        <v>748</v>
      </c>
      <c r="K17" s="318">
        <f t="shared" si="4"/>
        <v>0.11497326203208556</v>
      </c>
      <c r="L17" s="319">
        <f t="shared" si="5"/>
        <v>0.88502673796791442</v>
      </c>
    </row>
    <row r="18" spans="1:12" ht="12.75" x14ac:dyDescent="0.2">
      <c r="A18" s="300">
        <f>'GENEL HASILAT'!A21</f>
        <v>45580</v>
      </c>
      <c r="B18" s="350">
        <v>18</v>
      </c>
      <c r="C18" s="351">
        <v>3</v>
      </c>
      <c r="D18" s="352">
        <v>41</v>
      </c>
      <c r="E18" s="312">
        <f>SUM('OTOPARK GİRİŞ-ÇIKIŞ'!J19+'OTOPARK GİRİŞ-ÇIKIŞ'!M19+'OTOPARK GİRİŞ-ÇIKIŞ'!P19)-D18</f>
        <v>281</v>
      </c>
      <c r="F18" s="313">
        <f t="shared" si="1"/>
        <v>322</v>
      </c>
      <c r="G18" s="314">
        <f>SUM('OTOPARK GİRİŞ-ÇIKIŞ'!C19+'OTOPARK GİRİŞ-ÇIKIŞ'!F19+'OTOPARK GİRİŞ-ÇIKIŞ'!H19+'OTOPARK GİRİŞ-ÇIKIŞ'!R19+'OTOPARK GİRİŞ-ÇIKIŞ'!T19)</f>
        <v>286</v>
      </c>
      <c r="H18" s="315">
        <f t="shared" si="0"/>
        <v>62</v>
      </c>
      <c r="I18" s="316">
        <f t="shared" si="2"/>
        <v>567</v>
      </c>
      <c r="J18" s="317">
        <f t="shared" si="3"/>
        <v>629</v>
      </c>
      <c r="K18" s="318">
        <f t="shared" si="4"/>
        <v>9.8569157392686804E-2</v>
      </c>
      <c r="L18" s="319">
        <f t="shared" si="5"/>
        <v>0.90143084260731321</v>
      </c>
    </row>
    <row r="19" spans="1:12" ht="12.75" x14ac:dyDescent="0.2">
      <c r="A19" s="300">
        <f>'GENEL HASILAT'!A22</f>
        <v>45581</v>
      </c>
      <c r="B19" s="350">
        <v>31</v>
      </c>
      <c r="C19" s="351">
        <v>7</v>
      </c>
      <c r="D19" s="352">
        <v>56</v>
      </c>
      <c r="E19" s="312">
        <f>SUM('OTOPARK GİRİŞ-ÇIKIŞ'!J20+'OTOPARK GİRİŞ-ÇIKIŞ'!M20+'OTOPARK GİRİŞ-ÇIKIŞ'!P20)-D19</f>
        <v>275</v>
      </c>
      <c r="F19" s="313">
        <f t="shared" si="1"/>
        <v>331</v>
      </c>
      <c r="G19" s="314">
        <f>SUM('OTOPARK GİRİŞ-ÇIKIŞ'!C20+'OTOPARK GİRİŞ-ÇIKIŞ'!F20+'OTOPARK GİRİŞ-ÇIKIŞ'!H20+'OTOPARK GİRİŞ-ÇIKIŞ'!R20+'OTOPARK GİRİŞ-ÇIKIŞ'!T20)</f>
        <v>357</v>
      </c>
      <c r="H19" s="315">
        <f t="shared" si="0"/>
        <v>94</v>
      </c>
      <c r="I19" s="316">
        <f t="shared" si="2"/>
        <v>632</v>
      </c>
      <c r="J19" s="317">
        <f t="shared" si="3"/>
        <v>726</v>
      </c>
      <c r="K19" s="318">
        <f t="shared" si="4"/>
        <v>0.12947658402203857</v>
      </c>
      <c r="L19" s="319">
        <f t="shared" si="5"/>
        <v>0.87052341597796146</v>
      </c>
    </row>
    <row r="20" spans="1:12" ht="12.75" x14ac:dyDescent="0.2">
      <c r="A20" s="300">
        <f>'GENEL HASILAT'!A23</f>
        <v>45582</v>
      </c>
      <c r="B20" s="350">
        <v>23</v>
      </c>
      <c r="C20" s="351">
        <v>6</v>
      </c>
      <c r="D20" s="352">
        <v>61</v>
      </c>
      <c r="E20" s="312">
        <f>SUM('OTOPARK GİRİŞ-ÇIKIŞ'!J21+'OTOPARK GİRİŞ-ÇIKIŞ'!M21+'OTOPARK GİRİŞ-ÇIKIŞ'!P21)-D20</f>
        <v>267</v>
      </c>
      <c r="F20" s="313">
        <f t="shared" si="1"/>
        <v>328</v>
      </c>
      <c r="G20" s="314">
        <f>SUM('OTOPARK GİRİŞ-ÇIKIŞ'!C21+'OTOPARK GİRİŞ-ÇIKIŞ'!F21+'OTOPARK GİRİŞ-ÇIKIŞ'!H21+'OTOPARK GİRİŞ-ÇIKIŞ'!R21+'OTOPARK GİRİŞ-ÇIKIŞ'!T21)</f>
        <v>323</v>
      </c>
      <c r="H20" s="315">
        <f t="shared" si="0"/>
        <v>90</v>
      </c>
      <c r="I20" s="316">
        <f t="shared" si="2"/>
        <v>590</v>
      </c>
      <c r="J20" s="317">
        <f t="shared" si="3"/>
        <v>680</v>
      </c>
      <c r="K20" s="318">
        <f t="shared" si="4"/>
        <v>0.13235294117647059</v>
      </c>
      <c r="L20" s="319">
        <f t="shared" si="5"/>
        <v>0.86764705882352944</v>
      </c>
    </row>
    <row r="21" spans="1:12" ht="12.75" x14ac:dyDescent="0.2">
      <c r="A21" s="300">
        <f>'GENEL HASILAT'!A24</f>
        <v>45583</v>
      </c>
      <c r="B21" s="309">
        <v>18</v>
      </c>
      <c r="C21" s="310">
        <v>4</v>
      </c>
      <c r="D21" s="311">
        <v>53</v>
      </c>
      <c r="E21" s="312">
        <f>SUM('OTOPARK GİRİŞ-ÇIKIŞ'!J22+'OTOPARK GİRİŞ-ÇIKIŞ'!M22+'OTOPARK GİRİŞ-ÇIKIŞ'!P22)-D21</f>
        <v>301</v>
      </c>
      <c r="F21" s="313">
        <f t="shared" si="1"/>
        <v>354</v>
      </c>
      <c r="G21" s="314">
        <f>SUM('OTOPARK GİRİŞ-ÇIKIŞ'!C22+'OTOPARK GİRİŞ-ÇIKIŞ'!F22+'OTOPARK GİRİŞ-ÇIKIŞ'!H22+'OTOPARK GİRİŞ-ÇIKIŞ'!R22+'OTOPARK GİRİŞ-ÇIKIŞ'!T22)</f>
        <v>276</v>
      </c>
      <c r="H21" s="315">
        <f t="shared" si="0"/>
        <v>75</v>
      </c>
      <c r="I21" s="316">
        <f t="shared" si="2"/>
        <v>577</v>
      </c>
      <c r="J21" s="317">
        <f t="shared" si="3"/>
        <v>652</v>
      </c>
      <c r="K21" s="318">
        <f t="shared" si="4"/>
        <v>0.11503067484662577</v>
      </c>
      <c r="L21" s="319">
        <f t="shared" si="5"/>
        <v>0.88496932515337423</v>
      </c>
    </row>
    <row r="22" spans="1:12" ht="12.75" x14ac:dyDescent="0.2">
      <c r="A22" s="300">
        <f>'GENEL HASILAT'!A25</f>
        <v>45584</v>
      </c>
      <c r="B22" s="309">
        <v>21</v>
      </c>
      <c r="C22" s="310">
        <v>0</v>
      </c>
      <c r="D22" s="311">
        <v>14</v>
      </c>
      <c r="E22" s="312">
        <f>SUM('OTOPARK GİRİŞ-ÇIKIŞ'!J23+'OTOPARK GİRİŞ-ÇIKIŞ'!M23+'OTOPARK GİRİŞ-ÇIKIŞ'!P23)-D22</f>
        <v>336</v>
      </c>
      <c r="F22" s="313">
        <f t="shared" si="1"/>
        <v>350</v>
      </c>
      <c r="G22" s="314">
        <f>SUM('OTOPARK GİRİŞ-ÇIKIŞ'!C23+'OTOPARK GİRİŞ-ÇIKIŞ'!F23+'OTOPARK GİRİŞ-ÇIKIŞ'!H23+'OTOPARK GİRİŞ-ÇIKIŞ'!R23+'OTOPARK GİRİŞ-ÇIKIŞ'!T23)</f>
        <v>363</v>
      </c>
      <c r="H22" s="315">
        <f t="shared" si="0"/>
        <v>35</v>
      </c>
      <c r="I22" s="316">
        <f t="shared" si="2"/>
        <v>699</v>
      </c>
      <c r="J22" s="317">
        <f t="shared" si="3"/>
        <v>734</v>
      </c>
      <c r="K22" s="318">
        <f t="shared" si="4"/>
        <v>4.7683923705722074E-2</v>
      </c>
      <c r="L22" s="319">
        <f t="shared" si="5"/>
        <v>0.95231607629427795</v>
      </c>
    </row>
    <row r="23" spans="1:12" ht="12.75" x14ac:dyDescent="0.2">
      <c r="A23" s="300">
        <f>'GENEL HASILAT'!A26</f>
        <v>45585</v>
      </c>
      <c r="B23" s="309">
        <v>17</v>
      </c>
      <c r="C23" s="310">
        <v>2</v>
      </c>
      <c r="D23" s="311">
        <v>17</v>
      </c>
      <c r="E23" s="312">
        <f>SUM('OTOPARK GİRİŞ-ÇIKIŞ'!J24+'OTOPARK GİRİŞ-ÇIKIŞ'!M24+'OTOPARK GİRİŞ-ÇIKIŞ'!P24)-D23</f>
        <v>264</v>
      </c>
      <c r="F23" s="313">
        <f t="shared" si="1"/>
        <v>281</v>
      </c>
      <c r="G23" s="314">
        <f>SUM('OTOPARK GİRİŞ-ÇIKIŞ'!C24+'OTOPARK GİRİŞ-ÇIKIŞ'!F24+'OTOPARK GİRİŞ-ÇIKIŞ'!H24+'OTOPARK GİRİŞ-ÇIKIŞ'!R24+'OTOPARK GİRİŞ-ÇIKIŞ'!T24)</f>
        <v>344</v>
      </c>
      <c r="H23" s="315">
        <f t="shared" si="0"/>
        <v>36</v>
      </c>
      <c r="I23" s="316">
        <f t="shared" si="2"/>
        <v>608</v>
      </c>
      <c r="J23" s="317">
        <f t="shared" si="3"/>
        <v>644</v>
      </c>
      <c r="K23" s="318">
        <f t="shared" si="4"/>
        <v>5.5900621118012424E-2</v>
      </c>
      <c r="L23" s="319">
        <f t="shared" si="5"/>
        <v>0.94409937888198758</v>
      </c>
    </row>
    <row r="24" spans="1:12" ht="12.75" x14ac:dyDescent="0.2">
      <c r="A24" s="300">
        <f>'GENEL HASILAT'!A27</f>
        <v>45586</v>
      </c>
      <c r="B24" s="309">
        <v>23</v>
      </c>
      <c r="C24" s="310">
        <v>3</v>
      </c>
      <c r="D24" s="311">
        <v>47</v>
      </c>
      <c r="E24" s="312">
        <f>SUM('OTOPARK GİRİŞ-ÇIKIŞ'!J25+'OTOPARK GİRİŞ-ÇIKIŞ'!M25+'OTOPARK GİRİŞ-ÇIKIŞ'!P25)-D24</f>
        <v>239</v>
      </c>
      <c r="F24" s="313">
        <f t="shared" si="1"/>
        <v>286</v>
      </c>
      <c r="G24" s="314">
        <f>SUM('OTOPARK GİRİŞ-ÇIKIŞ'!C25+'OTOPARK GİRİŞ-ÇIKIŞ'!F25+'OTOPARK GİRİŞ-ÇIKIŞ'!H25+'OTOPARK GİRİŞ-ÇIKIŞ'!R25+'OTOPARK GİRİŞ-ÇIKIŞ'!T25)</f>
        <v>262</v>
      </c>
      <c r="H24" s="315">
        <f t="shared" si="0"/>
        <v>73</v>
      </c>
      <c r="I24" s="316">
        <f t="shared" si="2"/>
        <v>501</v>
      </c>
      <c r="J24" s="317">
        <f t="shared" si="3"/>
        <v>574</v>
      </c>
      <c r="K24" s="318">
        <f t="shared" si="4"/>
        <v>0.12717770034843207</v>
      </c>
      <c r="L24" s="319">
        <f t="shared" si="5"/>
        <v>0.87282229965156799</v>
      </c>
    </row>
    <row r="25" spans="1:12" ht="12.75" x14ac:dyDescent="0.2">
      <c r="A25" s="300">
        <f>'GENEL HASILAT'!A28</f>
        <v>45587</v>
      </c>
      <c r="B25" s="309">
        <v>19</v>
      </c>
      <c r="C25" s="310">
        <v>3</v>
      </c>
      <c r="D25" s="311">
        <v>46</v>
      </c>
      <c r="E25" s="312">
        <f>SUM('OTOPARK GİRİŞ-ÇIKIŞ'!J26+'OTOPARK GİRİŞ-ÇIKIŞ'!M26+'OTOPARK GİRİŞ-ÇIKIŞ'!P26)-D25</f>
        <v>198</v>
      </c>
      <c r="F25" s="313">
        <f t="shared" si="1"/>
        <v>244</v>
      </c>
      <c r="G25" s="314">
        <f>SUM('OTOPARK GİRİŞ-ÇIKIŞ'!C26+'OTOPARK GİRİŞ-ÇIKIŞ'!F26+'OTOPARK GİRİŞ-ÇIKIŞ'!H26+'OTOPARK GİRİŞ-ÇIKIŞ'!R26+'OTOPARK GİRİŞ-ÇIKIŞ'!T26)</f>
        <v>156</v>
      </c>
      <c r="H25" s="315">
        <f t="shared" si="0"/>
        <v>68</v>
      </c>
      <c r="I25" s="316">
        <f t="shared" si="2"/>
        <v>354</v>
      </c>
      <c r="J25" s="317">
        <f t="shared" si="3"/>
        <v>422</v>
      </c>
      <c r="K25" s="318">
        <f t="shared" si="4"/>
        <v>0.16113744075829384</v>
      </c>
      <c r="L25" s="319">
        <f t="shared" si="5"/>
        <v>0.83886255924170616</v>
      </c>
    </row>
    <row r="26" spans="1:12" ht="12.75" x14ac:dyDescent="0.2">
      <c r="A26" s="300">
        <f>'GENEL HASILAT'!A29</f>
        <v>45588</v>
      </c>
      <c r="B26" s="309">
        <v>16</v>
      </c>
      <c r="C26" s="310">
        <v>3</v>
      </c>
      <c r="D26" s="311">
        <v>39</v>
      </c>
      <c r="E26" s="312">
        <f>SUM('OTOPARK GİRİŞ-ÇIKIŞ'!J27+'OTOPARK GİRİŞ-ÇIKIŞ'!M27+'OTOPARK GİRİŞ-ÇIKIŞ'!P27)-D26</f>
        <v>222</v>
      </c>
      <c r="F26" s="313">
        <f t="shared" si="1"/>
        <v>261</v>
      </c>
      <c r="G26" s="314">
        <f>SUM('OTOPARK GİRİŞ-ÇIKIŞ'!C27+'OTOPARK GİRİŞ-ÇIKIŞ'!F27+'OTOPARK GİRİŞ-ÇIKIŞ'!H27+'OTOPARK GİRİŞ-ÇIKIŞ'!R27+'OTOPARK GİRİŞ-ÇIKIŞ'!T27)</f>
        <v>235</v>
      </c>
      <c r="H26" s="315">
        <f t="shared" si="0"/>
        <v>58</v>
      </c>
      <c r="I26" s="316">
        <f t="shared" si="2"/>
        <v>457</v>
      </c>
      <c r="J26" s="317">
        <f t="shared" si="3"/>
        <v>515</v>
      </c>
      <c r="K26" s="318">
        <f t="shared" si="4"/>
        <v>0.11262135922330097</v>
      </c>
      <c r="L26" s="319">
        <f t="shared" si="5"/>
        <v>0.88737864077669903</v>
      </c>
    </row>
    <row r="27" spans="1:12" ht="12.75" x14ac:dyDescent="0.2">
      <c r="A27" s="300">
        <f>'GENEL HASILAT'!A30</f>
        <v>45589</v>
      </c>
      <c r="B27" s="309"/>
      <c r="C27" s="310"/>
      <c r="D27" s="311"/>
      <c r="E27" s="312">
        <f>SUM('OTOPARK GİRİŞ-ÇIKIŞ'!J28+'OTOPARK GİRİŞ-ÇIKIŞ'!M28+'OTOPARK GİRİŞ-ÇIKIŞ'!P28)-D27</f>
        <v>0</v>
      </c>
      <c r="F27" s="313">
        <f t="shared" si="1"/>
        <v>0</v>
      </c>
      <c r="G27" s="314">
        <f>SUM('OTOPARK GİRİŞ-ÇIKIŞ'!C28+'OTOPARK GİRİŞ-ÇIKIŞ'!F28+'OTOPARK GİRİŞ-ÇIKIŞ'!H28+'OTOPARK GİRİŞ-ÇIKIŞ'!R28+'OTOPARK GİRİŞ-ÇIKIŞ'!T28)</f>
        <v>0</v>
      </c>
      <c r="H27" s="315">
        <f t="shared" si="0"/>
        <v>0</v>
      </c>
      <c r="I27" s="316">
        <f t="shared" si="2"/>
        <v>0</v>
      </c>
      <c r="J27" s="317">
        <f t="shared" si="3"/>
        <v>0</v>
      </c>
      <c r="K27" s="318" t="e">
        <f t="shared" si="4"/>
        <v>#DIV/0!</v>
      </c>
      <c r="L27" s="319" t="e">
        <f t="shared" si="5"/>
        <v>#DIV/0!</v>
      </c>
    </row>
    <row r="28" spans="1:12" ht="12.75" x14ac:dyDescent="0.2">
      <c r="A28" s="300">
        <f>'GENEL HASILAT'!A31</f>
        <v>45590</v>
      </c>
      <c r="B28" s="309"/>
      <c r="C28" s="310"/>
      <c r="D28" s="311"/>
      <c r="E28" s="312">
        <f>SUM('OTOPARK GİRİŞ-ÇIKIŞ'!J29+'OTOPARK GİRİŞ-ÇIKIŞ'!M29+'OTOPARK GİRİŞ-ÇIKIŞ'!P29)-D28</f>
        <v>0</v>
      </c>
      <c r="F28" s="313">
        <f t="shared" si="1"/>
        <v>0</v>
      </c>
      <c r="G28" s="314">
        <f>SUM('OTOPARK GİRİŞ-ÇIKIŞ'!C29+'OTOPARK GİRİŞ-ÇIKIŞ'!F29+'OTOPARK GİRİŞ-ÇIKIŞ'!H29+'OTOPARK GİRİŞ-ÇIKIŞ'!R29+'OTOPARK GİRİŞ-ÇIKIŞ'!T29)</f>
        <v>0</v>
      </c>
      <c r="H28" s="315">
        <f t="shared" si="0"/>
        <v>0</v>
      </c>
      <c r="I28" s="316">
        <f t="shared" si="2"/>
        <v>0</v>
      </c>
      <c r="J28" s="317">
        <f t="shared" si="3"/>
        <v>0</v>
      </c>
      <c r="K28" s="318" t="e">
        <f t="shared" si="4"/>
        <v>#DIV/0!</v>
      </c>
      <c r="L28" s="319" t="e">
        <f t="shared" si="5"/>
        <v>#DIV/0!</v>
      </c>
    </row>
    <row r="29" spans="1:12" ht="12.75" x14ac:dyDescent="0.2">
      <c r="A29" s="300">
        <f>'GENEL HASILAT'!A32</f>
        <v>45591</v>
      </c>
      <c r="B29" s="309"/>
      <c r="C29" s="310"/>
      <c r="D29" s="311"/>
      <c r="E29" s="312">
        <f>SUM('OTOPARK GİRİŞ-ÇIKIŞ'!J30+'OTOPARK GİRİŞ-ÇIKIŞ'!M30+'OTOPARK GİRİŞ-ÇIKIŞ'!P30)-D29</f>
        <v>0</v>
      </c>
      <c r="F29" s="313">
        <f t="shared" si="1"/>
        <v>0</v>
      </c>
      <c r="G29" s="314">
        <f>SUM('OTOPARK GİRİŞ-ÇIKIŞ'!C30+'OTOPARK GİRİŞ-ÇIKIŞ'!F30+'OTOPARK GİRİŞ-ÇIKIŞ'!H30+'OTOPARK GİRİŞ-ÇIKIŞ'!R30+'OTOPARK GİRİŞ-ÇIKIŞ'!T30)</f>
        <v>0</v>
      </c>
      <c r="H29" s="315">
        <f t="shared" si="0"/>
        <v>0</v>
      </c>
      <c r="I29" s="316">
        <f t="shared" si="2"/>
        <v>0</v>
      </c>
      <c r="J29" s="317">
        <f t="shared" si="3"/>
        <v>0</v>
      </c>
      <c r="K29" s="318" t="e">
        <f t="shared" si="4"/>
        <v>#DIV/0!</v>
      </c>
      <c r="L29" s="319" t="e">
        <f t="shared" si="5"/>
        <v>#DIV/0!</v>
      </c>
    </row>
    <row r="30" spans="1:12" ht="12.75" x14ac:dyDescent="0.2">
      <c r="A30" s="300">
        <f>'GENEL HASILAT'!A33</f>
        <v>45592</v>
      </c>
      <c r="B30" s="309"/>
      <c r="C30" s="310"/>
      <c r="D30" s="311"/>
      <c r="E30" s="312">
        <f>SUM('OTOPARK GİRİŞ-ÇIKIŞ'!J31+'OTOPARK GİRİŞ-ÇIKIŞ'!M31+'OTOPARK GİRİŞ-ÇIKIŞ'!P31)-D30</f>
        <v>0</v>
      </c>
      <c r="F30" s="313">
        <f t="shared" si="1"/>
        <v>0</v>
      </c>
      <c r="G30" s="314">
        <f>SUM('OTOPARK GİRİŞ-ÇIKIŞ'!C31+'OTOPARK GİRİŞ-ÇIKIŞ'!F31+'OTOPARK GİRİŞ-ÇIKIŞ'!H31+'OTOPARK GİRİŞ-ÇIKIŞ'!R31+'OTOPARK GİRİŞ-ÇIKIŞ'!T31)</f>
        <v>0</v>
      </c>
      <c r="H30" s="315">
        <f t="shared" si="0"/>
        <v>0</v>
      </c>
      <c r="I30" s="316">
        <f t="shared" si="2"/>
        <v>0</v>
      </c>
      <c r="J30" s="317">
        <f t="shared" si="3"/>
        <v>0</v>
      </c>
      <c r="K30" s="318" t="e">
        <f t="shared" si="4"/>
        <v>#DIV/0!</v>
      </c>
      <c r="L30" s="319" t="e">
        <f t="shared" si="5"/>
        <v>#DIV/0!</v>
      </c>
    </row>
    <row r="31" spans="1:12" ht="12.75" x14ac:dyDescent="0.2">
      <c r="A31" s="300">
        <f>'GENEL HASILAT'!A34</f>
        <v>45593</v>
      </c>
      <c r="B31" s="309"/>
      <c r="C31" s="310"/>
      <c r="D31" s="311"/>
      <c r="E31" s="312">
        <f>SUM('OTOPARK GİRİŞ-ÇIKIŞ'!J32+'OTOPARK GİRİŞ-ÇIKIŞ'!M32+'OTOPARK GİRİŞ-ÇIKIŞ'!P32)-D31</f>
        <v>0</v>
      </c>
      <c r="F31" s="313">
        <f t="shared" si="1"/>
        <v>0</v>
      </c>
      <c r="G31" s="314">
        <f>SUM('OTOPARK GİRİŞ-ÇIKIŞ'!C32+'OTOPARK GİRİŞ-ÇIKIŞ'!F32+'OTOPARK GİRİŞ-ÇIKIŞ'!H32+'OTOPARK GİRİŞ-ÇIKIŞ'!R32+'OTOPARK GİRİŞ-ÇIKIŞ'!T32)</f>
        <v>0</v>
      </c>
      <c r="H31" s="315">
        <f t="shared" si="0"/>
        <v>0</v>
      </c>
      <c r="I31" s="316">
        <f t="shared" si="2"/>
        <v>0</v>
      </c>
      <c r="J31" s="317">
        <f t="shared" si="3"/>
        <v>0</v>
      </c>
      <c r="K31" s="318" t="e">
        <f t="shared" si="4"/>
        <v>#DIV/0!</v>
      </c>
      <c r="L31" s="319" t="e">
        <f t="shared" si="5"/>
        <v>#DIV/0!</v>
      </c>
    </row>
    <row r="32" spans="1:12" ht="12.75" x14ac:dyDescent="0.2">
      <c r="A32" s="300">
        <f>'GENEL HASILAT'!A35</f>
        <v>45594</v>
      </c>
      <c r="B32" s="309"/>
      <c r="C32" s="310"/>
      <c r="D32" s="311"/>
      <c r="E32" s="312">
        <f>SUM('OTOPARK GİRİŞ-ÇIKIŞ'!J33+'OTOPARK GİRİŞ-ÇIKIŞ'!M33+'OTOPARK GİRİŞ-ÇIKIŞ'!P33)-D32</f>
        <v>0</v>
      </c>
      <c r="F32" s="313">
        <f t="shared" si="1"/>
        <v>0</v>
      </c>
      <c r="G32" s="314">
        <f>SUM('OTOPARK GİRİŞ-ÇIKIŞ'!C33+'OTOPARK GİRİŞ-ÇIKIŞ'!F33+'OTOPARK GİRİŞ-ÇIKIŞ'!H33+'OTOPARK GİRİŞ-ÇIKIŞ'!R33+'OTOPARK GİRİŞ-ÇIKIŞ'!T33)</f>
        <v>0</v>
      </c>
      <c r="H32" s="315">
        <f t="shared" si="0"/>
        <v>0</v>
      </c>
      <c r="I32" s="316">
        <f t="shared" si="2"/>
        <v>0</v>
      </c>
      <c r="J32" s="317">
        <f t="shared" si="3"/>
        <v>0</v>
      </c>
      <c r="K32" s="318" t="e">
        <f t="shared" si="4"/>
        <v>#DIV/0!</v>
      </c>
      <c r="L32" s="319" t="e">
        <f t="shared" si="5"/>
        <v>#DIV/0!</v>
      </c>
    </row>
    <row r="33" spans="1:255" ht="12.75" x14ac:dyDescent="0.2">
      <c r="A33" s="300">
        <f>'GENEL HASILAT'!A36</f>
        <v>45595</v>
      </c>
      <c r="B33" s="309"/>
      <c r="C33" s="310"/>
      <c r="D33" s="311"/>
      <c r="E33" s="312">
        <f>SUM('OTOPARK GİRİŞ-ÇIKIŞ'!J34+'OTOPARK GİRİŞ-ÇIKIŞ'!M34+'OTOPARK GİRİŞ-ÇIKIŞ'!P34)-D33</f>
        <v>0</v>
      </c>
      <c r="F33" s="313">
        <f t="shared" si="1"/>
        <v>0</v>
      </c>
      <c r="G33" s="314">
        <f>SUM('OTOPARK GİRİŞ-ÇIKIŞ'!C34+'OTOPARK GİRİŞ-ÇIKIŞ'!F34+'OTOPARK GİRİŞ-ÇIKIŞ'!H34+'OTOPARK GİRİŞ-ÇIKIŞ'!R34+'OTOPARK GİRİŞ-ÇIKIŞ'!T34)</f>
        <v>0</v>
      </c>
      <c r="H33" s="315">
        <f t="shared" si="0"/>
        <v>0</v>
      </c>
      <c r="I33" s="316">
        <f t="shared" si="2"/>
        <v>0</v>
      </c>
      <c r="J33" s="317">
        <f t="shared" si="3"/>
        <v>0</v>
      </c>
      <c r="K33" s="318" t="e">
        <f t="shared" si="4"/>
        <v>#DIV/0!</v>
      </c>
      <c r="L33" s="319" t="e">
        <f t="shared" si="5"/>
        <v>#DIV/0!</v>
      </c>
    </row>
    <row r="34" spans="1:255" ht="12.75" x14ac:dyDescent="0.2">
      <c r="A34" s="300">
        <f>'GENEL HASILAT'!A37</f>
        <v>45596</v>
      </c>
      <c r="B34" s="320"/>
      <c r="C34" s="321"/>
      <c r="D34" s="322"/>
      <c r="E34" s="323">
        <f>SUM('OTOPARK GİRİŞ-ÇIKIŞ'!J35+'OTOPARK GİRİŞ-ÇIKIŞ'!M35+'OTOPARK GİRİŞ-ÇIKIŞ'!P35)-D34</f>
        <v>0</v>
      </c>
      <c r="F34" s="313">
        <f t="shared" si="1"/>
        <v>0</v>
      </c>
      <c r="G34" s="324">
        <f>SUM('OTOPARK GİRİŞ-ÇIKIŞ'!C35+'OTOPARK GİRİŞ-ÇIKIŞ'!F35+'OTOPARK GİRİŞ-ÇIKIŞ'!H35+'OTOPARK GİRİŞ-ÇIKIŞ'!R35+'OTOPARK GİRİŞ-ÇIKIŞ'!T35)</f>
        <v>0</v>
      </c>
      <c r="H34" s="315">
        <f t="shared" si="0"/>
        <v>0</v>
      </c>
      <c r="I34" s="316">
        <f t="shared" si="2"/>
        <v>0</v>
      </c>
      <c r="J34" s="317">
        <f t="shared" si="3"/>
        <v>0</v>
      </c>
      <c r="K34" s="318" t="e">
        <f t="shared" si="4"/>
        <v>#DIV/0!</v>
      </c>
      <c r="L34" s="319" t="e">
        <f t="shared" si="5"/>
        <v>#DIV/0!</v>
      </c>
    </row>
    <row r="35" spans="1:255" ht="12.75" x14ac:dyDescent="0.2">
      <c r="A35" s="325" t="s">
        <v>2</v>
      </c>
      <c r="B35" s="326">
        <f>SUM(B5:B34)</f>
        <v>544</v>
      </c>
      <c r="C35" s="326">
        <f t="shared" ref="C35:J35" si="6">SUM(C4:C34)</f>
        <v>81</v>
      </c>
      <c r="D35" s="326">
        <f t="shared" si="6"/>
        <v>928</v>
      </c>
      <c r="E35" s="326">
        <f t="shared" si="6"/>
        <v>8210</v>
      </c>
      <c r="F35" s="326">
        <f t="shared" si="6"/>
        <v>9138</v>
      </c>
      <c r="G35" s="326">
        <f t="shared" si="6"/>
        <v>7932</v>
      </c>
      <c r="H35" s="327">
        <f t="shared" si="6"/>
        <v>1585</v>
      </c>
      <c r="I35" s="328">
        <f t="shared" si="2"/>
        <v>16142</v>
      </c>
      <c r="J35" s="329">
        <f t="shared" si="6"/>
        <v>17727</v>
      </c>
      <c r="K35" s="330">
        <f>+H35/J35</f>
        <v>8.9411631973825234E-2</v>
      </c>
      <c r="L35" s="331">
        <f>+I35/J35</f>
        <v>0.91058836802617471</v>
      </c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7"/>
      <c r="AG35" s="297"/>
      <c r="AH35" s="297"/>
      <c r="AI35" s="297"/>
      <c r="AJ35" s="297"/>
      <c r="AK35" s="297"/>
      <c r="AL35" s="297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7"/>
      <c r="AX35" s="297"/>
      <c r="AY35" s="297"/>
      <c r="AZ35" s="297"/>
      <c r="BA35" s="297"/>
      <c r="BB35" s="297"/>
      <c r="BC35" s="297"/>
      <c r="BD35" s="297"/>
      <c r="BE35" s="297"/>
      <c r="BF35" s="297"/>
      <c r="BG35" s="297"/>
      <c r="BH35" s="297"/>
      <c r="BI35" s="297"/>
      <c r="BJ35" s="297"/>
      <c r="BK35" s="297"/>
      <c r="BL35" s="297"/>
      <c r="BM35" s="297"/>
      <c r="BN35" s="297"/>
      <c r="BO35" s="297"/>
      <c r="BP35" s="297"/>
      <c r="BQ35" s="297"/>
      <c r="BR35" s="297"/>
      <c r="BS35" s="297"/>
      <c r="BT35" s="297"/>
      <c r="BU35" s="297"/>
      <c r="BV35" s="297"/>
      <c r="BW35" s="297"/>
      <c r="BX35" s="297"/>
      <c r="BY35" s="297"/>
      <c r="BZ35" s="297"/>
      <c r="CA35" s="297"/>
      <c r="CB35" s="297"/>
      <c r="CC35" s="297"/>
      <c r="CD35" s="297"/>
      <c r="CE35" s="297"/>
      <c r="CF35" s="297"/>
      <c r="CG35" s="297"/>
      <c r="CH35" s="297"/>
      <c r="CI35" s="297"/>
      <c r="CJ35" s="297"/>
      <c r="CK35" s="297"/>
      <c r="CL35" s="297"/>
      <c r="CM35" s="297"/>
      <c r="CN35" s="297"/>
      <c r="CO35" s="297"/>
      <c r="CP35" s="297"/>
      <c r="CQ35" s="297"/>
      <c r="CR35" s="297"/>
      <c r="CS35" s="297"/>
      <c r="CT35" s="297"/>
      <c r="CU35" s="297"/>
      <c r="CV35" s="297"/>
      <c r="CW35" s="297"/>
      <c r="CX35" s="297"/>
      <c r="CY35" s="297"/>
      <c r="CZ35" s="297"/>
      <c r="DA35" s="297"/>
      <c r="DB35" s="297"/>
      <c r="DC35" s="297"/>
      <c r="DD35" s="297"/>
      <c r="DE35" s="297"/>
      <c r="DF35" s="297"/>
      <c r="DG35" s="297"/>
      <c r="DH35" s="297"/>
      <c r="DI35" s="297"/>
      <c r="DJ35" s="297"/>
      <c r="DK35" s="297"/>
      <c r="DL35" s="297"/>
      <c r="DM35" s="297"/>
      <c r="DN35" s="297"/>
      <c r="DO35" s="297"/>
      <c r="DP35" s="297"/>
      <c r="DQ35" s="297"/>
      <c r="DR35" s="297"/>
      <c r="DS35" s="297"/>
      <c r="DT35" s="297"/>
      <c r="DU35" s="297"/>
      <c r="DV35" s="297"/>
      <c r="DW35" s="297"/>
      <c r="DX35" s="297"/>
      <c r="DY35" s="297"/>
      <c r="DZ35" s="297"/>
      <c r="EA35" s="297"/>
      <c r="EB35" s="297"/>
      <c r="EC35" s="297"/>
      <c r="ED35" s="297"/>
      <c r="EE35" s="297"/>
      <c r="EF35" s="297"/>
      <c r="EG35" s="297"/>
      <c r="EH35" s="297"/>
      <c r="EI35" s="297"/>
      <c r="EJ35" s="297"/>
      <c r="EK35" s="297"/>
      <c r="EL35" s="297"/>
      <c r="EM35" s="297"/>
      <c r="EN35" s="297"/>
      <c r="EO35" s="297"/>
      <c r="EP35" s="297"/>
      <c r="EQ35" s="297"/>
      <c r="ER35" s="297"/>
      <c r="ES35" s="297"/>
      <c r="ET35" s="297"/>
      <c r="EU35" s="297"/>
      <c r="EV35" s="297"/>
      <c r="EW35" s="297"/>
      <c r="EX35" s="297"/>
      <c r="EY35" s="297"/>
      <c r="EZ35" s="297"/>
      <c r="FA35" s="297"/>
      <c r="FB35" s="297"/>
      <c r="FC35" s="297"/>
      <c r="FD35" s="297"/>
      <c r="FE35" s="297"/>
      <c r="FF35" s="297"/>
      <c r="FG35" s="297"/>
      <c r="FH35" s="297"/>
      <c r="FI35" s="297"/>
      <c r="FJ35" s="297"/>
      <c r="FK35" s="297"/>
      <c r="FL35" s="297"/>
      <c r="FM35" s="297"/>
      <c r="FN35" s="297"/>
      <c r="FO35" s="297"/>
      <c r="FP35" s="297"/>
      <c r="FQ35" s="297"/>
      <c r="FR35" s="297"/>
      <c r="FS35" s="297"/>
      <c r="FT35" s="297"/>
      <c r="FU35" s="297"/>
      <c r="FV35" s="297"/>
      <c r="FW35" s="297"/>
      <c r="FX35" s="297"/>
      <c r="FY35" s="297"/>
      <c r="FZ35" s="297"/>
      <c r="GA35" s="297"/>
      <c r="GB35" s="297"/>
      <c r="GC35" s="297"/>
      <c r="GD35" s="297"/>
      <c r="GE35" s="297"/>
      <c r="GF35" s="297"/>
      <c r="GG35" s="297"/>
      <c r="GH35" s="297"/>
      <c r="GI35" s="297"/>
      <c r="GJ35" s="297"/>
      <c r="GK35" s="297"/>
      <c r="GL35" s="297"/>
      <c r="GM35" s="297"/>
      <c r="GN35" s="297"/>
      <c r="GO35" s="297"/>
      <c r="GP35" s="297"/>
      <c r="GQ35" s="297"/>
      <c r="GR35" s="297"/>
      <c r="GS35" s="297"/>
      <c r="GT35" s="297"/>
      <c r="GU35" s="297"/>
      <c r="GV35" s="297"/>
      <c r="GW35" s="297"/>
      <c r="GX35" s="297"/>
      <c r="GY35" s="297"/>
      <c r="GZ35" s="297"/>
      <c r="HA35" s="297"/>
      <c r="HB35" s="297"/>
      <c r="HC35" s="297"/>
      <c r="HD35" s="297"/>
      <c r="HE35" s="297"/>
      <c r="HF35" s="297"/>
      <c r="HG35" s="297"/>
      <c r="HH35" s="297"/>
      <c r="HI35" s="297"/>
      <c r="HJ35" s="297"/>
      <c r="HK35" s="297"/>
      <c r="HL35" s="297"/>
      <c r="HM35" s="297"/>
      <c r="HN35" s="297"/>
      <c r="HO35" s="297"/>
      <c r="HP35" s="297"/>
      <c r="HQ35" s="297"/>
      <c r="HR35" s="297"/>
      <c r="HS35" s="297"/>
      <c r="HT35" s="297"/>
      <c r="HU35" s="297"/>
      <c r="HV35" s="297"/>
      <c r="HW35" s="297"/>
      <c r="HX35" s="297"/>
      <c r="HY35" s="297"/>
      <c r="HZ35" s="297"/>
      <c r="IA35" s="297"/>
      <c r="IB35" s="297"/>
      <c r="IC35" s="297"/>
      <c r="ID35" s="297"/>
      <c r="IE35" s="297"/>
      <c r="IF35" s="297"/>
      <c r="IG35" s="297"/>
      <c r="IH35" s="297"/>
      <c r="II35" s="297"/>
      <c r="IJ35" s="297"/>
      <c r="IK35" s="297"/>
      <c r="IL35" s="297"/>
      <c r="IM35" s="297"/>
      <c r="IN35" s="297"/>
      <c r="IO35" s="297"/>
      <c r="IP35" s="297"/>
      <c r="IQ35" s="297"/>
      <c r="IR35" s="297"/>
      <c r="IS35" s="297"/>
      <c r="IT35" s="297"/>
      <c r="IU35" s="297"/>
    </row>
    <row r="36" spans="1:255" ht="12.75" x14ac:dyDescent="0.2"/>
    <row r="37" spans="1:255" ht="12.75" x14ac:dyDescent="0.2"/>
    <row r="38" spans="1:255" ht="12.75" x14ac:dyDescent="0.2"/>
  </sheetData>
  <sheetProtection password="CC2B" sheet="1" objects="1" scenarios="1"/>
  <mergeCells count="13">
    <mergeCell ref="J1:J3"/>
    <mergeCell ref="K1:K3"/>
    <mergeCell ref="L1:L3"/>
    <mergeCell ref="B2:B3"/>
    <mergeCell ref="C2:C3"/>
    <mergeCell ref="D2:D3"/>
    <mergeCell ref="E2:E3"/>
    <mergeCell ref="I1:I3"/>
    <mergeCell ref="A1:A3"/>
    <mergeCell ref="B1:D1"/>
    <mergeCell ref="F1:F3"/>
    <mergeCell ref="G1:G3"/>
    <mergeCell ref="H1:H3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>
    <tabColor indexed="51"/>
  </sheetPr>
  <dimension ref="A1:S23"/>
  <sheetViews>
    <sheetView showGridLines="0" tabSelected="1" zoomScale="70" zoomScaleNormal="70" workbookViewId="0">
      <selection activeCell="D14" sqref="D14"/>
    </sheetView>
  </sheetViews>
  <sheetFormatPr defaultRowHeight="15" x14ac:dyDescent="0.2"/>
  <cols>
    <col min="1" max="1" width="19.42578125" style="51" customWidth="1"/>
    <col min="2" max="10" width="25" style="51" customWidth="1"/>
    <col min="11" max="11" width="23.5703125" style="51" customWidth="1"/>
    <col min="12" max="12" width="22.140625" style="51" bestFit="1" customWidth="1"/>
    <col min="13" max="13" width="22.140625" style="51" customWidth="1"/>
    <col min="14" max="14" width="34.5703125" style="51" bestFit="1" customWidth="1"/>
    <col min="15" max="15" width="37.140625" style="51" bestFit="1" customWidth="1"/>
    <col min="16" max="16" width="22.140625" style="51" bestFit="1" customWidth="1"/>
    <col min="17" max="17" width="34.42578125" style="51" bestFit="1" customWidth="1"/>
    <col min="18" max="18" width="21.28515625" style="51" bestFit="1" customWidth="1"/>
    <col min="19" max="19" width="16.7109375" style="51" bestFit="1" customWidth="1"/>
    <col min="20" max="16384" width="9.140625" style="51"/>
  </cols>
  <sheetData>
    <row r="1" spans="1:19" ht="12.75" customHeight="1" x14ac:dyDescent="0.2">
      <c r="A1" s="466" t="str">
        <f>TEXT('GENEL HASILAT'!A7,"YYYY")&amp;" ABONE DURUMU"</f>
        <v>2024 ABONE DURUMU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19" ht="12.75" customHeight="1" x14ac:dyDescent="0.2">
      <c r="A2" s="466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19" ht="12.75" customHeight="1" x14ac:dyDescent="0.2">
      <c r="A3" s="69"/>
      <c r="B3" s="70"/>
      <c r="C3" s="70"/>
      <c r="D3" s="70"/>
      <c r="E3" s="70"/>
      <c r="F3" s="70"/>
      <c r="G3" s="70"/>
      <c r="H3" s="71"/>
      <c r="I3" s="71"/>
      <c r="J3" s="71"/>
      <c r="K3" s="71"/>
    </row>
    <row r="4" spans="1:19" ht="22.5" customHeight="1" x14ac:dyDescent="0.2">
      <c r="A4" s="469">
        <f>'GENEL HASILAT'!A7</f>
        <v>45566</v>
      </c>
      <c r="B4" s="72" t="s">
        <v>67</v>
      </c>
      <c r="C4" s="73" t="s">
        <v>32</v>
      </c>
      <c r="D4" s="73" t="s">
        <v>33</v>
      </c>
      <c r="E4" s="73" t="s">
        <v>34</v>
      </c>
      <c r="F4" s="73" t="s">
        <v>35</v>
      </c>
      <c r="G4" s="73" t="s">
        <v>36</v>
      </c>
      <c r="H4" s="74"/>
      <c r="I4" s="477" t="s">
        <v>37</v>
      </c>
      <c r="J4" s="472"/>
      <c r="K4" s="71"/>
    </row>
    <row r="5" spans="1:19" ht="22.5" customHeight="1" x14ac:dyDescent="0.2">
      <c r="A5" s="470"/>
      <c r="B5" s="75">
        <f>'[1]OCAK 2024'!$I$38</f>
        <v>31</v>
      </c>
      <c r="C5" s="75">
        <f>SUM('[1]ŞUBAT 2024'!$I$38)</f>
        <v>59</v>
      </c>
      <c r="D5" s="75">
        <f>'[1]MART 2024'!$I$38</f>
        <v>51</v>
      </c>
      <c r="E5" s="75">
        <f>'[1]NİSAN 2024'!$I$38</f>
        <v>132</v>
      </c>
      <c r="F5" s="75">
        <f>'[1]MAYIS 2024'!$I$38</f>
        <v>235</v>
      </c>
      <c r="G5" s="75">
        <f>'[1]HAZİRAN 2024'!$I$38</f>
        <v>201</v>
      </c>
      <c r="H5" s="76"/>
      <c r="I5" s="478"/>
      <c r="J5" s="473"/>
      <c r="K5" s="71"/>
    </row>
    <row r="6" spans="1:19" ht="22.5" customHeight="1" x14ac:dyDescent="0.2">
      <c r="A6" s="470"/>
      <c r="B6" s="77" t="s">
        <v>14</v>
      </c>
      <c r="C6" s="77" t="s">
        <v>15</v>
      </c>
      <c r="D6" s="77" t="s">
        <v>16</v>
      </c>
      <c r="E6" s="77" t="s">
        <v>17</v>
      </c>
      <c r="F6" s="77" t="s">
        <v>18</v>
      </c>
      <c r="G6" s="77" t="s">
        <v>19</v>
      </c>
      <c r="H6" s="74"/>
      <c r="I6" s="479">
        <f>B5+C5+D5+E5+F5+G5+B7+C7+D7+E7+F7+G7</f>
        <v>1456</v>
      </c>
      <c r="J6" s="474"/>
      <c r="K6" s="71"/>
    </row>
    <row r="7" spans="1:19" ht="22.5" customHeight="1" x14ac:dyDescent="0.2">
      <c r="A7" s="471"/>
      <c r="B7" s="75">
        <f>'[1]TEMMUZ 2024'!$I$38</f>
        <v>265</v>
      </c>
      <c r="C7" s="75">
        <f>'[1]AĞUSTOS 2024'!$I$38</f>
        <v>170</v>
      </c>
      <c r="D7" s="75">
        <f>'[1]EYLÜL 2024'!$I$38</f>
        <v>199</v>
      </c>
      <c r="E7" s="75">
        <f>'[1]EKİM 2024'!$I$38</f>
        <v>113</v>
      </c>
      <c r="F7" s="75">
        <f>'[1]KASIM 2024'!$I$38</f>
        <v>0</v>
      </c>
      <c r="G7" s="75">
        <f>'[1]ARALIK 2024'!$I$38</f>
        <v>0</v>
      </c>
      <c r="H7" s="76"/>
      <c r="I7" s="480"/>
      <c r="J7" s="474"/>
      <c r="K7" s="71"/>
    </row>
    <row r="8" spans="1:19" ht="22.5" customHeight="1" x14ac:dyDescent="0.2">
      <c r="D8" s="475"/>
      <c r="E8" s="476"/>
      <c r="F8" s="476"/>
      <c r="G8" s="476"/>
      <c r="H8" s="476"/>
      <c r="I8" s="476"/>
    </row>
    <row r="9" spans="1:19" ht="22.5" customHeight="1" x14ac:dyDescent="0.2">
      <c r="A9" s="468" t="str">
        <f>COUNTA('GENEL HASILAT'!B7:B37)&amp;"."&amp;TEXT('GENEL HASILAT'!A7,"AA.YYYY")</f>
        <v>23.10.2024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68"/>
      <c r="P9" s="468"/>
      <c r="Q9" s="468"/>
    </row>
    <row r="10" spans="1:19" ht="22.5" customHeight="1" x14ac:dyDescent="0.2">
      <c r="A10" s="464" t="str">
        <f>'GENEL HASILAT'!A3:S3 &amp; " GENEL GELİR DURUMU"</f>
        <v>EKİM 2024 GENEL GELİR DURUMU</v>
      </c>
      <c r="B10" s="465"/>
      <c r="C10" s="465"/>
      <c r="D10" s="465"/>
      <c r="E10" s="465"/>
      <c r="F10" s="465"/>
      <c r="G10" s="465"/>
      <c r="H10" s="465"/>
      <c r="I10" s="465"/>
      <c r="J10" s="465"/>
      <c r="K10" s="465"/>
      <c r="L10" s="465"/>
      <c r="M10" s="465"/>
      <c r="N10" s="465"/>
      <c r="O10" s="465"/>
      <c r="P10" s="465"/>
      <c r="Q10" s="465"/>
      <c r="R10" s="465"/>
      <c r="S10" s="465"/>
    </row>
    <row r="11" spans="1:19" ht="31.5" customHeight="1" x14ac:dyDescent="0.2">
      <c r="A11" s="57" t="s">
        <v>21</v>
      </c>
      <c r="B11" s="67" t="s">
        <v>40</v>
      </c>
      <c r="C11" s="67" t="s">
        <v>100</v>
      </c>
      <c r="D11" s="67" t="s">
        <v>92</v>
      </c>
      <c r="E11" s="68" t="s">
        <v>25</v>
      </c>
      <c r="F11" s="67" t="s">
        <v>78</v>
      </c>
      <c r="G11" s="67" t="s">
        <v>93</v>
      </c>
      <c r="H11" s="67" t="s">
        <v>71</v>
      </c>
      <c r="I11" s="67" t="s">
        <v>133</v>
      </c>
      <c r="J11" s="67" t="s">
        <v>134</v>
      </c>
      <c r="K11" s="67" t="s">
        <v>97</v>
      </c>
      <c r="L11" s="67" t="s">
        <v>98</v>
      </c>
      <c r="M11" s="67" t="s">
        <v>135</v>
      </c>
      <c r="N11" s="67" t="s">
        <v>136</v>
      </c>
      <c r="O11" s="67" t="s">
        <v>137</v>
      </c>
      <c r="P11" s="67" t="s">
        <v>138</v>
      </c>
      <c r="Q11" s="67" t="s">
        <v>139</v>
      </c>
      <c r="R11" s="67" t="s">
        <v>140</v>
      </c>
      <c r="S11" s="67" t="s">
        <v>62</v>
      </c>
    </row>
    <row r="12" spans="1:19" ht="22.5" customHeight="1" x14ac:dyDescent="0.2">
      <c r="H12" s="52"/>
    </row>
    <row r="13" spans="1:19" ht="22.5" customHeight="1" x14ac:dyDescent="0.2">
      <c r="A13" s="58" t="s">
        <v>22</v>
      </c>
      <c r="B13" s="61">
        <v>250</v>
      </c>
      <c r="C13" s="61">
        <v>275</v>
      </c>
      <c r="D13" s="61">
        <v>637.5</v>
      </c>
      <c r="E13" s="61">
        <v>2800</v>
      </c>
      <c r="F13" s="61">
        <v>2240</v>
      </c>
      <c r="G13" s="61">
        <v>637.5</v>
      </c>
      <c r="H13" s="116" t="s">
        <v>39</v>
      </c>
      <c r="I13" s="61">
        <v>1400</v>
      </c>
      <c r="J13" s="61">
        <v>2240</v>
      </c>
      <c r="K13" s="61">
        <v>2800</v>
      </c>
      <c r="L13" s="61">
        <v>750</v>
      </c>
      <c r="M13" s="61">
        <v>1760</v>
      </c>
      <c r="N13" s="61">
        <v>2815</v>
      </c>
      <c r="O13" s="61">
        <v>3515</v>
      </c>
      <c r="P13" s="61">
        <v>2120</v>
      </c>
      <c r="Q13" s="61">
        <v>3390</v>
      </c>
      <c r="R13" s="61">
        <v>4237.5</v>
      </c>
      <c r="S13" s="61" t="s">
        <v>39</v>
      </c>
    </row>
    <row r="14" spans="1:19" ht="22.5" customHeight="1" x14ac:dyDescent="0.2">
      <c r="A14" s="59" t="s">
        <v>23</v>
      </c>
      <c r="B14" s="55">
        <f>SUM('[1]EKİM 2024'!$B$36)</f>
        <v>1</v>
      </c>
      <c r="C14" s="55">
        <f>SUM('[1]EKİM 2024'!$C$36)</f>
        <v>0</v>
      </c>
      <c r="D14" s="55">
        <f>SUM('[1]EKİM 2024'!$D$36)</f>
        <v>24</v>
      </c>
      <c r="E14" s="55">
        <f>SUM('[1]EKİM 2024'!$E$36)</f>
        <v>7</v>
      </c>
      <c r="F14" s="55">
        <f>SUM('[1]EKİM 2024'!$F$36)</f>
        <v>0</v>
      </c>
      <c r="G14" s="55">
        <f>SUM('[1]EKİM 2024'!$G$36)</f>
        <v>0</v>
      </c>
      <c r="H14" s="117" t="s">
        <v>39</v>
      </c>
      <c r="I14" s="55">
        <f>SUM('[1]EKİM 2024'!$J$36)</f>
        <v>0</v>
      </c>
      <c r="J14" s="55">
        <f>SUM('[1]EKİM 2024'!$K$36)</f>
        <v>0</v>
      </c>
      <c r="K14" s="55">
        <f>SUM('[1]EKİM 2024'!$L$36)</f>
        <v>13</v>
      </c>
      <c r="L14" s="55">
        <f>SUM('[1]EKİM 2024'!$M$36)</f>
        <v>25</v>
      </c>
      <c r="M14" s="55">
        <f>SUM('[1]EKİM 2024'!$N$36)</f>
        <v>0</v>
      </c>
      <c r="N14" s="55">
        <f>SUM('[1]EKİM 2024'!$O$36)</f>
        <v>0</v>
      </c>
      <c r="O14" s="55">
        <f>SUM('[1]EKİM 2024'!$P$36)</f>
        <v>42</v>
      </c>
      <c r="P14" s="55">
        <f>SUM('[1]EKİM 2024'!$Q$36)</f>
        <v>0</v>
      </c>
      <c r="Q14" s="55">
        <f>SUM('[1]EKİM 2024'!$R$36)</f>
        <v>0</v>
      </c>
      <c r="R14" s="55">
        <f>SUM('[1]EKİM 2024'!$S$36)</f>
        <v>2</v>
      </c>
      <c r="S14" s="55" t="s">
        <v>39</v>
      </c>
    </row>
    <row r="15" spans="1:19" ht="22.5" customHeight="1" x14ac:dyDescent="0.2">
      <c r="A15" s="60" t="s">
        <v>24</v>
      </c>
      <c r="B15" s="56">
        <f t="shared" ref="B15:P15" si="0">+B14*B13</f>
        <v>250</v>
      </c>
      <c r="C15" s="56">
        <f t="shared" ref="C15" si="1">+C14*C13</f>
        <v>0</v>
      </c>
      <c r="D15" s="56">
        <f t="shared" si="0"/>
        <v>15300</v>
      </c>
      <c r="E15" s="56">
        <f t="shared" si="0"/>
        <v>19600</v>
      </c>
      <c r="F15" s="56">
        <f t="shared" si="0"/>
        <v>0</v>
      </c>
      <c r="G15" s="56">
        <f t="shared" si="0"/>
        <v>0</v>
      </c>
      <c r="H15" s="54">
        <f>SUM('[1]EKİM 2024'!$H$36)</f>
        <v>301230</v>
      </c>
      <c r="I15" s="56">
        <f>+I14*I13</f>
        <v>0</v>
      </c>
      <c r="J15" s="56">
        <f>+J14*J13</f>
        <v>0</v>
      </c>
      <c r="K15" s="56">
        <f>+K14*K13</f>
        <v>36400</v>
      </c>
      <c r="L15" s="56">
        <f>+L14*L13</f>
        <v>18750</v>
      </c>
      <c r="M15" s="56">
        <f t="shared" ref="M15:N15" si="2">+M14*M13</f>
        <v>0</v>
      </c>
      <c r="N15" s="56">
        <f t="shared" si="2"/>
        <v>0</v>
      </c>
      <c r="O15" s="56">
        <f>+O14*O13</f>
        <v>147630</v>
      </c>
      <c r="P15" s="56">
        <f t="shared" si="0"/>
        <v>0</v>
      </c>
      <c r="Q15" s="56">
        <f t="shared" ref="Q15" si="3">+Q14*Q13</f>
        <v>0</v>
      </c>
      <c r="R15" s="56">
        <f>+R14*R13</f>
        <v>8475</v>
      </c>
      <c r="S15" s="56">
        <f>SUM('[1]EKİM 2024'!$T$36)</f>
        <v>24445</v>
      </c>
    </row>
    <row r="16" spans="1:19" ht="22.5" customHeight="1" x14ac:dyDescent="0.2"/>
    <row r="17" spans="1:8" ht="22.5" customHeight="1" x14ac:dyDescent="0.2"/>
    <row r="18" spans="1:8" ht="22.5" customHeight="1" x14ac:dyDescent="0.2"/>
    <row r="19" spans="1:8" ht="22.5" customHeight="1" x14ac:dyDescent="0.2"/>
    <row r="20" spans="1:8" ht="22.5" customHeight="1" x14ac:dyDescent="0.2"/>
    <row r="21" spans="1:8" ht="22.5" customHeight="1" x14ac:dyDescent="0.2">
      <c r="A21" s="62" t="s">
        <v>63</v>
      </c>
      <c r="B21" s="63">
        <f>B14+D14+E14+I14+J14+K14+L14+E14+F14+G14+P14+R14</f>
        <v>79</v>
      </c>
      <c r="H21" s="53"/>
    </row>
    <row r="22" spans="1:8" ht="22.5" customHeight="1" x14ac:dyDescent="0.2">
      <c r="A22" s="62" t="s">
        <v>64</v>
      </c>
      <c r="B22" s="64">
        <f>B15+C15+D15+E15+F15+G15+I15+J15+K15+L15+P15+Q15+R15+S15+M15+N15+O15</f>
        <v>270850</v>
      </c>
    </row>
    <row r="23" spans="1:8" ht="22.5" customHeight="1" x14ac:dyDescent="0.2">
      <c r="A23" s="65" t="s">
        <v>47</v>
      </c>
      <c r="B23" s="66">
        <f>'GENEL HASILAT'!T39-'GENEL HASILAT'!V39-'ABONE DURUMU'!B22+'GENEL HASILAT'!O39-H15</f>
        <v>0</v>
      </c>
    </row>
  </sheetData>
  <sheetProtection selectLockedCells="1"/>
  <mergeCells count="9">
    <mergeCell ref="A10:S10"/>
    <mergeCell ref="A1:S2"/>
    <mergeCell ref="A9:Q9"/>
    <mergeCell ref="A4:A7"/>
    <mergeCell ref="J4:J5"/>
    <mergeCell ref="J6:J7"/>
    <mergeCell ref="D8:I8"/>
    <mergeCell ref="I4:I5"/>
    <mergeCell ref="I6:I7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0"/>
  <sheetViews>
    <sheetView zoomScale="85" zoomScaleNormal="85" workbookViewId="0">
      <pane xSplit="10" ySplit="3" topLeftCell="K25" activePane="bottomRight" state="frozenSplit"/>
      <selection activeCell="E33" sqref="E33"/>
      <selection pane="topRight" activeCell="E33" sqref="E33"/>
      <selection pane="bottomLeft" activeCell="E33" sqref="E33"/>
      <selection pane="bottomRight" activeCell="I50" sqref="I50"/>
    </sheetView>
  </sheetViews>
  <sheetFormatPr defaultRowHeight="17.25" customHeight="1" x14ac:dyDescent="0.2"/>
  <cols>
    <col min="1" max="1" width="5.7109375" style="120" customWidth="1"/>
    <col min="2" max="2" width="13.5703125" style="121" customWidth="1"/>
    <col min="3" max="3" width="10.42578125" style="119" customWidth="1"/>
    <col min="4" max="4" width="12.42578125" style="119" bestFit="1" customWidth="1"/>
    <col min="5" max="6" width="14.42578125" style="119" customWidth="1"/>
    <col min="7" max="8" width="14.42578125" style="122" customWidth="1"/>
    <col min="9" max="9" width="77" style="123" bestFit="1" customWidth="1"/>
    <col min="10" max="10" width="27.140625" style="123" customWidth="1"/>
    <col min="11" max="12" width="9.140625" style="119"/>
    <col min="13" max="13" width="10.28515625" style="119" customWidth="1"/>
    <col min="14" max="14" width="9.140625" style="119"/>
    <col min="15" max="15" width="9.140625" style="119" customWidth="1"/>
    <col min="16" max="16384" width="9.140625" style="119"/>
  </cols>
  <sheetData>
    <row r="1" spans="1:23" ht="20.25" customHeight="1" thickBot="1" x14ac:dyDescent="0.25">
      <c r="A1" s="481" t="str">
        <f>"KAYIP / ZORUNLU / BİLET ÜRETİMİ  - " &amp; 'GENEL HASILAT'!A3:I3</f>
        <v>KAYIP / ZORUNLU / BİLET ÜRETİMİ  - EKİM 2024</v>
      </c>
      <c r="B1" s="482"/>
      <c r="C1" s="482"/>
      <c r="D1" s="482"/>
      <c r="E1" s="482"/>
      <c r="F1" s="482"/>
      <c r="G1" s="482"/>
      <c r="H1" s="482"/>
      <c r="I1" s="482"/>
      <c r="J1" s="483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</row>
    <row r="2" spans="1:23" ht="8.25" customHeight="1" x14ac:dyDescent="0.2"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</row>
    <row r="3" spans="1:23" ht="21.75" customHeight="1" x14ac:dyDescent="0.2">
      <c r="A3" s="124" t="s">
        <v>101</v>
      </c>
      <c r="B3" s="125" t="s">
        <v>102</v>
      </c>
      <c r="C3" s="124" t="s">
        <v>103</v>
      </c>
      <c r="D3" s="124" t="s">
        <v>104</v>
      </c>
      <c r="E3" s="124" t="s">
        <v>105</v>
      </c>
      <c r="F3" s="124" t="s">
        <v>106</v>
      </c>
      <c r="G3" s="126" t="s">
        <v>107</v>
      </c>
      <c r="H3" s="126" t="s">
        <v>108</v>
      </c>
      <c r="I3" s="124" t="s">
        <v>56</v>
      </c>
      <c r="J3" s="127" t="s">
        <v>109</v>
      </c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17.25" customHeight="1" x14ac:dyDescent="0.2">
      <c r="A4" s="128">
        <v>1</v>
      </c>
      <c r="B4" s="129">
        <v>45566</v>
      </c>
      <c r="C4" s="130">
        <v>0.27152777777777776</v>
      </c>
      <c r="D4" s="131" t="s">
        <v>114</v>
      </c>
      <c r="E4" s="131">
        <v>783210</v>
      </c>
      <c r="F4" s="131">
        <v>19825</v>
      </c>
      <c r="G4" s="132">
        <v>50</v>
      </c>
      <c r="H4" s="132" t="s">
        <v>113</v>
      </c>
      <c r="I4" s="133" t="s">
        <v>142</v>
      </c>
      <c r="J4" s="133" t="s">
        <v>143</v>
      </c>
      <c r="K4" s="118"/>
      <c r="L4" s="134"/>
      <c r="M4" s="135"/>
      <c r="N4" s="135"/>
      <c r="O4" s="135"/>
      <c r="P4" s="135"/>
      <c r="Q4" s="135"/>
      <c r="R4" s="135"/>
      <c r="S4" s="118"/>
      <c r="T4" s="118"/>
      <c r="W4" s="118"/>
    </row>
    <row r="5" spans="1:23" ht="17.25" customHeight="1" x14ac:dyDescent="0.25">
      <c r="A5" s="136">
        <v>2</v>
      </c>
      <c r="B5" s="129">
        <v>45566</v>
      </c>
      <c r="C5" s="138">
        <v>0.9819444444444444</v>
      </c>
      <c r="D5" s="131" t="s">
        <v>114</v>
      </c>
      <c r="E5" s="139">
        <v>783463</v>
      </c>
      <c r="F5" s="139">
        <v>19895</v>
      </c>
      <c r="G5" s="140">
        <v>375</v>
      </c>
      <c r="H5" s="132" t="s">
        <v>116</v>
      </c>
      <c r="I5" s="141" t="s">
        <v>144</v>
      </c>
      <c r="J5" s="133" t="s">
        <v>145</v>
      </c>
      <c r="K5" s="118"/>
      <c r="L5" s="134"/>
      <c r="M5" s="135"/>
      <c r="N5" s="135"/>
      <c r="O5" s="142"/>
      <c r="P5" s="143"/>
      <c r="Q5" s="143"/>
      <c r="R5" s="135"/>
      <c r="S5" s="118"/>
      <c r="T5" s="118"/>
      <c r="W5" s="118"/>
    </row>
    <row r="6" spans="1:23" ht="17.25" customHeight="1" x14ac:dyDescent="0.25">
      <c r="A6" s="136">
        <v>3</v>
      </c>
      <c r="B6" s="137">
        <v>45567</v>
      </c>
      <c r="C6" s="138">
        <v>7.6388888888888886E-3</v>
      </c>
      <c r="D6" s="131" t="s">
        <v>114</v>
      </c>
      <c r="E6" s="139">
        <v>783482</v>
      </c>
      <c r="F6" s="139">
        <v>19882</v>
      </c>
      <c r="G6" s="140">
        <v>100</v>
      </c>
      <c r="H6" s="132" t="s">
        <v>116</v>
      </c>
      <c r="I6" s="141" t="s">
        <v>146</v>
      </c>
      <c r="J6" s="133" t="s">
        <v>145</v>
      </c>
      <c r="K6" s="118"/>
      <c r="L6" s="134"/>
      <c r="M6" s="135" t="s">
        <v>110</v>
      </c>
      <c r="N6" s="135" t="s">
        <v>111</v>
      </c>
      <c r="O6" s="142" t="s">
        <v>112</v>
      </c>
      <c r="P6" s="143"/>
      <c r="Q6" s="143"/>
      <c r="R6" s="135"/>
      <c r="S6" s="118"/>
      <c r="T6" s="118"/>
      <c r="W6" s="118"/>
    </row>
    <row r="7" spans="1:23" ht="17.25" customHeight="1" x14ac:dyDescent="0.25">
      <c r="A7" s="136">
        <v>4</v>
      </c>
      <c r="B7" s="137">
        <v>45567</v>
      </c>
      <c r="C7" s="138">
        <v>0.86319444444444438</v>
      </c>
      <c r="D7" s="131" t="s">
        <v>114</v>
      </c>
      <c r="E7" s="139">
        <v>781341</v>
      </c>
      <c r="F7" s="139">
        <v>2480</v>
      </c>
      <c r="G7" s="140">
        <v>70</v>
      </c>
      <c r="H7" s="132" t="s">
        <v>113</v>
      </c>
      <c r="I7" s="141" t="s">
        <v>147</v>
      </c>
      <c r="J7" s="133" t="s">
        <v>148</v>
      </c>
      <c r="K7" s="118"/>
      <c r="L7" s="134"/>
      <c r="M7" s="135" t="s">
        <v>113</v>
      </c>
      <c r="N7" s="135" t="s">
        <v>114</v>
      </c>
      <c r="O7" s="142" t="s">
        <v>115</v>
      </c>
      <c r="P7" s="143"/>
      <c r="Q7" s="143"/>
      <c r="R7" s="135"/>
      <c r="S7" s="118"/>
      <c r="T7" s="118"/>
      <c r="W7" s="118"/>
    </row>
    <row r="8" spans="1:23" ht="17.25" customHeight="1" x14ac:dyDescent="0.25">
      <c r="A8" s="136">
        <v>5</v>
      </c>
      <c r="B8" s="137">
        <v>45568</v>
      </c>
      <c r="C8" s="138">
        <v>0.64583333333333337</v>
      </c>
      <c r="D8" s="131" t="s">
        <v>114</v>
      </c>
      <c r="E8" s="139">
        <v>779133</v>
      </c>
      <c r="F8" s="139">
        <v>19862</v>
      </c>
      <c r="G8" s="140">
        <v>220</v>
      </c>
      <c r="H8" s="132" t="s">
        <v>116</v>
      </c>
      <c r="I8" s="141" t="s">
        <v>149</v>
      </c>
      <c r="J8" s="133" t="s">
        <v>143</v>
      </c>
      <c r="K8" s="118"/>
      <c r="L8" s="134"/>
      <c r="M8" s="135" t="s">
        <v>116</v>
      </c>
      <c r="N8" s="135" t="s">
        <v>88</v>
      </c>
      <c r="O8" s="144" t="s">
        <v>117</v>
      </c>
      <c r="P8" s="143"/>
      <c r="Q8" s="143"/>
      <c r="R8" s="135"/>
      <c r="S8" s="118"/>
      <c r="T8" s="118"/>
      <c r="W8" s="118"/>
    </row>
    <row r="9" spans="1:23" ht="17.25" customHeight="1" x14ac:dyDescent="0.25">
      <c r="A9" s="136">
        <v>6</v>
      </c>
      <c r="B9" s="137">
        <v>45569</v>
      </c>
      <c r="C9" s="138">
        <v>0.62291666666666667</v>
      </c>
      <c r="D9" s="131" t="s">
        <v>114</v>
      </c>
      <c r="E9" s="139"/>
      <c r="F9" s="139"/>
      <c r="G9" s="140">
        <v>0</v>
      </c>
      <c r="H9" s="132" t="s">
        <v>113</v>
      </c>
      <c r="I9" s="133" t="s">
        <v>151</v>
      </c>
      <c r="J9" s="133" t="s">
        <v>150</v>
      </c>
      <c r="K9" s="118"/>
      <c r="L9" s="134"/>
      <c r="M9" s="135" t="s">
        <v>118</v>
      </c>
      <c r="N9" s="135" t="s">
        <v>119</v>
      </c>
      <c r="O9" s="142" t="s">
        <v>120</v>
      </c>
      <c r="P9" s="143"/>
      <c r="Q9" s="143"/>
      <c r="R9" s="135"/>
      <c r="S9" s="118"/>
      <c r="T9" s="118"/>
      <c r="W9" s="118"/>
    </row>
    <row r="10" spans="1:23" ht="17.25" customHeight="1" x14ac:dyDescent="0.25">
      <c r="A10" s="136">
        <v>7</v>
      </c>
      <c r="B10" s="137">
        <v>45569</v>
      </c>
      <c r="C10" s="138">
        <v>0.62777777777777777</v>
      </c>
      <c r="D10" s="131" t="s">
        <v>114</v>
      </c>
      <c r="E10" s="139">
        <v>781524</v>
      </c>
      <c r="F10" s="139">
        <v>2495</v>
      </c>
      <c r="G10" s="140">
        <v>100</v>
      </c>
      <c r="H10" s="132" t="s">
        <v>113</v>
      </c>
      <c r="I10" s="141" t="s">
        <v>168</v>
      </c>
      <c r="J10" s="133" t="s">
        <v>150</v>
      </c>
      <c r="K10" s="118"/>
      <c r="L10" s="134"/>
      <c r="M10" s="135"/>
      <c r="N10" s="135" t="s">
        <v>121</v>
      </c>
      <c r="O10" s="142" t="s">
        <v>122</v>
      </c>
      <c r="P10" s="143"/>
      <c r="Q10" s="143"/>
      <c r="R10" s="135"/>
      <c r="S10" s="118"/>
      <c r="T10" s="118"/>
      <c r="W10" s="118"/>
    </row>
    <row r="11" spans="1:23" ht="17.25" customHeight="1" x14ac:dyDescent="0.25">
      <c r="A11" s="136">
        <v>8</v>
      </c>
      <c r="B11" s="137">
        <v>45569</v>
      </c>
      <c r="C11" s="138">
        <v>0.79027777777777775</v>
      </c>
      <c r="D11" s="131" t="s">
        <v>114</v>
      </c>
      <c r="E11" s="139"/>
      <c r="F11" s="139"/>
      <c r="G11" s="140">
        <v>0</v>
      </c>
      <c r="H11" s="132" t="s">
        <v>110</v>
      </c>
      <c r="I11" s="141" t="s">
        <v>152</v>
      </c>
      <c r="J11" s="133" t="s">
        <v>150</v>
      </c>
      <c r="K11" s="118"/>
      <c r="L11" s="134"/>
      <c r="M11" s="135"/>
      <c r="N11" s="135" t="s">
        <v>123</v>
      </c>
      <c r="O11" s="142" t="s">
        <v>124</v>
      </c>
      <c r="P11" s="143"/>
      <c r="Q11" s="143"/>
      <c r="R11" s="135"/>
      <c r="S11" s="118"/>
      <c r="T11" s="118"/>
      <c r="W11" s="118"/>
    </row>
    <row r="12" spans="1:23" ht="17.25" customHeight="1" x14ac:dyDescent="0.25">
      <c r="A12" s="136">
        <v>9</v>
      </c>
      <c r="B12" s="137">
        <v>45569</v>
      </c>
      <c r="C12" s="138">
        <v>0.79027777777777775</v>
      </c>
      <c r="D12" s="131" t="s">
        <v>114</v>
      </c>
      <c r="E12" s="139">
        <v>781602</v>
      </c>
      <c r="F12" s="139">
        <v>19895</v>
      </c>
      <c r="G12" s="140">
        <v>25</v>
      </c>
      <c r="H12" s="132" t="s">
        <v>110</v>
      </c>
      <c r="I12" s="141" t="s">
        <v>153</v>
      </c>
      <c r="J12" s="133" t="s">
        <v>150</v>
      </c>
      <c r="K12" s="118"/>
      <c r="L12" s="118"/>
      <c r="M12" s="135"/>
      <c r="N12" s="135" t="s">
        <v>125</v>
      </c>
      <c r="O12" s="142" t="s">
        <v>126</v>
      </c>
      <c r="P12" s="143"/>
      <c r="Q12" s="143"/>
      <c r="R12" s="135"/>
      <c r="S12" s="118"/>
      <c r="T12" s="118"/>
      <c r="W12" s="118"/>
    </row>
    <row r="13" spans="1:23" ht="17.25" customHeight="1" x14ac:dyDescent="0.25">
      <c r="A13" s="136">
        <v>10</v>
      </c>
      <c r="B13" s="137">
        <v>45570</v>
      </c>
      <c r="C13" s="138">
        <v>1.5277777777777777E-2</v>
      </c>
      <c r="D13" s="131" t="s">
        <v>114</v>
      </c>
      <c r="E13" s="139">
        <v>781693</v>
      </c>
      <c r="F13" s="139">
        <v>19876</v>
      </c>
      <c r="G13" s="140">
        <v>70</v>
      </c>
      <c r="H13" s="132" t="s">
        <v>116</v>
      </c>
      <c r="I13" s="141" t="s">
        <v>154</v>
      </c>
      <c r="J13" s="133" t="s">
        <v>143</v>
      </c>
      <c r="K13" s="118"/>
      <c r="L13" s="118"/>
      <c r="M13" s="135"/>
      <c r="N13" s="135"/>
      <c r="O13" s="142"/>
      <c r="P13" s="143"/>
      <c r="Q13" s="143"/>
      <c r="R13" s="135"/>
      <c r="S13" s="118"/>
      <c r="T13" s="118"/>
      <c r="W13" s="118"/>
    </row>
    <row r="14" spans="1:23" ht="17.25" customHeight="1" x14ac:dyDescent="0.25">
      <c r="A14" s="136">
        <v>11</v>
      </c>
      <c r="B14" s="137">
        <v>45570</v>
      </c>
      <c r="C14" s="138">
        <v>2.6388888888888889E-2</v>
      </c>
      <c r="D14" s="131" t="s">
        <v>114</v>
      </c>
      <c r="E14" s="139">
        <v>781701</v>
      </c>
      <c r="F14" s="139">
        <v>19803</v>
      </c>
      <c r="G14" s="140">
        <v>90</v>
      </c>
      <c r="H14" s="132" t="s">
        <v>116</v>
      </c>
      <c r="I14" s="141" t="s">
        <v>155</v>
      </c>
      <c r="J14" s="133" t="s">
        <v>143</v>
      </c>
      <c r="K14" s="118"/>
      <c r="L14" s="118"/>
      <c r="M14" s="135"/>
      <c r="N14" s="135"/>
      <c r="O14" s="142"/>
      <c r="P14" s="143"/>
      <c r="Q14" s="143"/>
      <c r="R14" s="135"/>
      <c r="S14" s="118"/>
      <c r="T14" s="118"/>
      <c r="W14" s="118"/>
    </row>
    <row r="15" spans="1:23" ht="17.25" customHeight="1" x14ac:dyDescent="0.2">
      <c r="A15" s="136">
        <v>12</v>
      </c>
      <c r="B15" s="137">
        <v>45570</v>
      </c>
      <c r="C15" s="138">
        <v>2.9166666666666664E-2</v>
      </c>
      <c r="D15" s="131" t="s">
        <v>114</v>
      </c>
      <c r="E15" s="139">
        <v>781703</v>
      </c>
      <c r="F15" s="139">
        <v>19893</v>
      </c>
      <c r="G15" s="140">
        <v>70</v>
      </c>
      <c r="H15" s="132" t="s">
        <v>116</v>
      </c>
      <c r="I15" s="141" t="s">
        <v>156</v>
      </c>
      <c r="J15" s="133" t="s">
        <v>143</v>
      </c>
      <c r="K15" s="118"/>
      <c r="L15" s="118"/>
      <c r="M15" s="135"/>
      <c r="N15" s="135"/>
      <c r="O15" s="143"/>
      <c r="P15" s="143"/>
      <c r="Q15" s="143"/>
      <c r="R15" s="135"/>
      <c r="S15" s="118"/>
      <c r="T15" s="118"/>
      <c r="W15" s="118"/>
    </row>
    <row r="16" spans="1:23" ht="17.25" customHeight="1" x14ac:dyDescent="0.2">
      <c r="A16" s="136">
        <v>13</v>
      </c>
      <c r="B16" s="137">
        <v>45570</v>
      </c>
      <c r="C16" s="138">
        <v>3.888888888888889E-2</v>
      </c>
      <c r="D16" s="131" t="s">
        <v>114</v>
      </c>
      <c r="E16" s="139">
        <v>781706</v>
      </c>
      <c r="F16" s="139">
        <v>19889</v>
      </c>
      <c r="G16" s="140">
        <v>70</v>
      </c>
      <c r="H16" s="132" t="s">
        <v>116</v>
      </c>
      <c r="I16" s="141" t="s">
        <v>157</v>
      </c>
      <c r="J16" s="133" t="s">
        <v>143</v>
      </c>
      <c r="K16" s="118"/>
      <c r="L16" s="118"/>
      <c r="M16" s="135"/>
      <c r="N16" s="135"/>
      <c r="O16" s="143"/>
      <c r="P16" s="143"/>
      <c r="Q16" s="143"/>
      <c r="R16" s="135"/>
      <c r="S16" s="118"/>
      <c r="T16" s="118"/>
      <c r="W16" s="118"/>
    </row>
    <row r="17" spans="1:23" ht="17.25" customHeight="1" x14ac:dyDescent="0.2">
      <c r="A17" s="136">
        <v>14</v>
      </c>
      <c r="B17" s="137">
        <v>45570</v>
      </c>
      <c r="C17" s="138">
        <v>9.4444444444444442E-2</v>
      </c>
      <c r="D17" s="131" t="s">
        <v>114</v>
      </c>
      <c r="E17" s="139">
        <v>781724</v>
      </c>
      <c r="F17" s="139">
        <v>19882</v>
      </c>
      <c r="G17" s="140">
        <v>100</v>
      </c>
      <c r="H17" s="132" t="s">
        <v>116</v>
      </c>
      <c r="I17" s="141" t="s">
        <v>158</v>
      </c>
      <c r="J17" s="133" t="s">
        <v>143</v>
      </c>
      <c r="K17" s="118"/>
      <c r="L17" s="118"/>
      <c r="M17" s="135"/>
      <c r="N17" s="135"/>
      <c r="O17" s="135"/>
      <c r="P17" s="135"/>
      <c r="Q17" s="135"/>
      <c r="R17" s="135"/>
      <c r="S17" s="118"/>
      <c r="T17" s="118"/>
      <c r="W17" s="118"/>
    </row>
    <row r="18" spans="1:23" ht="17.25" customHeight="1" x14ac:dyDescent="0.2">
      <c r="A18" s="136">
        <v>15</v>
      </c>
      <c r="B18" s="137">
        <v>45570</v>
      </c>
      <c r="C18" s="138">
        <v>0.2902777777777778</v>
      </c>
      <c r="D18" s="131" t="s">
        <v>114</v>
      </c>
      <c r="E18" s="139">
        <v>781753</v>
      </c>
      <c r="F18" s="139">
        <v>19869</v>
      </c>
      <c r="G18" s="140">
        <v>160</v>
      </c>
      <c r="H18" s="132" t="s">
        <v>116</v>
      </c>
      <c r="I18" s="141" t="s">
        <v>159</v>
      </c>
      <c r="J18" s="133" t="s">
        <v>143</v>
      </c>
      <c r="K18" s="118"/>
      <c r="L18" s="118"/>
      <c r="M18" s="135"/>
      <c r="N18" s="135"/>
      <c r="O18" s="135"/>
      <c r="P18" s="135"/>
      <c r="Q18" s="135"/>
      <c r="R18" s="135"/>
      <c r="S18" s="118"/>
      <c r="T18" s="118"/>
      <c r="W18" s="118"/>
    </row>
    <row r="19" spans="1:23" ht="17.25" customHeight="1" x14ac:dyDescent="0.2">
      <c r="A19" s="136">
        <v>16</v>
      </c>
      <c r="B19" s="137">
        <v>45570</v>
      </c>
      <c r="C19" s="138" t="s">
        <v>160</v>
      </c>
      <c r="D19" s="131" t="s">
        <v>114</v>
      </c>
      <c r="E19" s="139">
        <v>781908</v>
      </c>
      <c r="F19" s="139">
        <v>2429</v>
      </c>
      <c r="G19" s="140">
        <v>100</v>
      </c>
      <c r="H19" s="132" t="s">
        <v>116</v>
      </c>
      <c r="I19" s="141" t="s">
        <v>161</v>
      </c>
      <c r="J19" s="133" t="s">
        <v>162</v>
      </c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</row>
    <row r="20" spans="1:23" ht="17.25" customHeight="1" x14ac:dyDescent="0.2">
      <c r="A20" s="136">
        <v>17</v>
      </c>
      <c r="B20" s="137">
        <v>45570</v>
      </c>
      <c r="C20" s="138" t="s">
        <v>163</v>
      </c>
      <c r="D20" s="131" t="s">
        <v>114</v>
      </c>
      <c r="E20" s="139">
        <v>63009</v>
      </c>
      <c r="F20" s="139">
        <v>2339</v>
      </c>
      <c r="G20" s="140">
        <v>2240</v>
      </c>
      <c r="H20" s="132" t="s">
        <v>110</v>
      </c>
      <c r="I20" s="141" t="s">
        <v>164</v>
      </c>
      <c r="J20" s="133" t="s">
        <v>165</v>
      </c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</row>
    <row r="21" spans="1:23" ht="17.25" customHeight="1" x14ac:dyDescent="0.2">
      <c r="A21" s="136">
        <v>18</v>
      </c>
      <c r="B21" s="137">
        <v>45570</v>
      </c>
      <c r="C21" s="138">
        <v>0.84861111111111109</v>
      </c>
      <c r="D21" s="131" t="s">
        <v>114</v>
      </c>
      <c r="E21" s="139">
        <v>630111</v>
      </c>
      <c r="F21" s="139">
        <v>19829</v>
      </c>
      <c r="G21" s="140">
        <v>2240</v>
      </c>
      <c r="H21" s="132" t="s">
        <v>110</v>
      </c>
      <c r="I21" s="141" t="s">
        <v>166</v>
      </c>
      <c r="J21" s="133" t="s">
        <v>150</v>
      </c>
      <c r="K21" s="118"/>
      <c r="L21" s="118"/>
      <c r="M21" s="118"/>
      <c r="N21" s="135"/>
      <c r="O21" s="135"/>
      <c r="P21" s="135"/>
      <c r="Q21" s="135"/>
      <c r="R21" s="135"/>
      <c r="S21" s="118"/>
      <c r="T21" s="118"/>
      <c r="U21" s="118"/>
      <c r="V21" s="118"/>
      <c r="W21" s="118"/>
    </row>
    <row r="22" spans="1:23" ht="17.25" customHeight="1" x14ac:dyDescent="0.2">
      <c r="A22" s="136">
        <v>19</v>
      </c>
      <c r="B22" s="137">
        <v>45571</v>
      </c>
      <c r="C22" s="138">
        <v>8.819444444444445E-2</v>
      </c>
      <c r="D22" s="131" t="s">
        <v>114</v>
      </c>
      <c r="E22" s="139">
        <v>630234</v>
      </c>
      <c r="F22" s="139">
        <v>2308</v>
      </c>
      <c r="G22" s="140">
        <v>75</v>
      </c>
      <c r="H22" s="132" t="s">
        <v>113</v>
      </c>
      <c r="I22" s="141" t="s">
        <v>167</v>
      </c>
      <c r="J22" s="133" t="s">
        <v>150</v>
      </c>
      <c r="K22" s="118"/>
      <c r="L22" s="118"/>
      <c r="M22" s="118"/>
      <c r="N22" s="135"/>
      <c r="O22" s="135"/>
      <c r="P22" s="135"/>
      <c r="Q22" s="135"/>
      <c r="R22" s="135"/>
      <c r="S22" s="118"/>
      <c r="T22" s="118"/>
      <c r="U22" s="118"/>
      <c r="V22" s="118"/>
      <c r="W22" s="118"/>
    </row>
    <row r="23" spans="1:23" ht="17.25" customHeight="1" x14ac:dyDescent="0.2">
      <c r="A23" s="136">
        <v>20</v>
      </c>
      <c r="B23" s="137">
        <v>45571</v>
      </c>
      <c r="C23" s="138">
        <v>0.64166666666666672</v>
      </c>
      <c r="D23" s="131" t="s">
        <v>114</v>
      </c>
      <c r="E23" s="139">
        <v>632517</v>
      </c>
      <c r="F23" s="139">
        <v>19880</v>
      </c>
      <c r="G23" s="140">
        <v>2765</v>
      </c>
      <c r="H23" s="132" t="s">
        <v>110</v>
      </c>
      <c r="I23" s="141" t="s">
        <v>169</v>
      </c>
      <c r="J23" s="133" t="s">
        <v>170</v>
      </c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</row>
    <row r="24" spans="1:23" ht="17.25" customHeight="1" x14ac:dyDescent="0.2">
      <c r="A24" s="136">
        <v>21</v>
      </c>
      <c r="B24" s="137">
        <v>45571</v>
      </c>
      <c r="C24" s="138">
        <v>0.82291666666666663</v>
      </c>
      <c r="D24" s="131" t="s">
        <v>114</v>
      </c>
      <c r="E24" s="139">
        <v>632588</v>
      </c>
      <c r="F24" s="139">
        <v>19864</v>
      </c>
      <c r="G24" s="140">
        <v>70</v>
      </c>
      <c r="H24" s="132" t="s">
        <v>116</v>
      </c>
      <c r="I24" s="141"/>
      <c r="J24" s="133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</row>
    <row r="25" spans="1:23" ht="17.25" customHeight="1" x14ac:dyDescent="0.2">
      <c r="A25" s="136">
        <v>22</v>
      </c>
      <c r="B25" s="137">
        <v>45571</v>
      </c>
      <c r="C25" s="138" t="s">
        <v>171</v>
      </c>
      <c r="D25" s="131" t="s">
        <v>114</v>
      </c>
      <c r="E25" s="139">
        <v>632612</v>
      </c>
      <c r="F25" s="139">
        <v>19870</v>
      </c>
      <c r="G25" s="140">
        <v>1400</v>
      </c>
      <c r="H25" s="132" t="s">
        <v>110</v>
      </c>
      <c r="I25" s="141" t="s">
        <v>172</v>
      </c>
      <c r="J25" s="133" t="s">
        <v>165</v>
      </c>
      <c r="K25" s="118"/>
      <c r="L25" s="118"/>
      <c r="M25" s="118"/>
      <c r="N25" s="118"/>
      <c r="O25" s="118"/>
      <c r="P25" s="118"/>
      <c r="Q25" s="118"/>
      <c r="R25" s="118"/>
      <c r="S25" s="118"/>
      <c r="T25" s="118"/>
    </row>
    <row r="26" spans="1:23" ht="17.25" customHeight="1" x14ac:dyDescent="0.2">
      <c r="A26" s="136">
        <v>23</v>
      </c>
      <c r="B26" s="137">
        <v>45571</v>
      </c>
      <c r="C26" s="138" t="s">
        <v>173</v>
      </c>
      <c r="D26" s="131" t="s">
        <v>114</v>
      </c>
      <c r="E26" s="139">
        <v>632688</v>
      </c>
      <c r="F26" s="139">
        <v>2365</v>
      </c>
      <c r="G26" s="140">
        <v>810</v>
      </c>
      <c r="H26" s="132" t="s">
        <v>113</v>
      </c>
      <c r="I26" s="141" t="s">
        <v>168</v>
      </c>
      <c r="J26" s="133" t="s">
        <v>165</v>
      </c>
      <c r="K26" s="118"/>
      <c r="L26" s="118"/>
      <c r="M26" s="118"/>
      <c r="N26" s="118"/>
      <c r="O26" s="118"/>
      <c r="P26" s="118"/>
      <c r="Q26" s="118"/>
      <c r="R26" s="118"/>
      <c r="S26" s="118"/>
      <c r="T26" s="118"/>
    </row>
    <row r="27" spans="1:23" ht="17.25" customHeight="1" x14ac:dyDescent="0.2">
      <c r="A27" s="136">
        <v>24</v>
      </c>
      <c r="B27" s="137">
        <v>45572</v>
      </c>
      <c r="C27" s="138">
        <v>0.41805555555555557</v>
      </c>
      <c r="D27" s="131" t="s">
        <v>114</v>
      </c>
      <c r="E27" s="139">
        <v>632736</v>
      </c>
      <c r="F27" s="139">
        <v>19878</v>
      </c>
      <c r="G27" s="140">
        <v>2240</v>
      </c>
      <c r="H27" s="132" t="s">
        <v>110</v>
      </c>
      <c r="I27" s="141" t="s">
        <v>174</v>
      </c>
      <c r="J27" s="133" t="s">
        <v>143</v>
      </c>
      <c r="K27" s="118"/>
      <c r="L27" s="118"/>
      <c r="M27" s="118"/>
      <c r="N27" s="118"/>
      <c r="O27" s="118"/>
      <c r="P27" s="118"/>
      <c r="Q27" s="118"/>
      <c r="R27" s="118"/>
      <c r="S27" s="118"/>
      <c r="T27" s="118"/>
    </row>
    <row r="28" spans="1:23" ht="17.25" customHeight="1" x14ac:dyDescent="0.2">
      <c r="A28" s="136">
        <v>25</v>
      </c>
      <c r="B28" s="137">
        <v>45573</v>
      </c>
      <c r="C28" s="138">
        <v>0.86041666666666661</v>
      </c>
      <c r="D28" s="131" t="s">
        <v>114</v>
      </c>
      <c r="E28" s="139">
        <v>6322210</v>
      </c>
      <c r="F28" s="139">
        <v>19873</v>
      </c>
      <c r="G28" s="140">
        <v>220</v>
      </c>
      <c r="H28" s="132" t="s">
        <v>116</v>
      </c>
      <c r="I28" s="141" t="s">
        <v>175</v>
      </c>
      <c r="J28" s="133" t="s">
        <v>143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</row>
    <row r="29" spans="1:23" ht="17.25" customHeight="1" x14ac:dyDescent="0.2">
      <c r="A29" s="136">
        <v>26</v>
      </c>
      <c r="B29" s="137">
        <v>45574</v>
      </c>
      <c r="C29" s="138">
        <v>0.90694444444444444</v>
      </c>
      <c r="D29" s="131" t="s">
        <v>114</v>
      </c>
      <c r="E29" s="139">
        <v>628143</v>
      </c>
      <c r="F29" s="139">
        <v>19860</v>
      </c>
      <c r="G29" s="140">
        <v>1400</v>
      </c>
      <c r="H29" s="132" t="s">
        <v>116</v>
      </c>
      <c r="I29" s="141" t="s">
        <v>176</v>
      </c>
      <c r="J29" s="133" t="s">
        <v>145</v>
      </c>
      <c r="K29" s="118"/>
      <c r="L29" s="118"/>
      <c r="M29" s="118"/>
      <c r="N29" s="118"/>
      <c r="O29" s="118"/>
      <c r="P29" s="118"/>
      <c r="Q29" s="118"/>
      <c r="R29" s="118"/>
      <c r="S29" s="118"/>
      <c r="T29" s="118"/>
    </row>
    <row r="30" spans="1:23" ht="17.25" customHeight="1" x14ac:dyDescent="0.2">
      <c r="A30" s="136">
        <v>27</v>
      </c>
      <c r="B30" s="137">
        <v>45575</v>
      </c>
      <c r="C30" s="138">
        <v>0.40972222222222227</v>
      </c>
      <c r="D30" s="131" t="s">
        <v>114</v>
      </c>
      <c r="E30" s="139">
        <v>628232</v>
      </c>
      <c r="F30" s="139">
        <v>19861</v>
      </c>
      <c r="G30" s="140">
        <v>2765</v>
      </c>
      <c r="H30" s="132" t="s">
        <v>110</v>
      </c>
      <c r="I30" s="141" t="s">
        <v>169</v>
      </c>
      <c r="J30" s="133" t="s">
        <v>170</v>
      </c>
      <c r="K30" s="118"/>
      <c r="L30" s="118"/>
      <c r="M30" s="118"/>
      <c r="N30" s="118"/>
      <c r="O30" s="118"/>
      <c r="P30" s="118"/>
      <c r="Q30" s="118"/>
      <c r="R30" s="118"/>
      <c r="S30" s="118"/>
      <c r="T30" s="118"/>
    </row>
    <row r="31" spans="1:23" ht="17.25" customHeight="1" x14ac:dyDescent="0.2">
      <c r="A31" s="136">
        <v>28</v>
      </c>
      <c r="B31" s="137">
        <v>45575</v>
      </c>
      <c r="C31" s="138">
        <v>0.50763888888888886</v>
      </c>
      <c r="D31" s="131" t="s">
        <v>114</v>
      </c>
      <c r="E31" s="139">
        <v>628279</v>
      </c>
      <c r="F31" s="139">
        <v>2371</v>
      </c>
      <c r="G31" s="140">
        <v>50</v>
      </c>
      <c r="H31" s="132" t="s">
        <v>113</v>
      </c>
      <c r="I31" s="141" t="s">
        <v>168</v>
      </c>
      <c r="J31" s="133" t="s">
        <v>170</v>
      </c>
      <c r="O31" s="118"/>
      <c r="P31" s="118"/>
      <c r="Q31" s="118"/>
      <c r="R31" s="118"/>
      <c r="S31" s="118"/>
    </row>
    <row r="32" spans="1:23" ht="17.25" customHeight="1" x14ac:dyDescent="0.2">
      <c r="A32" s="136">
        <v>29</v>
      </c>
      <c r="B32" s="137">
        <v>45577</v>
      </c>
      <c r="C32" s="138">
        <v>4.8611111111111112E-2</v>
      </c>
      <c r="D32" s="131" t="s">
        <v>114</v>
      </c>
      <c r="E32" s="139">
        <v>649355</v>
      </c>
      <c r="F32" s="139">
        <v>19809</v>
      </c>
      <c r="G32" s="140">
        <v>100</v>
      </c>
      <c r="H32" s="132" t="s">
        <v>116</v>
      </c>
      <c r="I32" s="141" t="s">
        <v>177</v>
      </c>
      <c r="J32" s="133" t="s">
        <v>170</v>
      </c>
      <c r="O32" s="118"/>
      <c r="P32" s="118"/>
      <c r="Q32" s="118"/>
      <c r="R32" s="118"/>
      <c r="S32" s="118"/>
    </row>
    <row r="33" spans="1:19" ht="17.25" customHeight="1" x14ac:dyDescent="0.2">
      <c r="A33" s="136">
        <v>30</v>
      </c>
      <c r="B33" s="137">
        <v>45577</v>
      </c>
      <c r="C33" s="138">
        <v>0.79999999999999993</v>
      </c>
      <c r="D33" s="131" t="s">
        <v>114</v>
      </c>
      <c r="E33" s="139">
        <v>622140</v>
      </c>
      <c r="F33" s="139">
        <v>19884</v>
      </c>
      <c r="G33" s="140">
        <v>1400</v>
      </c>
      <c r="H33" s="132" t="s">
        <v>110</v>
      </c>
      <c r="I33" s="141" t="s">
        <v>178</v>
      </c>
      <c r="J33" s="133" t="s">
        <v>150</v>
      </c>
      <c r="O33" s="118"/>
      <c r="P33" s="118"/>
      <c r="Q33" s="118"/>
      <c r="R33" s="118"/>
      <c r="S33" s="118"/>
    </row>
    <row r="34" spans="1:19" ht="17.25" customHeight="1" x14ac:dyDescent="0.2">
      <c r="A34" s="136">
        <v>31</v>
      </c>
      <c r="B34" s="137">
        <v>45577</v>
      </c>
      <c r="C34" s="138">
        <v>0.80972222222222223</v>
      </c>
      <c r="D34" s="131" t="s">
        <v>114</v>
      </c>
      <c r="E34" s="139">
        <v>622145</v>
      </c>
      <c r="F34" s="139">
        <v>19862</v>
      </c>
      <c r="G34" s="140">
        <v>1760</v>
      </c>
      <c r="H34" s="132" t="s">
        <v>110</v>
      </c>
      <c r="I34" s="141" t="s">
        <v>179</v>
      </c>
      <c r="J34" s="133" t="s">
        <v>150</v>
      </c>
      <c r="O34" s="118"/>
      <c r="P34" s="118"/>
      <c r="Q34" s="118"/>
      <c r="R34" s="118"/>
      <c r="S34" s="118"/>
    </row>
    <row r="35" spans="1:19" ht="17.25" customHeight="1" x14ac:dyDescent="0.2">
      <c r="A35" s="136">
        <v>32</v>
      </c>
      <c r="B35" s="137">
        <v>45578</v>
      </c>
      <c r="C35" s="138">
        <v>0.63611111111111118</v>
      </c>
      <c r="D35" s="131" t="s">
        <v>114</v>
      </c>
      <c r="E35" s="139">
        <v>646768</v>
      </c>
      <c r="F35" s="139">
        <v>19801</v>
      </c>
      <c r="G35" s="140">
        <v>100</v>
      </c>
      <c r="H35" s="132" t="s">
        <v>113</v>
      </c>
      <c r="I35" s="141" t="s">
        <v>142</v>
      </c>
      <c r="J35" s="133" t="s">
        <v>165</v>
      </c>
      <c r="O35" s="118"/>
      <c r="P35" s="118"/>
      <c r="Q35" s="118"/>
      <c r="R35" s="118"/>
      <c r="S35" s="118"/>
    </row>
    <row r="36" spans="1:19" ht="17.25" customHeight="1" x14ac:dyDescent="0.2">
      <c r="A36" s="136">
        <v>33</v>
      </c>
      <c r="B36" s="137">
        <v>45578</v>
      </c>
      <c r="C36" s="138">
        <v>5</v>
      </c>
      <c r="D36" s="131" t="s">
        <v>114</v>
      </c>
      <c r="E36" s="139">
        <v>630745</v>
      </c>
      <c r="F36" s="139">
        <v>2364</v>
      </c>
      <c r="G36" s="140">
        <v>175</v>
      </c>
      <c r="H36" s="132" t="s">
        <v>113</v>
      </c>
      <c r="I36" s="141" t="s">
        <v>168</v>
      </c>
      <c r="J36" s="133" t="s">
        <v>150</v>
      </c>
      <c r="O36" s="118"/>
      <c r="P36" s="118"/>
      <c r="Q36" s="118"/>
      <c r="R36" s="118"/>
      <c r="S36" s="118"/>
    </row>
    <row r="37" spans="1:19" ht="17.25" customHeight="1" x14ac:dyDescent="0.2">
      <c r="A37" s="136">
        <v>34</v>
      </c>
      <c r="B37" s="137">
        <v>45579</v>
      </c>
      <c r="C37" s="138">
        <v>0.70624999999999993</v>
      </c>
      <c r="D37" s="131" t="s">
        <v>114</v>
      </c>
      <c r="E37" s="139">
        <v>630944</v>
      </c>
      <c r="F37" s="139">
        <v>19872</v>
      </c>
      <c r="G37" s="140">
        <v>2240</v>
      </c>
      <c r="H37" s="132" t="s">
        <v>110</v>
      </c>
      <c r="I37" s="141" t="s">
        <v>180</v>
      </c>
      <c r="J37" s="133" t="s">
        <v>170</v>
      </c>
      <c r="O37" s="118"/>
      <c r="P37" s="118"/>
      <c r="Q37" s="118"/>
      <c r="R37" s="118"/>
      <c r="S37" s="118"/>
    </row>
    <row r="38" spans="1:19" ht="17.25" customHeight="1" x14ac:dyDescent="0.2">
      <c r="A38" s="136">
        <v>35</v>
      </c>
      <c r="B38" s="137">
        <v>45579</v>
      </c>
      <c r="C38" s="138" t="s">
        <v>181</v>
      </c>
      <c r="D38" s="131" t="s">
        <v>114</v>
      </c>
      <c r="E38" s="139">
        <v>622511</v>
      </c>
      <c r="F38" s="139">
        <v>2465</v>
      </c>
      <c r="G38" s="140">
        <v>50</v>
      </c>
      <c r="H38" s="132" t="s">
        <v>113</v>
      </c>
      <c r="I38" s="141" t="s">
        <v>168</v>
      </c>
      <c r="J38" s="133" t="s">
        <v>165</v>
      </c>
      <c r="O38" s="118"/>
      <c r="P38" s="118"/>
      <c r="Q38" s="118"/>
      <c r="R38" s="118"/>
      <c r="S38" s="118"/>
    </row>
    <row r="39" spans="1:19" ht="17.25" customHeight="1" x14ac:dyDescent="0.2">
      <c r="A39" s="136">
        <v>36</v>
      </c>
      <c r="B39" s="137">
        <v>45580</v>
      </c>
      <c r="C39" s="138">
        <v>0.84652777777777777</v>
      </c>
      <c r="D39" s="131" t="s">
        <v>114</v>
      </c>
      <c r="E39" s="139">
        <v>622781</v>
      </c>
      <c r="F39" s="139">
        <v>19862</v>
      </c>
      <c r="G39" s="140">
        <v>1400</v>
      </c>
      <c r="H39" s="132" t="s">
        <v>110</v>
      </c>
      <c r="I39" s="141" t="s">
        <v>179</v>
      </c>
      <c r="J39" s="133" t="s">
        <v>170</v>
      </c>
      <c r="O39" s="118"/>
      <c r="P39" s="118"/>
      <c r="Q39" s="118"/>
      <c r="R39" s="118"/>
      <c r="S39" s="118"/>
    </row>
    <row r="40" spans="1:19" ht="17.25" customHeight="1" x14ac:dyDescent="0.2">
      <c r="A40" s="136">
        <v>37</v>
      </c>
      <c r="B40" s="137">
        <v>45581</v>
      </c>
      <c r="C40" s="138">
        <v>4.5138888888888888E-2</v>
      </c>
      <c r="D40" s="131" t="s">
        <v>114</v>
      </c>
      <c r="E40" s="139">
        <v>622893</v>
      </c>
      <c r="F40" s="139">
        <v>2477</v>
      </c>
      <c r="G40" s="140">
        <v>70</v>
      </c>
      <c r="H40" s="132" t="s">
        <v>113</v>
      </c>
      <c r="I40" s="141" t="s">
        <v>183</v>
      </c>
      <c r="J40" s="133" t="s">
        <v>170</v>
      </c>
      <c r="O40" s="118"/>
      <c r="P40" s="118"/>
      <c r="Q40" s="118"/>
      <c r="R40" s="118"/>
      <c r="S40" s="118"/>
    </row>
    <row r="41" spans="1:19" ht="17.25" customHeight="1" x14ac:dyDescent="0.2">
      <c r="A41" s="136">
        <v>38</v>
      </c>
      <c r="B41" s="137">
        <v>45581</v>
      </c>
      <c r="C41" s="138">
        <v>0.58194444444444449</v>
      </c>
      <c r="D41" s="131" t="s">
        <v>114</v>
      </c>
      <c r="E41" s="139">
        <v>653981</v>
      </c>
      <c r="F41" s="139">
        <v>19895</v>
      </c>
      <c r="G41" s="140">
        <v>100</v>
      </c>
      <c r="H41" s="132" t="s">
        <v>113</v>
      </c>
      <c r="I41" s="141" t="s">
        <v>182</v>
      </c>
      <c r="J41" s="133" t="s">
        <v>145</v>
      </c>
      <c r="O41" s="118"/>
      <c r="P41" s="118"/>
      <c r="Q41" s="118"/>
      <c r="R41" s="118"/>
      <c r="S41" s="118"/>
    </row>
    <row r="42" spans="1:19" ht="17.25" customHeight="1" x14ac:dyDescent="0.2">
      <c r="A42" s="136">
        <v>39</v>
      </c>
      <c r="B42" s="137">
        <v>45582</v>
      </c>
      <c r="C42" s="138">
        <v>0.30972222222222223</v>
      </c>
      <c r="D42" s="131" t="s">
        <v>114</v>
      </c>
      <c r="E42" s="139">
        <v>623247</v>
      </c>
      <c r="F42" s="139">
        <v>19881</v>
      </c>
      <c r="G42" s="140">
        <v>120</v>
      </c>
      <c r="H42" s="132" t="s">
        <v>113</v>
      </c>
      <c r="I42" s="141" t="s">
        <v>182</v>
      </c>
      <c r="J42" s="133" t="s">
        <v>143</v>
      </c>
      <c r="O42" s="118"/>
      <c r="P42" s="118"/>
      <c r="Q42" s="118"/>
      <c r="R42" s="118"/>
      <c r="S42" s="118"/>
    </row>
    <row r="43" spans="1:19" ht="17.25" customHeight="1" x14ac:dyDescent="0.2">
      <c r="A43" s="136">
        <v>39</v>
      </c>
      <c r="B43" s="137">
        <v>45582</v>
      </c>
      <c r="C43" s="138">
        <v>0.95347222222222217</v>
      </c>
      <c r="D43" s="131" t="s">
        <v>114</v>
      </c>
      <c r="E43" s="139">
        <v>623490</v>
      </c>
      <c r="F43" s="139">
        <v>19821</v>
      </c>
      <c r="G43" s="140">
        <v>1525</v>
      </c>
      <c r="H43" s="132" t="s">
        <v>113</v>
      </c>
      <c r="I43" s="141" t="s">
        <v>182</v>
      </c>
      <c r="J43" s="133" t="s">
        <v>143</v>
      </c>
      <c r="O43" s="118"/>
      <c r="P43" s="118"/>
      <c r="Q43" s="118"/>
      <c r="R43" s="118"/>
      <c r="S43" s="118"/>
    </row>
    <row r="44" spans="1:19" ht="17.25" customHeight="1" x14ac:dyDescent="0.2">
      <c r="A44" s="136">
        <v>40</v>
      </c>
      <c r="B44" s="137">
        <v>45583</v>
      </c>
      <c r="C44" s="138">
        <v>0.95416666666666661</v>
      </c>
      <c r="D44" s="131" t="s">
        <v>114</v>
      </c>
      <c r="E44" s="139">
        <v>730741</v>
      </c>
      <c r="F44" s="139">
        <v>19873</v>
      </c>
      <c r="G44" s="140">
        <v>175</v>
      </c>
      <c r="H44" s="132" t="s">
        <v>113</v>
      </c>
      <c r="I44" s="141" t="s">
        <v>182</v>
      </c>
      <c r="J44" s="133" t="s">
        <v>148</v>
      </c>
    </row>
    <row r="45" spans="1:19" ht="17.25" customHeight="1" x14ac:dyDescent="0.2">
      <c r="A45" s="136">
        <v>41</v>
      </c>
      <c r="B45" s="137">
        <v>45584</v>
      </c>
      <c r="C45" s="138">
        <v>8.2638888888888887E-2</v>
      </c>
      <c r="D45" s="131" t="s">
        <v>114</v>
      </c>
      <c r="E45" s="139">
        <v>730808</v>
      </c>
      <c r="F45" s="139">
        <v>19894</v>
      </c>
      <c r="G45" s="140">
        <v>100</v>
      </c>
      <c r="H45" s="132" t="s">
        <v>116</v>
      </c>
      <c r="I45" s="141" t="s">
        <v>184</v>
      </c>
      <c r="J45" s="133" t="s">
        <v>148</v>
      </c>
    </row>
    <row r="46" spans="1:19" ht="17.25" customHeight="1" x14ac:dyDescent="0.2">
      <c r="A46" s="136">
        <v>42</v>
      </c>
      <c r="B46" s="137">
        <v>45586</v>
      </c>
      <c r="C46" s="138">
        <v>0.94861111111111107</v>
      </c>
      <c r="D46" s="131" t="s">
        <v>114</v>
      </c>
      <c r="E46" s="139">
        <v>732710</v>
      </c>
      <c r="F46" s="139">
        <v>19835</v>
      </c>
      <c r="G46" s="140">
        <v>50</v>
      </c>
      <c r="H46" s="132" t="s">
        <v>116</v>
      </c>
      <c r="I46" s="141" t="s">
        <v>185</v>
      </c>
      <c r="J46" s="133" t="s">
        <v>150</v>
      </c>
    </row>
    <row r="47" spans="1:19" ht="17.25" customHeight="1" x14ac:dyDescent="0.2">
      <c r="A47" s="136">
        <v>43</v>
      </c>
      <c r="B47" s="137">
        <v>45587</v>
      </c>
      <c r="C47" s="138" t="s">
        <v>186</v>
      </c>
      <c r="D47" s="131" t="s">
        <v>114</v>
      </c>
      <c r="E47" s="139">
        <v>732838</v>
      </c>
      <c r="F47" s="139">
        <v>19883</v>
      </c>
      <c r="G47" s="140">
        <v>100</v>
      </c>
      <c r="H47" s="132" t="s">
        <v>113</v>
      </c>
      <c r="I47" s="141" t="s">
        <v>187</v>
      </c>
      <c r="J47" s="133" t="s">
        <v>165</v>
      </c>
    </row>
    <row r="48" spans="1:19" ht="17.25" customHeight="1" x14ac:dyDescent="0.2">
      <c r="A48" s="136">
        <v>44</v>
      </c>
      <c r="B48" s="137">
        <v>45587</v>
      </c>
      <c r="C48" s="138" t="s">
        <v>188</v>
      </c>
      <c r="D48" s="131" t="s">
        <v>114</v>
      </c>
      <c r="E48" s="139">
        <v>732903</v>
      </c>
      <c r="F48" s="139">
        <v>19861</v>
      </c>
      <c r="G48" s="140">
        <v>1400</v>
      </c>
      <c r="H48" s="132" t="s">
        <v>110</v>
      </c>
      <c r="I48" s="141" t="s">
        <v>179</v>
      </c>
      <c r="J48" s="133" t="s">
        <v>165</v>
      </c>
    </row>
    <row r="49" spans="1:10" ht="17.25" customHeight="1" x14ac:dyDescent="0.2">
      <c r="A49" s="136">
        <v>45</v>
      </c>
      <c r="B49" s="137">
        <v>45588</v>
      </c>
      <c r="C49" s="138">
        <v>0.50624999999999998</v>
      </c>
      <c r="D49" s="131" t="s">
        <v>114</v>
      </c>
      <c r="E49" s="139">
        <v>732926</v>
      </c>
      <c r="F49" s="139">
        <v>19811</v>
      </c>
      <c r="G49" s="140">
        <v>25</v>
      </c>
      <c r="H49" s="132" t="s">
        <v>110</v>
      </c>
      <c r="I49" s="141" t="s">
        <v>189</v>
      </c>
      <c r="J49" s="133" t="s">
        <v>143</v>
      </c>
    </row>
    <row r="50" spans="1:10" ht="17.25" customHeight="1" x14ac:dyDescent="0.2">
      <c r="A50" s="136">
        <v>46</v>
      </c>
      <c r="B50" s="137">
        <v>45588</v>
      </c>
      <c r="C50" s="138">
        <v>0.72361111111111109</v>
      </c>
      <c r="D50" s="131" t="s">
        <v>114</v>
      </c>
      <c r="E50" s="139">
        <v>721018</v>
      </c>
      <c r="F50" s="139">
        <v>19892</v>
      </c>
      <c r="G50" s="140">
        <v>720</v>
      </c>
      <c r="H50" s="132" t="s">
        <v>110</v>
      </c>
      <c r="I50" s="141" t="s">
        <v>191</v>
      </c>
      <c r="J50" s="133" t="s">
        <v>143</v>
      </c>
    </row>
    <row r="51" spans="1:10" ht="17.25" customHeight="1" x14ac:dyDescent="0.2">
      <c r="A51" s="136">
        <v>47</v>
      </c>
      <c r="B51" s="137">
        <v>45588</v>
      </c>
      <c r="C51" s="138">
        <v>0.72569444444444453</v>
      </c>
      <c r="D51" s="131" t="s">
        <v>114</v>
      </c>
      <c r="E51" s="139">
        <v>721019</v>
      </c>
      <c r="F51" s="139">
        <v>19897</v>
      </c>
      <c r="G51" s="140">
        <v>50</v>
      </c>
      <c r="H51" s="132" t="s">
        <v>110</v>
      </c>
      <c r="I51" s="141" t="s">
        <v>190</v>
      </c>
      <c r="J51" s="133" t="s">
        <v>143</v>
      </c>
    </row>
    <row r="52" spans="1:10" ht="17.25" customHeight="1" x14ac:dyDescent="0.2">
      <c r="A52" s="136">
        <v>48</v>
      </c>
      <c r="B52" s="137"/>
      <c r="C52" s="138"/>
      <c r="D52" s="131"/>
      <c r="E52" s="139"/>
      <c r="F52" s="139"/>
      <c r="G52" s="140"/>
      <c r="H52" s="132"/>
      <c r="I52" s="141"/>
      <c r="J52" s="133"/>
    </row>
    <row r="53" spans="1:10" ht="17.25" customHeight="1" x14ac:dyDescent="0.2">
      <c r="A53" s="136">
        <v>49</v>
      </c>
      <c r="B53" s="137"/>
      <c r="C53" s="138"/>
      <c r="D53" s="131"/>
      <c r="E53" s="139"/>
      <c r="F53" s="139"/>
      <c r="G53" s="140"/>
      <c r="H53" s="132"/>
      <c r="I53" s="141"/>
      <c r="J53" s="133"/>
    </row>
    <row r="54" spans="1:10" ht="17.25" customHeight="1" x14ac:dyDescent="0.2">
      <c r="A54" s="136">
        <v>50</v>
      </c>
      <c r="B54" s="137"/>
      <c r="C54" s="138"/>
      <c r="D54" s="131"/>
      <c r="E54" s="139"/>
      <c r="F54" s="139"/>
      <c r="G54" s="140"/>
      <c r="H54" s="132"/>
      <c r="I54" s="141"/>
      <c r="J54" s="133"/>
    </row>
    <row r="55" spans="1:10" ht="17.25" customHeight="1" x14ac:dyDescent="0.2">
      <c r="A55" s="136">
        <v>51</v>
      </c>
      <c r="B55" s="137"/>
      <c r="C55" s="138"/>
      <c r="D55" s="131"/>
      <c r="E55" s="139"/>
      <c r="F55" s="139"/>
      <c r="G55" s="140"/>
      <c r="H55" s="132"/>
      <c r="I55" s="141"/>
      <c r="J55" s="133"/>
    </row>
    <row r="56" spans="1:10" ht="17.25" customHeight="1" x14ac:dyDescent="0.2">
      <c r="A56" s="136">
        <v>52</v>
      </c>
      <c r="B56" s="137"/>
      <c r="C56" s="138"/>
      <c r="D56" s="131"/>
      <c r="E56" s="139"/>
      <c r="F56" s="139"/>
      <c r="G56" s="140"/>
      <c r="H56" s="132"/>
      <c r="I56" s="141"/>
      <c r="J56" s="133"/>
    </row>
    <row r="57" spans="1:10" ht="17.25" customHeight="1" x14ac:dyDescent="0.2">
      <c r="A57" s="136">
        <v>53</v>
      </c>
      <c r="B57" s="137"/>
      <c r="C57" s="138"/>
      <c r="D57" s="131"/>
      <c r="E57" s="139"/>
      <c r="F57" s="139"/>
      <c r="G57" s="140"/>
      <c r="H57" s="132"/>
      <c r="I57" s="141"/>
      <c r="J57" s="133"/>
    </row>
    <row r="58" spans="1:10" ht="17.25" customHeight="1" x14ac:dyDescent="0.2">
      <c r="A58" s="136">
        <v>54</v>
      </c>
      <c r="B58" s="137"/>
      <c r="C58" s="138"/>
      <c r="D58" s="131"/>
      <c r="E58" s="139"/>
      <c r="F58" s="139"/>
      <c r="G58" s="140"/>
      <c r="H58" s="132"/>
      <c r="I58" s="141"/>
      <c r="J58" s="133"/>
    </row>
    <row r="59" spans="1:10" ht="17.25" customHeight="1" x14ac:dyDescent="0.2">
      <c r="A59" s="136">
        <v>55</v>
      </c>
      <c r="B59" s="137"/>
      <c r="C59" s="138"/>
      <c r="D59" s="131"/>
      <c r="E59" s="139"/>
      <c r="F59" s="139"/>
      <c r="G59" s="140"/>
      <c r="H59" s="132"/>
      <c r="I59" s="141"/>
      <c r="J59" s="133"/>
    </row>
    <row r="60" spans="1:10" ht="17.25" customHeight="1" x14ac:dyDescent="0.2">
      <c r="A60" s="136">
        <v>56</v>
      </c>
      <c r="B60" s="137"/>
      <c r="C60" s="138"/>
      <c r="D60" s="131"/>
      <c r="E60" s="139"/>
      <c r="F60" s="139"/>
      <c r="G60" s="140"/>
      <c r="H60" s="132"/>
      <c r="I60" s="141"/>
      <c r="J60" s="133"/>
    </row>
    <row r="61" spans="1:10" ht="17.25" customHeight="1" x14ac:dyDescent="0.2">
      <c r="A61" s="136">
        <v>57</v>
      </c>
      <c r="B61" s="137"/>
      <c r="C61" s="138"/>
      <c r="D61" s="131"/>
      <c r="E61" s="139"/>
      <c r="F61" s="139"/>
      <c r="G61" s="140"/>
      <c r="H61" s="132"/>
      <c r="I61" s="141"/>
      <c r="J61" s="133"/>
    </row>
    <row r="62" spans="1:10" ht="17.25" customHeight="1" x14ac:dyDescent="0.2">
      <c r="A62" s="136">
        <v>58</v>
      </c>
      <c r="B62" s="137"/>
      <c r="C62" s="138"/>
      <c r="D62" s="131"/>
      <c r="E62" s="139"/>
      <c r="F62" s="139"/>
      <c r="G62" s="140"/>
      <c r="H62" s="132"/>
      <c r="I62" s="141"/>
      <c r="J62" s="133"/>
    </row>
    <row r="63" spans="1:10" ht="17.25" customHeight="1" x14ac:dyDescent="0.2">
      <c r="A63" s="136">
        <v>59</v>
      </c>
      <c r="B63" s="137"/>
      <c r="C63" s="138"/>
      <c r="D63" s="131"/>
      <c r="E63" s="139"/>
      <c r="F63" s="139"/>
      <c r="G63" s="140"/>
      <c r="H63" s="132"/>
      <c r="I63" s="141"/>
      <c r="J63" s="133"/>
    </row>
    <row r="64" spans="1:10" ht="17.25" customHeight="1" x14ac:dyDescent="0.2">
      <c r="A64" s="136">
        <v>60</v>
      </c>
      <c r="B64" s="137"/>
      <c r="C64" s="138"/>
      <c r="D64" s="131"/>
      <c r="E64" s="139"/>
      <c r="F64" s="139"/>
      <c r="G64" s="140"/>
      <c r="H64" s="132"/>
      <c r="I64" s="141"/>
      <c r="J64" s="133"/>
    </row>
    <row r="65" spans="1:10" ht="17.25" customHeight="1" x14ac:dyDescent="0.2">
      <c r="A65" s="136">
        <v>61</v>
      </c>
      <c r="B65" s="137"/>
      <c r="C65" s="138"/>
      <c r="D65" s="131"/>
      <c r="E65" s="139"/>
      <c r="F65" s="139"/>
      <c r="G65" s="140"/>
      <c r="H65" s="132"/>
      <c r="I65" s="141"/>
      <c r="J65" s="133"/>
    </row>
    <row r="66" spans="1:10" ht="17.25" customHeight="1" x14ac:dyDescent="0.2">
      <c r="A66" s="136">
        <v>62</v>
      </c>
      <c r="B66" s="137"/>
      <c r="C66" s="138"/>
      <c r="D66" s="131"/>
      <c r="E66" s="139"/>
      <c r="F66" s="139"/>
      <c r="G66" s="140"/>
      <c r="H66" s="132"/>
      <c r="I66" s="141"/>
      <c r="J66" s="133"/>
    </row>
    <row r="67" spans="1:10" ht="17.25" customHeight="1" x14ac:dyDescent="0.2">
      <c r="A67" s="136">
        <v>63</v>
      </c>
      <c r="B67" s="137"/>
      <c r="C67" s="357"/>
      <c r="D67" s="131"/>
      <c r="E67" s="139"/>
      <c r="F67" s="139"/>
      <c r="G67" s="140"/>
      <c r="H67" s="132"/>
      <c r="I67" s="141"/>
      <c r="J67" s="133"/>
    </row>
    <row r="68" spans="1:10" ht="17.25" customHeight="1" x14ac:dyDescent="0.2">
      <c r="A68" s="136">
        <v>64</v>
      </c>
      <c r="B68" s="137"/>
      <c r="C68" s="138"/>
      <c r="D68" s="131"/>
      <c r="E68" s="139"/>
      <c r="F68" s="139"/>
      <c r="G68" s="140"/>
      <c r="H68" s="132"/>
      <c r="I68" s="141"/>
      <c r="J68" s="133"/>
    </row>
    <row r="69" spans="1:10" ht="17.25" customHeight="1" x14ac:dyDescent="0.2">
      <c r="A69" s="136">
        <v>65</v>
      </c>
      <c r="B69" s="137"/>
      <c r="C69" s="138"/>
      <c r="D69" s="131"/>
      <c r="E69" s="139"/>
      <c r="F69" s="139"/>
      <c r="G69" s="140"/>
      <c r="H69" s="132"/>
      <c r="I69" s="141"/>
      <c r="J69" s="133"/>
    </row>
    <row r="70" spans="1:10" ht="17.25" customHeight="1" x14ac:dyDescent="0.2">
      <c r="A70" s="136">
        <v>66</v>
      </c>
      <c r="B70" s="137"/>
      <c r="C70" s="138"/>
      <c r="D70" s="131"/>
      <c r="E70" s="139"/>
      <c r="F70" s="139"/>
      <c r="G70" s="140"/>
      <c r="H70" s="132"/>
      <c r="I70" s="141"/>
      <c r="J70" s="133"/>
    </row>
    <row r="71" spans="1:10" ht="17.25" customHeight="1" x14ac:dyDescent="0.2">
      <c r="A71" s="136">
        <v>67</v>
      </c>
      <c r="B71" s="137"/>
      <c r="C71" s="138"/>
      <c r="D71" s="131"/>
      <c r="E71" s="139"/>
      <c r="F71" s="139"/>
      <c r="G71" s="140"/>
      <c r="H71" s="132"/>
      <c r="I71" s="141"/>
      <c r="J71" s="133"/>
    </row>
    <row r="72" spans="1:10" ht="17.25" customHeight="1" x14ac:dyDescent="0.2">
      <c r="A72" s="136">
        <v>68</v>
      </c>
      <c r="B72" s="137"/>
      <c r="C72" s="138"/>
      <c r="D72" s="131"/>
      <c r="E72" s="139"/>
      <c r="F72" s="139"/>
      <c r="G72" s="140"/>
      <c r="H72" s="132"/>
      <c r="I72" s="141"/>
      <c r="J72" s="133"/>
    </row>
    <row r="73" spans="1:10" ht="17.25" customHeight="1" x14ac:dyDescent="0.2">
      <c r="A73" s="136">
        <v>69</v>
      </c>
      <c r="B73" s="137"/>
      <c r="C73" s="138"/>
      <c r="D73" s="131"/>
      <c r="E73" s="139"/>
      <c r="F73" s="139"/>
      <c r="G73" s="140"/>
      <c r="H73" s="132"/>
      <c r="I73" s="141"/>
      <c r="J73" s="133"/>
    </row>
    <row r="74" spans="1:10" ht="17.25" customHeight="1" x14ac:dyDescent="0.2">
      <c r="A74" s="136">
        <v>70</v>
      </c>
      <c r="B74" s="137"/>
      <c r="C74" s="138"/>
      <c r="D74" s="131"/>
      <c r="E74" s="139"/>
      <c r="F74" s="139"/>
      <c r="G74" s="140"/>
      <c r="H74" s="132"/>
      <c r="I74" s="141"/>
      <c r="J74" s="133"/>
    </row>
    <row r="75" spans="1:10" ht="17.25" customHeight="1" x14ac:dyDescent="0.2">
      <c r="A75" s="136">
        <v>71</v>
      </c>
      <c r="B75" s="137"/>
      <c r="C75" s="138"/>
      <c r="D75" s="131"/>
      <c r="E75" s="139"/>
      <c r="F75" s="139"/>
      <c r="G75" s="140"/>
      <c r="H75" s="132"/>
      <c r="I75" s="141"/>
      <c r="J75" s="133"/>
    </row>
    <row r="76" spans="1:10" ht="17.25" customHeight="1" x14ac:dyDescent="0.2">
      <c r="A76" s="136">
        <v>72</v>
      </c>
      <c r="B76" s="137"/>
      <c r="C76" s="138"/>
      <c r="D76" s="131"/>
      <c r="E76" s="139"/>
      <c r="F76" s="139"/>
      <c r="G76" s="140"/>
      <c r="H76" s="132"/>
      <c r="I76" s="141"/>
      <c r="J76" s="133"/>
    </row>
    <row r="77" spans="1:10" ht="17.25" customHeight="1" x14ac:dyDescent="0.2">
      <c r="A77" s="136">
        <v>73</v>
      </c>
      <c r="B77" s="137"/>
      <c r="C77" s="138"/>
      <c r="D77" s="131"/>
      <c r="E77" s="139"/>
      <c r="F77" s="139"/>
      <c r="G77" s="140"/>
      <c r="H77" s="132"/>
      <c r="I77" s="141"/>
      <c r="J77" s="133"/>
    </row>
    <row r="78" spans="1:10" ht="17.25" customHeight="1" x14ac:dyDescent="0.2">
      <c r="A78" s="136">
        <v>74</v>
      </c>
      <c r="B78" s="137"/>
      <c r="C78" s="138"/>
      <c r="D78" s="131"/>
      <c r="E78" s="139"/>
      <c r="F78" s="139"/>
      <c r="G78" s="140"/>
      <c r="H78" s="132"/>
      <c r="I78" s="141"/>
      <c r="J78" s="133"/>
    </row>
    <row r="79" spans="1:10" ht="17.25" customHeight="1" x14ac:dyDescent="0.2">
      <c r="A79" s="136">
        <v>75</v>
      </c>
      <c r="B79" s="137"/>
      <c r="C79" s="138"/>
      <c r="D79" s="131"/>
      <c r="E79" s="139"/>
      <c r="F79" s="139"/>
      <c r="G79" s="140"/>
      <c r="H79" s="132"/>
      <c r="I79" s="141"/>
      <c r="J79" s="133"/>
    </row>
    <row r="80" spans="1:10" ht="17.25" customHeight="1" x14ac:dyDescent="0.2">
      <c r="A80" s="136">
        <v>76</v>
      </c>
      <c r="B80" s="137"/>
      <c r="C80" s="138"/>
      <c r="D80" s="131"/>
      <c r="E80" s="139"/>
      <c r="F80" s="139"/>
      <c r="G80" s="140"/>
      <c r="H80" s="132"/>
      <c r="I80" s="141"/>
      <c r="J80" s="133"/>
    </row>
    <row r="81" spans="1:10" ht="17.25" customHeight="1" x14ac:dyDescent="0.2">
      <c r="A81" s="136">
        <v>77</v>
      </c>
      <c r="B81" s="137"/>
      <c r="C81" s="138"/>
      <c r="D81" s="131"/>
      <c r="E81" s="139"/>
      <c r="F81" s="139"/>
      <c r="G81" s="140"/>
      <c r="H81" s="132"/>
      <c r="I81" s="141"/>
      <c r="J81" s="133"/>
    </row>
    <row r="82" spans="1:10" ht="17.25" customHeight="1" x14ac:dyDescent="0.2">
      <c r="A82" s="136">
        <v>78</v>
      </c>
      <c r="B82" s="137"/>
      <c r="C82" s="138"/>
      <c r="D82" s="131"/>
      <c r="E82" s="139"/>
      <c r="F82" s="139"/>
      <c r="G82" s="140"/>
      <c r="H82" s="132"/>
      <c r="I82" s="141"/>
      <c r="J82" s="133"/>
    </row>
    <row r="83" spans="1:10" ht="17.25" customHeight="1" x14ac:dyDescent="0.2">
      <c r="A83" s="136">
        <v>79</v>
      </c>
      <c r="B83" s="137"/>
      <c r="C83" s="138"/>
      <c r="D83" s="131"/>
      <c r="E83" s="139"/>
      <c r="F83" s="139"/>
      <c r="G83" s="140"/>
      <c r="H83" s="132"/>
      <c r="I83" s="141"/>
      <c r="J83" s="133"/>
    </row>
    <row r="84" spans="1:10" ht="17.25" customHeight="1" x14ac:dyDescent="0.2">
      <c r="A84" s="136">
        <v>80</v>
      </c>
      <c r="B84" s="137"/>
      <c r="C84" s="138"/>
      <c r="D84" s="131"/>
      <c r="E84" s="139"/>
      <c r="F84" s="139"/>
      <c r="G84" s="140"/>
      <c r="H84" s="132"/>
      <c r="I84" s="141"/>
      <c r="J84" s="133"/>
    </row>
    <row r="85" spans="1:10" ht="17.25" customHeight="1" x14ac:dyDescent="0.2">
      <c r="A85" s="136">
        <v>81</v>
      </c>
      <c r="B85" s="137"/>
      <c r="C85" s="138"/>
      <c r="D85" s="131"/>
      <c r="E85" s="139"/>
      <c r="F85" s="139"/>
      <c r="G85" s="140"/>
      <c r="H85" s="132"/>
      <c r="I85" s="141"/>
      <c r="J85" s="133"/>
    </row>
    <row r="86" spans="1:10" ht="17.25" customHeight="1" x14ac:dyDescent="0.2">
      <c r="A86" s="136">
        <v>82</v>
      </c>
      <c r="B86" s="137"/>
      <c r="C86" s="138"/>
      <c r="D86" s="131"/>
      <c r="E86" s="139"/>
      <c r="F86" s="139"/>
      <c r="G86" s="140"/>
      <c r="H86" s="132"/>
      <c r="I86" s="141"/>
      <c r="J86" s="133"/>
    </row>
    <row r="87" spans="1:10" ht="17.25" customHeight="1" x14ac:dyDescent="0.2">
      <c r="A87" s="136">
        <v>83</v>
      </c>
      <c r="B87" s="137"/>
      <c r="C87" s="138"/>
      <c r="D87" s="131"/>
      <c r="E87" s="139"/>
      <c r="F87" s="139"/>
      <c r="G87" s="140"/>
      <c r="H87" s="132"/>
      <c r="I87" s="141"/>
      <c r="J87" s="133"/>
    </row>
    <row r="88" spans="1:10" ht="17.25" customHeight="1" x14ac:dyDescent="0.2">
      <c r="A88" s="136">
        <v>84</v>
      </c>
      <c r="B88" s="137"/>
      <c r="C88" s="138"/>
      <c r="D88" s="131"/>
      <c r="E88" s="139"/>
      <c r="F88" s="139"/>
      <c r="G88" s="140"/>
      <c r="H88" s="132"/>
      <c r="I88" s="141"/>
      <c r="J88" s="133"/>
    </row>
    <row r="89" spans="1:10" ht="17.25" customHeight="1" x14ac:dyDescent="0.2">
      <c r="A89" s="136">
        <v>85</v>
      </c>
      <c r="B89" s="137"/>
      <c r="C89" s="138"/>
      <c r="D89" s="131"/>
      <c r="E89" s="139"/>
      <c r="F89" s="139"/>
      <c r="G89" s="140"/>
      <c r="H89" s="132"/>
      <c r="I89" s="141"/>
      <c r="J89" s="133"/>
    </row>
    <row r="90" spans="1:10" ht="17.25" customHeight="1" x14ac:dyDescent="0.2">
      <c r="A90" s="136">
        <v>86</v>
      </c>
      <c r="B90" s="137"/>
      <c r="C90" s="138"/>
      <c r="D90" s="131"/>
      <c r="E90" s="139"/>
      <c r="F90" s="139"/>
      <c r="G90" s="140"/>
      <c r="H90" s="132"/>
      <c r="I90" s="141"/>
      <c r="J90" s="133"/>
    </row>
    <row r="91" spans="1:10" ht="17.25" customHeight="1" x14ac:dyDescent="0.2">
      <c r="A91" s="136">
        <v>87</v>
      </c>
      <c r="B91" s="137"/>
      <c r="C91" s="138"/>
      <c r="D91" s="131"/>
      <c r="E91" s="139"/>
      <c r="F91" s="139"/>
      <c r="G91" s="140"/>
      <c r="H91" s="132"/>
      <c r="I91" s="141"/>
      <c r="J91" s="133"/>
    </row>
    <row r="92" spans="1:10" ht="17.25" customHeight="1" x14ac:dyDescent="0.2">
      <c r="A92" s="136">
        <v>88</v>
      </c>
      <c r="B92" s="137"/>
      <c r="C92" s="138"/>
      <c r="D92" s="131"/>
      <c r="E92" s="139"/>
      <c r="F92" s="139"/>
      <c r="G92" s="140"/>
      <c r="H92" s="132"/>
      <c r="I92" s="141"/>
      <c r="J92" s="133"/>
    </row>
    <row r="93" spans="1:10" ht="17.25" customHeight="1" x14ac:dyDescent="0.2">
      <c r="A93" s="136">
        <v>89</v>
      </c>
      <c r="B93" s="137"/>
      <c r="C93" s="138"/>
      <c r="D93" s="131"/>
      <c r="E93" s="139"/>
      <c r="F93" s="139"/>
      <c r="G93" s="140"/>
      <c r="H93" s="132"/>
      <c r="I93" s="141"/>
      <c r="J93" s="133"/>
    </row>
    <row r="94" spans="1:10" ht="17.25" customHeight="1" x14ac:dyDescent="0.2">
      <c r="A94" s="136">
        <v>90</v>
      </c>
      <c r="B94" s="137"/>
      <c r="C94" s="138"/>
      <c r="D94" s="131"/>
      <c r="E94" s="139"/>
      <c r="F94" s="139"/>
      <c r="G94" s="140"/>
      <c r="H94" s="132"/>
      <c r="I94" s="141"/>
      <c r="J94" s="133"/>
    </row>
    <row r="95" spans="1:10" ht="17.25" customHeight="1" x14ac:dyDescent="0.2">
      <c r="A95" s="136">
        <v>91</v>
      </c>
      <c r="B95" s="137"/>
      <c r="C95" s="138"/>
      <c r="D95" s="131"/>
      <c r="E95" s="139"/>
      <c r="F95" s="139"/>
      <c r="G95" s="140"/>
      <c r="H95" s="132"/>
      <c r="I95" s="141"/>
      <c r="J95" s="133"/>
    </row>
    <row r="96" spans="1:10" ht="17.25" customHeight="1" x14ac:dyDescent="0.2">
      <c r="A96" s="136">
        <v>92</v>
      </c>
      <c r="B96" s="137"/>
      <c r="C96" s="138"/>
      <c r="D96" s="131"/>
      <c r="E96" s="139"/>
      <c r="F96" s="139"/>
      <c r="G96" s="140"/>
      <c r="H96" s="132"/>
      <c r="I96" s="141"/>
      <c r="J96" s="133"/>
    </row>
    <row r="97" spans="1:10" ht="17.25" customHeight="1" x14ac:dyDescent="0.2">
      <c r="A97" s="136">
        <v>93</v>
      </c>
      <c r="B97" s="137"/>
      <c r="C97" s="138"/>
      <c r="D97" s="131"/>
      <c r="E97" s="139"/>
      <c r="F97" s="139"/>
      <c r="G97" s="140"/>
      <c r="H97" s="132"/>
      <c r="I97" s="141"/>
      <c r="J97" s="133"/>
    </row>
    <row r="98" spans="1:10" ht="17.25" customHeight="1" x14ac:dyDescent="0.2">
      <c r="A98" s="136">
        <v>94</v>
      </c>
      <c r="B98" s="137"/>
      <c r="C98" s="138"/>
      <c r="D98" s="131"/>
      <c r="E98" s="139"/>
      <c r="F98" s="139"/>
      <c r="G98" s="140"/>
      <c r="H98" s="132"/>
      <c r="I98" s="141"/>
      <c r="J98" s="133"/>
    </row>
    <row r="99" spans="1:10" ht="17.25" customHeight="1" x14ac:dyDescent="0.2">
      <c r="A99" s="136">
        <v>95</v>
      </c>
      <c r="B99" s="137"/>
      <c r="C99" s="138"/>
      <c r="D99" s="131"/>
      <c r="E99" s="139"/>
      <c r="F99" s="139"/>
      <c r="G99" s="140"/>
      <c r="H99" s="132"/>
      <c r="I99" s="141"/>
      <c r="J99" s="133"/>
    </row>
    <row r="100" spans="1:10" ht="17.25" customHeight="1" x14ac:dyDescent="0.2">
      <c r="A100" s="136">
        <v>96</v>
      </c>
      <c r="B100" s="137"/>
      <c r="C100" s="138"/>
      <c r="D100" s="131"/>
      <c r="E100" s="139"/>
      <c r="F100" s="139"/>
      <c r="G100" s="140"/>
      <c r="H100" s="132"/>
      <c r="I100" s="141"/>
      <c r="J100" s="133"/>
    </row>
    <row r="101" spans="1:10" ht="17.25" customHeight="1" x14ac:dyDescent="0.2">
      <c r="A101" s="136">
        <v>97</v>
      </c>
      <c r="B101" s="137"/>
      <c r="C101" s="138"/>
      <c r="D101" s="131"/>
      <c r="E101" s="139"/>
      <c r="F101" s="139"/>
      <c r="G101" s="140"/>
      <c r="H101" s="132"/>
      <c r="I101" s="141"/>
      <c r="J101" s="133"/>
    </row>
    <row r="102" spans="1:10" ht="17.25" customHeight="1" x14ac:dyDescent="0.2">
      <c r="A102" s="136">
        <v>98</v>
      </c>
      <c r="B102" s="137"/>
      <c r="C102" s="138"/>
      <c r="D102" s="131"/>
      <c r="E102" s="139"/>
      <c r="F102" s="139"/>
      <c r="G102" s="140"/>
      <c r="H102" s="132"/>
      <c r="I102" s="141"/>
      <c r="J102" s="133"/>
    </row>
    <row r="103" spans="1:10" ht="17.25" customHeight="1" x14ac:dyDescent="0.2">
      <c r="A103" s="136">
        <v>99</v>
      </c>
      <c r="B103" s="137"/>
      <c r="C103" s="138"/>
      <c r="D103" s="131"/>
      <c r="E103" s="139"/>
      <c r="F103" s="139"/>
      <c r="G103" s="140"/>
      <c r="H103" s="132"/>
      <c r="I103" s="141"/>
      <c r="J103" s="133"/>
    </row>
    <row r="104" spans="1:10" ht="17.25" customHeight="1" x14ac:dyDescent="0.2">
      <c r="A104" s="136">
        <v>100</v>
      </c>
      <c r="B104" s="137"/>
      <c r="C104" s="138"/>
      <c r="D104" s="131"/>
      <c r="E104" s="139"/>
      <c r="F104" s="139"/>
      <c r="G104" s="140"/>
      <c r="H104" s="132"/>
      <c r="I104" s="141"/>
      <c r="J104" s="133"/>
    </row>
    <row r="105" spans="1:10" ht="17.25" customHeight="1" x14ac:dyDescent="0.2">
      <c r="A105" s="136">
        <v>101</v>
      </c>
      <c r="B105" s="137"/>
      <c r="C105" s="138"/>
      <c r="D105" s="131"/>
      <c r="E105" s="139"/>
      <c r="F105" s="139"/>
      <c r="G105" s="140"/>
      <c r="H105" s="132"/>
      <c r="I105" s="141"/>
      <c r="J105" s="133"/>
    </row>
    <row r="106" spans="1:10" ht="17.25" customHeight="1" x14ac:dyDescent="0.2">
      <c r="A106" s="136">
        <v>102</v>
      </c>
      <c r="B106" s="137"/>
      <c r="C106" s="138"/>
      <c r="D106" s="131"/>
      <c r="E106" s="139"/>
      <c r="F106" s="139"/>
      <c r="G106" s="140"/>
      <c r="H106" s="132"/>
      <c r="I106" s="141"/>
      <c r="J106" s="133"/>
    </row>
    <row r="107" spans="1:10" ht="17.25" customHeight="1" x14ac:dyDescent="0.2">
      <c r="A107" s="136">
        <v>103</v>
      </c>
      <c r="B107" s="137"/>
      <c r="C107" s="138"/>
      <c r="D107" s="131"/>
      <c r="E107" s="139"/>
      <c r="F107" s="139"/>
      <c r="G107" s="140"/>
      <c r="H107" s="132"/>
      <c r="I107" s="141"/>
      <c r="J107" s="133"/>
    </row>
    <row r="108" spans="1:10" ht="17.25" customHeight="1" x14ac:dyDescent="0.2">
      <c r="A108" s="136">
        <v>104</v>
      </c>
      <c r="B108" s="137"/>
      <c r="C108" s="138"/>
      <c r="D108" s="131"/>
      <c r="E108" s="139"/>
      <c r="F108" s="139"/>
      <c r="G108" s="140"/>
      <c r="H108" s="132"/>
      <c r="I108" s="141"/>
      <c r="J108" s="133"/>
    </row>
    <row r="109" spans="1:10" ht="17.25" customHeight="1" x14ac:dyDescent="0.2">
      <c r="A109" s="136">
        <v>105</v>
      </c>
      <c r="B109" s="137"/>
      <c r="C109" s="138"/>
      <c r="D109" s="131"/>
      <c r="E109" s="139"/>
      <c r="F109" s="139"/>
      <c r="G109" s="140"/>
      <c r="H109" s="132"/>
      <c r="I109" s="141"/>
      <c r="J109" s="133"/>
    </row>
    <row r="110" spans="1:10" ht="17.25" customHeight="1" x14ac:dyDescent="0.2">
      <c r="A110" s="136">
        <v>106</v>
      </c>
      <c r="B110" s="137"/>
      <c r="C110" s="138"/>
      <c r="D110" s="131"/>
      <c r="E110" s="139"/>
      <c r="F110" s="139"/>
      <c r="G110" s="140"/>
      <c r="H110" s="132"/>
      <c r="I110" s="141"/>
      <c r="J110" s="133"/>
    </row>
    <row r="111" spans="1:10" ht="17.25" customHeight="1" x14ac:dyDescent="0.2">
      <c r="A111" s="136">
        <v>107</v>
      </c>
      <c r="B111" s="137"/>
      <c r="C111" s="138"/>
      <c r="D111" s="131"/>
      <c r="E111" s="139"/>
      <c r="F111" s="139"/>
      <c r="G111" s="140"/>
      <c r="H111" s="132"/>
      <c r="I111" s="141"/>
      <c r="J111" s="133"/>
    </row>
    <row r="112" spans="1:10" ht="17.25" customHeight="1" x14ac:dyDescent="0.2">
      <c r="A112" s="136">
        <v>108</v>
      </c>
      <c r="B112" s="137"/>
      <c r="C112" s="138"/>
      <c r="D112" s="131"/>
      <c r="E112" s="139"/>
      <c r="F112" s="139"/>
      <c r="G112" s="140"/>
      <c r="H112" s="132"/>
      <c r="I112" s="141"/>
      <c r="J112" s="133"/>
    </row>
    <row r="113" spans="1:10" ht="17.25" customHeight="1" x14ac:dyDescent="0.2">
      <c r="A113" s="136">
        <v>109</v>
      </c>
      <c r="B113" s="137"/>
      <c r="C113" s="138"/>
      <c r="D113" s="131"/>
      <c r="E113" s="139"/>
      <c r="F113" s="139"/>
      <c r="G113" s="140"/>
      <c r="H113" s="132"/>
      <c r="I113" s="141"/>
      <c r="J113" s="133"/>
    </row>
    <row r="114" spans="1:10" ht="17.25" customHeight="1" x14ac:dyDescent="0.2">
      <c r="A114" s="136">
        <v>110</v>
      </c>
      <c r="B114" s="137"/>
      <c r="C114" s="138"/>
      <c r="D114" s="131"/>
      <c r="E114" s="139"/>
      <c r="F114" s="139"/>
      <c r="G114" s="140"/>
      <c r="H114" s="132"/>
      <c r="I114" s="141"/>
      <c r="J114" s="133"/>
    </row>
    <row r="115" spans="1:10" ht="17.25" customHeight="1" x14ac:dyDescent="0.2">
      <c r="A115" s="136">
        <v>111</v>
      </c>
      <c r="B115" s="137"/>
      <c r="C115" s="138"/>
      <c r="D115" s="131"/>
      <c r="E115" s="139"/>
      <c r="F115" s="139"/>
      <c r="G115" s="140"/>
      <c r="H115" s="132"/>
      <c r="I115" s="141"/>
      <c r="J115" s="133"/>
    </row>
    <row r="116" spans="1:10" ht="17.25" customHeight="1" x14ac:dyDescent="0.2">
      <c r="A116" s="136">
        <v>112</v>
      </c>
      <c r="B116" s="137"/>
      <c r="C116" s="138"/>
      <c r="D116" s="131"/>
      <c r="E116" s="139"/>
      <c r="F116" s="139"/>
      <c r="G116" s="140"/>
      <c r="H116" s="132"/>
      <c r="I116" s="141"/>
      <c r="J116" s="133"/>
    </row>
    <row r="117" spans="1:10" ht="17.25" customHeight="1" x14ac:dyDescent="0.2">
      <c r="A117" s="136">
        <v>113</v>
      </c>
      <c r="B117" s="137"/>
      <c r="C117" s="138"/>
      <c r="D117" s="131"/>
      <c r="E117" s="139"/>
      <c r="F117" s="139"/>
      <c r="G117" s="140"/>
      <c r="H117" s="132"/>
      <c r="I117" s="141"/>
      <c r="J117" s="133"/>
    </row>
    <row r="118" spans="1:10" ht="17.25" customHeight="1" x14ac:dyDescent="0.2">
      <c r="A118" s="136">
        <v>114</v>
      </c>
      <c r="B118" s="137"/>
      <c r="C118" s="138"/>
      <c r="D118" s="131"/>
      <c r="E118" s="139"/>
      <c r="F118" s="139"/>
      <c r="G118" s="140"/>
      <c r="H118" s="132"/>
      <c r="I118" s="141"/>
      <c r="J118" s="133"/>
    </row>
    <row r="119" spans="1:10" ht="17.25" customHeight="1" x14ac:dyDescent="0.2">
      <c r="A119" s="136">
        <v>115</v>
      </c>
      <c r="B119" s="137"/>
      <c r="C119" s="138"/>
      <c r="D119" s="131"/>
      <c r="E119" s="139"/>
      <c r="F119" s="139"/>
      <c r="G119" s="140"/>
      <c r="H119" s="132"/>
      <c r="I119" s="141"/>
      <c r="J119" s="133"/>
    </row>
    <row r="120" spans="1:10" ht="17.25" customHeight="1" x14ac:dyDescent="0.2">
      <c r="A120" s="136">
        <v>116</v>
      </c>
      <c r="B120" s="137"/>
      <c r="C120" s="138"/>
      <c r="D120" s="131"/>
      <c r="E120" s="139"/>
      <c r="F120" s="139"/>
      <c r="G120" s="140"/>
      <c r="H120" s="132"/>
      <c r="I120" s="141"/>
      <c r="J120" s="133"/>
    </row>
    <row r="121" spans="1:10" ht="17.25" customHeight="1" x14ac:dyDescent="0.2">
      <c r="A121" s="136">
        <v>117</v>
      </c>
      <c r="B121" s="137"/>
      <c r="C121" s="138"/>
      <c r="D121" s="131"/>
      <c r="E121" s="139"/>
      <c r="F121" s="139"/>
      <c r="G121" s="140"/>
      <c r="H121" s="132"/>
      <c r="I121" s="141"/>
      <c r="J121" s="133"/>
    </row>
    <row r="122" spans="1:10" ht="17.25" customHeight="1" x14ac:dyDescent="0.2">
      <c r="A122" s="136">
        <v>118</v>
      </c>
      <c r="B122" s="137"/>
      <c r="C122" s="138"/>
      <c r="D122" s="131"/>
      <c r="E122" s="139"/>
      <c r="F122" s="139"/>
      <c r="G122" s="140"/>
      <c r="H122" s="132"/>
      <c r="I122" s="141"/>
      <c r="J122" s="133"/>
    </row>
    <row r="123" spans="1:10" ht="17.25" customHeight="1" x14ac:dyDescent="0.2">
      <c r="A123" s="136">
        <v>119</v>
      </c>
      <c r="B123" s="137"/>
      <c r="C123" s="138"/>
      <c r="D123" s="131"/>
      <c r="E123" s="139"/>
      <c r="F123" s="139"/>
      <c r="G123" s="140"/>
      <c r="H123" s="132"/>
      <c r="I123" s="141"/>
      <c r="J123" s="133"/>
    </row>
    <row r="124" spans="1:10" ht="17.25" customHeight="1" x14ac:dyDescent="0.2">
      <c r="A124" s="136">
        <v>120</v>
      </c>
      <c r="B124" s="137"/>
      <c r="C124" s="138"/>
      <c r="D124" s="131"/>
      <c r="E124" s="139"/>
      <c r="F124" s="139"/>
      <c r="G124" s="140"/>
      <c r="H124" s="132"/>
      <c r="I124" s="141"/>
      <c r="J124" s="133"/>
    </row>
    <row r="125" spans="1:10" ht="17.25" customHeight="1" x14ac:dyDescent="0.2">
      <c r="A125" s="136">
        <v>121</v>
      </c>
      <c r="B125" s="137"/>
      <c r="C125" s="138"/>
      <c r="D125" s="131"/>
      <c r="E125" s="139"/>
      <c r="F125" s="139"/>
      <c r="G125" s="140"/>
      <c r="H125" s="132"/>
      <c r="I125" s="141"/>
      <c r="J125" s="133"/>
    </row>
    <row r="126" spans="1:10" ht="17.25" customHeight="1" x14ac:dyDescent="0.2">
      <c r="A126" s="136">
        <v>122</v>
      </c>
      <c r="B126" s="137"/>
      <c r="C126" s="138"/>
      <c r="D126" s="131"/>
      <c r="E126" s="139"/>
      <c r="F126" s="139"/>
      <c r="G126" s="140"/>
      <c r="H126" s="132"/>
      <c r="I126" s="141"/>
      <c r="J126" s="133"/>
    </row>
    <row r="127" spans="1:10" ht="17.25" customHeight="1" x14ac:dyDescent="0.2">
      <c r="A127" s="136">
        <v>123</v>
      </c>
      <c r="B127" s="137"/>
      <c r="C127" s="138"/>
      <c r="D127" s="131"/>
      <c r="E127" s="139"/>
      <c r="F127" s="139"/>
      <c r="G127" s="140"/>
      <c r="H127" s="132"/>
      <c r="I127" s="141"/>
      <c r="J127" s="133"/>
    </row>
    <row r="128" spans="1:10" ht="17.25" customHeight="1" x14ac:dyDescent="0.2">
      <c r="A128" s="136">
        <v>124</v>
      </c>
      <c r="B128" s="137"/>
      <c r="C128" s="138"/>
      <c r="D128" s="131"/>
      <c r="E128" s="139"/>
      <c r="F128" s="139"/>
      <c r="G128" s="140"/>
      <c r="H128" s="132"/>
      <c r="I128" s="141"/>
      <c r="J128" s="133"/>
    </row>
    <row r="129" spans="1:10" ht="17.25" customHeight="1" x14ac:dyDescent="0.2">
      <c r="A129" s="136">
        <v>125</v>
      </c>
      <c r="B129" s="137"/>
      <c r="C129" s="138"/>
      <c r="D129" s="131"/>
      <c r="E129" s="139"/>
      <c r="F129" s="139"/>
      <c r="G129" s="140"/>
      <c r="H129" s="132"/>
      <c r="I129" s="141"/>
      <c r="J129" s="133"/>
    </row>
    <row r="130" spans="1:10" ht="17.25" customHeight="1" x14ac:dyDescent="0.2">
      <c r="A130" s="136">
        <v>126</v>
      </c>
      <c r="B130" s="137"/>
      <c r="C130" s="138"/>
      <c r="D130" s="131"/>
      <c r="E130" s="139"/>
      <c r="F130" s="139"/>
      <c r="G130" s="140"/>
      <c r="H130" s="132"/>
      <c r="I130" s="141"/>
      <c r="J130" s="133"/>
    </row>
    <row r="131" spans="1:10" ht="17.25" customHeight="1" x14ac:dyDescent="0.2">
      <c r="A131" s="136">
        <v>127</v>
      </c>
      <c r="B131" s="137"/>
      <c r="C131" s="138"/>
      <c r="D131" s="131"/>
      <c r="E131" s="139"/>
      <c r="F131" s="139"/>
      <c r="G131" s="140"/>
      <c r="H131" s="132"/>
      <c r="I131" s="141"/>
      <c r="J131" s="133"/>
    </row>
    <row r="132" spans="1:10" ht="17.25" customHeight="1" x14ac:dyDescent="0.2">
      <c r="A132" s="136">
        <v>128</v>
      </c>
      <c r="B132" s="137"/>
      <c r="C132" s="138"/>
      <c r="D132" s="131"/>
      <c r="E132" s="139"/>
      <c r="F132" s="139"/>
      <c r="G132" s="140"/>
      <c r="H132" s="132"/>
      <c r="I132" s="141"/>
      <c r="J132" s="133"/>
    </row>
    <row r="133" spans="1:10" ht="17.25" customHeight="1" x14ac:dyDescent="0.2">
      <c r="A133" s="136">
        <v>129</v>
      </c>
      <c r="B133" s="137"/>
      <c r="C133" s="138"/>
      <c r="D133" s="131"/>
      <c r="E133" s="139"/>
      <c r="F133" s="139"/>
      <c r="G133" s="140"/>
      <c r="H133" s="132"/>
      <c r="I133" s="141"/>
      <c r="J133" s="133"/>
    </row>
    <row r="134" spans="1:10" ht="17.25" customHeight="1" x14ac:dyDescent="0.2">
      <c r="A134" s="136">
        <v>130</v>
      </c>
      <c r="B134" s="137"/>
      <c r="C134" s="138"/>
      <c r="D134" s="131"/>
      <c r="E134" s="139"/>
      <c r="F134" s="139"/>
      <c r="G134" s="140"/>
      <c r="H134" s="132"/>
      <c r="I134" s="141"/>
      <c r="J134" s="133"/>
    </row>
    <row r="135" spans="1:10" ht="17.25" customHeight="1" x14ac:dyDescent="0.2">
      <c r="A135" s="136">
        <v>131</v>
      </c>
      <c r="B135" s="137"/>
      <c r="C135" s="138"/>
      <c r="D135" s="131"/>
      <c r="E135" s="139"/>
      <c r="F135" s="139"/>
      <c r="G135" s="140"/>
      <c r="H135" s="132"/>
      <c r="I135" s="141"/>
      <c r="J135" s="133"/>
    </row>
    <row r="136" spans="1:10" ht="17.25" customHeight="1" x14ac:dyDescent="0.2">
      <c r="A136" s="136">
        <v>132</v>
      </c>
      <c r="B136" s="137"/>
      <c r="C136" s="138"/>
      <c r="D136" s="131"/>
      <c r="E136" s="139"/>
      <c r="F136" s="139"/>
      <c r="G136" s="140"/>
      <c r="H136" s="132"/>
      <c r="I136" s="141"/>
      <c r="J136" s="133"/>
    </row>
    <row r="137" spans="1:10" ht="17.25" customHeight="1" x14ac:dyDescent="0.2">
      <c r="A137" s="136">
        <v>133</v>
      </c>
      <c r="B137" s="137"/>
      <c r="C137" s="138"/>
      <c r="D137" s="131"/>
      <c r="E137" s="139"/>
      <c r="F137" s="139"/>
      <c r="G137" s="140"/>
      <c r="H137" s="132"/>
      <c r="I137" s="141"/>
      <c r="J137" s="133"/>
    </row>
    <row r="138" spans="1:10" ht="17.25" customHeight="1" x14ac:dyDescent="0.2">
      <c r="A138" s="136">
        <v>134</v>
      </c>
      <c r="B138" s="137"/>
      <c r="C138" s="138"/>
      <c r="D138" s="131"/>
      <c r="E138" s="139"/>
      <c r="F138" s="139"/>
      <c r="G138" s="140"/>
      <c r="H138" s="132"/>
      <c r="I138" s="141"/>
      <c r="J138" s="133"/>
    </row>
    <row r="139" spans="1:10" ht="17.25" customHeight="1" x14ac:dyDescent="0.2">
      <c r="A139" s="136">
        <v>135</v>
      </c>
      <c r="B139" s="137"/>
      <c r="C139" s="138"/>
      <c r="D139" s="131"/>
      <c r="E139" s="139"/>
      <c r="F139" s="139"/>
      <c r="G139" s="140"/>
      <c r="H139" s="132"/>
      <c r="I139" s="141"/>
      <c r="J139" s="133"/>
    </row>
    <row r="140" spans="1:10" ht="17.25" customHeight="1" x14ac:dyDescent="0.2">
      <c r="A140" s="136">
        <v>136</v>
      </c>
      <c r="B140" s="137"/>
      <c r="C140" s="138"/>
      <c r="D140" s="131"/>
      <c r="E140" s="139"/>
      <c r="F140" s="139"/>
      <c r="G140" s="140"/>
      <c r="H140" s="132"/>
      <c r="I140" s="141"/>
      <c r="J140" s="133"/>
    </row>
    <row r="141" spans="1:10" ht="17.25" customHeight="1" x14ac:dyDescent="0.2">
      <c r="A141" s="136">
        <v>137</v>
      </c>
      <c r="B141" s="137"/>
      <c r="C141" s="138"/>
      <c r="D141" s="131"/>
      <c r="E141" s="139"/>
      <c r="F141" s="139"/>
      <c r="G141" s="140"/>
      <c r="H141" s="132"/>
      <c r="I141" s="141"/>
      <c r="J141" s="133"/>
    </row>
    <row r="142" spans="1:10" ht="17.25" customHeight="1" x14ac:dyDescent="0.2">
      <c r="A142" s="136">
        <v>138</v>
      </c>
      <c r="B142" s="137"/>
      <c r="C142" s="138"/>
      <c r="D142" s="131"/>
      <c r="E142" s="139"/>
      <c r="F142" s="139"/>
      <c r="G142" s="140"/>
      <c r="H142" s="132"/>
      <c r="I142" s="141"/>
      <c r="J142" s="133"/>
    </row>
    <row r="143" spans="1:10" ht="17.25" customHeight="1" x14ac:dyDescent="0.2">
      <c r="A143" s="136">
        <v>139</v>
      </c>
      <c r="B143" s="137"/>
      <c r="C143" s="138"/>
      <c r="D143" s="131"/>
      <c r="E143" s="139"/>
      <c r="F143" s="139"/>
      <c r="G143" s="140"/>
      <c r="H143" s="132"/>
      <c r="I143" s="141"/>
      <c r="J143" s="133"/>
    </row>
    <row r="144" spans="1:10" ht="17.25" customHeight="1" x14ac:dyDescent="0.2">
      <c r="A144" s="136">
        <v>140</v>
      </c>
      <c r="B144" s="137"/>
      <c r="C144" s="138"/>
      <c r="D144" s="131"/>
      <c r="E144" s="139"/>
      <c r="F144" s="139"/>
      <c r="G144" s="140"/>
      <c r="H144" s="132"/>
      <c r="I144" s="141"/>
      <c r="J144" s="133"/>
    </row>
    <row r="145" spans="1:10" ht="17.25" customHeight="1" x14ac:dyDescent="0.2">
      <c r="A145" s="136">
        <v>141</v>
      </c>
      <c r="B145" s="137"/>
      <c r="C145" s="138"/>
      <c r="D145" s="131"/>
      <c r="E145" s="139"/>
      <c r="F145" s="139"/>
      <c r="G145" s="140"/>
      <c r="H145" s="132"/>
      <c r="I145" s="141"/>
      <c r="J145" s="133"/>
    </row>
    <row r="146" spans="1:10" ht="17.25" customHeight="1" x14ac:dyDescent="0.2">
      <c r="A146" s="136">
        <v>142</v>
      </c>
      <c r="B146" s="137"/>
      <c r="C146" s="138"/>
      <c r="D146" s="131"/>
      <c r="E146" s="139"/>
      <c r="F146" s="139"/>
      <c r="G146" s="140"/>
      <c r="H146" s="132"/>
      <c r="I146" s="141"/>
      <c r="J146" s="133"/>
    </row>
    <row r="147" spans="1:10" ht="17.25" customHeight="1" x14ac:dyDescent="0.2">
      <c r="A147" s="136">
        <v>143</v>
      </c>
      <c r="B147" s="137"/>
      <c r="C147" s="138"/>
      <c r="D147" s="131"/>
      <c r="E147" s="139"/>
      <c r="F147" s="139"/>
      <c r="G147" s="140"/>
      <c r="H147" s="132"/>
      <c r="I147" s="141"/>
      <c r="J147" s="133"/>
    </row>
    <row r="148" spans="1:10" ht="17.25" customHeight="1" x14ac:dyDescent="0.2">
      <c r="A148" s="136">
        <v>144</v>
      </c>
      <c r="B148" s="137"/>
      <c r="C148" s="138"/>
      <c r="D148" s="131"/>
      <c r="E148" s="139"/>
      <c r="F148" s="139"/>
      <c r="G148" s="140"/>
      <c r="H148" s="132"/>
      <c r="I148" s="141"/>
      <c r="J148" s="133"/>
    </row>
    <row r="149" spans="1:10" ht="17.25" customHeight="1" x14ac:dyDescent="0.2">
      <c r="A149" s="136">
        <v>145</v>
      </c>
      <c r="B149" s="137"/>
      <c r="C149" s="138"/>
      <c r="D149" s="131"/>
      <c r="E149" s="139"/>
      <c r="F149" s="139"/>
      <c r="G149" s="140"/>
      <c r="H149" s="132"/>
      <c r="I149" s="141"/>
      <c r="J149" s="133"/>
    </row>
    <row r="150" spans="1:10" ht="17.25" customHeight="1" x14ac:dyDescent="0.2">
      <c r="A150" s="136">
        <v>146</v>
      </c>
      <c r="B150" s="137"/>
      <c r="C150" s="138"/>
      <c r="D150" s="131"/>
      <c r="E150" s="139"/>
      <c r="F150" s="139"/>
      <c r="G150" s="140"/>
      <c r="H150" s="132"/>
      <c r="I150" s="141"/>
      <c r="J150" s="133"/>
    </row>
    <row r="151" spans="1:10" ht="17.25" customHeight="1" x14ac:dyDescent="0.2">
      <c r="A151" s="136">
        <v>147</v>
      </c>
      <c r="B151" s="137"/>
      <c r="C151" s="138"/>
      <c r="D151" s="131"/>
      <c r="E151" s="139"/>
      <c r="F151" s="139"/>
      <c r="G151" s="140"/>
      <c r="H151" s="132"/>
      <c r="I151" s="141"/>
      <c r="J151" s="133"/>
    </row>
    <row r="152" spans="1:10" ht="17.25" customHeight="1" x14ac:dyDescent="0.2">
      <c r="A152" s="136">
        <v>148</v>
      </c>
      <c r="B152" s="137"/>
      <c r="C152" s="138"/>
      <c r="D152" s="131"/>
      <c r="E152" s="139"/>
      <c r="F152" s="139"/>
      <c r="G152" s="140"/>
      <c r="H152" s="132"/>
      <c r="I152" s="141"/>
      <c r="J152" s="133"/>
    </row>
    <row r="153" spans="1:10" ht="17.25" customHeight="1" x14ac:dyDescent="0.2">
      <c r="A153" s="136">
        <v>149</v>
      </c>
      <c r="B153" s="137"/>
      <c r="C153" s="138"/>
      <c r="D153" s="131"/>
      <c r="E153" s="139"/>
      <c r="F153" s="139"/>
      <c r="G153" s="140"/>
      <c r="H153" s="132"/>
      <c r="I153" s="141"/>
      <c r="J153" s="133"/>
    </row>
    <row r="154" spans="1:10" ht="17.25" customHeight="1" x14ac:dyDescent="0.2">
      <c r="A154" s="136">
        <v>150</v>
      </c>
      <c r="B154" s="137"/>
      <c r="C154" s="138"/>
      <c r="D154" s="131"/>
      <c r="E154" s="139"/>
      <c r="F154" s="139"/>
      <c r="G154" s="140"/>
      <c r="H154" s="132"/>
      <c r="I154" s="141"/>
      <c r="J154" s="133"/>
    </row>
    <row r="155" spans="1:10" ht="17.25" customHeight="1" x14ac:dyDescent="0.2">
      <c r="A155" s="136">
        <v>151</v>
      </c>
      <c r="B155" s="137"/>
      <c r="C155" s="138"/>
      <c r="D155" s="131"/>
      <c r="E155" s="139"/>
      <c r="F155" s="139"/>
      <c r="G155" s="140"/>
      <c r="H155" s="132"/>
      <c r="I155" s="141"/>
      <c r="J155" s="133"/>
    </row>
    <row r="156" spans="1:10" ht="17.25" customHeight="1" x14ac:dyDescent="0.2">
      <c r="A156" s="136">
        <v>152</v>
      </c>
      <c r="B156" s="137"/>
      <c r="C156" s="138"/>
      <c r="D156" s="131"/>
      <c r="E156" s="139"/>
      <c r="F156" s="139"/>
      <c r="G156" s="140"/>
      <c r="H156" s="132"/>
      <c r="I156" s="141"/>
      <c r="J156" s="133"/>
    </row>
    <row r="157" spans="1:10" ht="17.25" customHeight="1" x14ac:dyDescent="0.2">
      <c r="A157" s="136">
        <v>153</v>
      </c>
      <c r="B157" s="137"/>
      <c r="C157" s="138"/>
      <c r="D157" s="131"/>
      <c r="E157" s="139"/>
      <c r="F157" s="139"/>
      <c r="G157" s="140"/>
      <c r="H157" s="132"/>
      <c r="I157" s="141"/>
      <c r="J157" s="133"/>
    </row>
    <row r="158" spans="1:10" ht="17.25" customHeight="1" x14ac:dyDescent="0.2">
      <c r="A158" s="136">
        <v>154</v>
      </c>
      <c r="B158" s="137"/>
      <c r="C158" s="138"/>
      <c r="D158" s="131"/>
      <c r="E158" s="139"/>
      <c r="F158" s="139"/>
      <c r="G158" s="140"/>
      <c r="H158" s="132"/>
      <c r="I158" s="141"/>
      <c r="J158" s="133"/>
    </row>
    <row r="159" spans="1:10" ht="17.25" customHeight="1" x14ac:dyDescent="0.2">
      <c r="A159" s="136">
        <v>155</v>
      </c>
      <c r="B159" s="137"/>
      <c r="C159" s="138"/>
      <c r="D159" s="131"/>
      <c r="E159" s="139"/>
      <c r="F159" s="139"/>
      <c r="G159" s="140"/>
      <c r="H159" s="132"/>
      <c r="I159" s="141"/>
      <c r="J159" s="133"/>
    </row>
    <row r="160" spans="1:10" ht="17.25" customHeight="1" x14ac:dyDescent="0.2">
      <c r="A160" s="136">
        <v>156</v>
      </c>
      <c r="B160" s="137"/>
      <c r="C160" s="138"/>
      <c r="D160" s="131"/>
      <c r="E160" s="139"/>
      <c r="F160" s="139"/>
      <c r="G160" s="140"/>
      <c r="H160" s="132"/>
      <c r="I160" s="141"/>
      <c r="J160" s="133"/>
    </row>
    <row r="161" spans="1:10" ht="17.25" customHeight="1" x14ac:dyDescent="0.2">
      <c r="A161" s="136">
        <v>157</v>
      </c>
      <c r="B161" s="137"/>
      <c r="C161" s="138"/>
      <c r="D161" s="131"/>
      <c r="E161" s="139"/>
      <c r="F161" s="139"/>
      <c r="G161" s="140"/>
      <c r="H161" s="132"/>
      <c r="I161" s="141"/>
      <c r="J161" s="133"/>
    </row>
    <row r="162" spans="1:10" ht="17.25" customHeight="1" x14ac:dyDescent="0.2">
      <c r="A162" s="136">
        <v>158</v>
      </c>
      <c r="B162" s="137"/>
      <c r="C162" s="138"/>
      <c r="D162" s="131"/>
      <c r="E162" s="139"/>
      <c r="F162" s="139"/>
      <c r="G162" s="140"/>
      <c r="H162" s="132"/>
      <c r="I162" s="141"/>
      <c r="J162" s="133"/>
    </row>
    <row r="163" spans="1:10" ht="17.25" customHeight="1" x14ac:dyDescent="0.2">
      <c r="A163" s="136">
        <v>159</v>
      </c>
      <c r="B163" s="137"/>
      <c r="C163" s="138"/>
      <c r="D163" s="131"/>
      <c r="E163" s="139"/>
      <c r="F163" s="139"/>
      <c r="G163" s="140"/>
      <c r="H163" s="132"/>
      <c r="I163" s="141"/>
      <c r="J163" s="133"/>
    </row>
    <row r="164" spans="1:10" ht="17.25" customHeight="1" x14ac:dyDescent="0.2">
      <c r="A164" s="136">
        <v>160</v>
      </c>
      <c r="B164" s="137"/>
      <c r="C164" s="138"/>
      <c r="D164" s="131"/>
      <c r="E164" s="139"/>
      <c r="F164" s="139"/>
      <c r="G164" s="140"/>
      <c r="H164" s="132"/>
      <c r="I164" s="141"/>
      <c r="J164" s="133"/>
    </row>
    <row r="165" spans="1:10" ht="17.25" customHeight="1" x14ac:dyDescent="0.2">
      <c r="A165" s="136">
        <v>161</v>
      </c>
      <c r="B165" s="137"/>
      <c r="C165" s="138"/>
      <c r="D165" s="131"/>
      <c r="E165" s="139"/>
      <c r="F165" s="139"/>
      <c r="G165" s="140"/>
      <c r="H165" s="132"/>
      <c r="I165" s="141"/>
      <c r="J165" s="133"/>
    </row>
    <row r="166" spans="1:10" ht="17.25" customHeight="1" x14ac:dyDescent="0.2">
      <c r="A166" s="136">
        <v>162</v>
      </c>
      <c r="B166" s="137"/>
      <c r="C166" s="138"/>
      <c r="D166" s="131"/>
      <c r="E166" s="139"/>
      <c r="F166" s="139"/>
      <c r="G166" s="140"/>
      <c r="H166" s="132"/>
      <c r="I166" s="141"/>
      <c r="J166" s="133"/>
    </row>
    <row r="167" spans="1:10" ht="17.25" customHeight="1" x14ac:dyDescent="0.2">
      <c r="A167" s="136">
        <v>163</v>
      </c>
      <c r="B167" s="137"/>
      <c r="C167" s="138"/>
      <c r="D167" s="131"/>
      <c r="E167" s="139"/>
      <c r="F167" s="139"/>
      <c r="G167" s="140"/>
      <c r="H167" s="132"/>
      <c r="I167" s="141"/>
      <c r="J167" s="133"/>
    </row>
    <row r="168" spans="1:10" ht="17.25" customHeight="1" x14ac:dyDescent="0.2">
      <c r="A168" s="136">
        <v>164</v>
      </c>
      <c r="B168" s="137"/>
      <c r="C168" s="138"/>
      <c r="D168" s="131"/>
      <c r="E168" s="139"/>
      <c r="F168" s="139"/>
      <c r="G168" s="140"/>
      <c r="H168" s="132"/>
      <c r="I168" s="141"/>
      <c r="J168" s="133"/>
    </row>
    <row r="169" spans="1:10" ht="17.25" customHeight="1" x14ac:dyDescent="0.2">
      <c r="A169" s="136">
        <v>165</v>
      </c>
      <c r="B169" s="137"/>
      <c r="C169" s="138"/>
      <c r="D169" s="131"/>
      <c r="E169" s="139"/>
      <c r="F169" s="139"/>
      <c r="G169" s="140"/>
      <c r="H169" s="132"/>
      <c r="I169" s="141"/>
      <c r="J169" s="133"/>
    </row>
    <row r="170" spans="1:10" ht="17.25" customHeight="1" x14ac:dyDescent="0.2">
      <c r="A170" s="136">
        <v>166</v>
      </c>
      <c r="B170" s="137"/>
      <c r="C170" s="138"/>
      <c r="D170" s="131"/>
      <c r="E170" s="139"/>
      <c r="F170" s="139"/>
      <c r="G170" s="140"/>
      <c r="H170" s="132"/>
      <c r="I170" s="141"/>
      <c r="J170" s="133"/>
    </row>
    <row r="171" spans="1:10" ht="17.25" customHeight="1" x14ac:dyDescent="0.2">
      <c r="A171" s="136">
        <v>167</v>
      </c>
      <c r="B171" s="137"/>
      <c r="C171" s="138"/>
      <c r="D171" s="131"/>
      <c r="E171" s="139"/>
      <c r="F171" s="139"/>
      <c r="G171" s="140"/>
      <c r="H171" s="132"/>
      <c r="I171" s="141"/>
      <c r="J171" s="133"/>
    </row>
    <row r="172" spans="1:10" ht="17.25" customHeight="1" x14ac:dyDescent="0.2">
      <c r="A172" s="136">
        <v>168</v>
      </c>
      <c r="B172" s="137"/>
      <c r="C172" s="138"/>
      <c r="D172" s="131"/>
      <c r="E172" s="139"/>
      <c r="F172" s="139"/>
      <c r="G172" s="140"/>
      <c r="H172" s="132"/>
      <c r="I172" s="141"/>
      <c r="J172" s="133"/>
    </row>
    <row r="173" spans="1:10" ht="17.25" customHeight="1" x14ac:dyDescent="0.2">
      <c r="A173" s="136">
        <v>169</v>
      </c>
      <c r="B173" s="137"/>
      <c r="C173" s="138"/>
      <c r="D173" s="131"/>
      <c r="E173" s="139"/>
      <c r="F173" s="139"/>
      <c r="G173" s="140"/>
      <c r="H173" s="132"/>
      <c r="I173" s="141"/>
      <c r="J173" s="133"/>
    </row>
    <row r="174" spans="1:10" ht="17.25" customHeight="1" x14ac:dyDescent="0.2">
      <c r="A174" s="136">
        <v>170</v>
      </c>
      <c r="B174" s="137"/>
      <c r="C174" s="138"/>
      <c r="D174" s="131"/>
      <c r="E174" s="139"/>
      <c r="F174" s="139"/>
      <c r="G174" s="140"/>
      <c r="H174" s="132"/>
      <c r="I174" s="141"/>
      <c r="J174" s="133"/>
    </row>
    <row r="175" spans="1:10" ht="17.25" customHeight="1" x14ac:dyDescent="0.2">
      <c r="A175" s="136">
        <v>171</v>
      </c>
      <c r="B175" s="137"/>
      <c r="C175" s="138"/>
      <c r="D175" s="131"/>
      <c r="E175" s="139"/>
      <c r="F175" s="139"/>
      <c r="G175" s="140"/>
      <c r="H175" s="132"/>
      <c r="I175" s="141"/>
      <c r="J175" s="133"/>
    </row>
    <row r="176" spans="1:10" ht="17.25" customHeight="1" x14ac:dyDescent="0.2">
      <c r="A176" s="136">
        <v>172</v>
      </c>
      <c r="B176" s="137"/>
      <c r="C176" s="138"/>
      <c r="D176" s="131"/>
      <c r="E176" s="139"/>
      <c r="F176" s="139"/>
      <c r="G176" s="140"/>
      <c r="H176" s="132"/>
      <c r="I176" s="141"/>
      <c r="J176" s="133"/>
    </row>
    <row r="177" spans="1:10" ht="17.25" customHeight="1" x14ac:dyDescent="0.2">
      <c r="A177" s="136">
        <v>173</v>
      </c>
      <c r="B177" s="137"/>
      <c r="C177" s="138"/>
      <c r="D177" s="131"/>
      <c r="E177" s="139"/>
      <c r="F177" s="139"/>
      <c r="G177" s="140"/>
      <c r="H177" s="132"/>
      <c r="I177" s="141"/>
      <c r="J177" s="133"/>
    </row>
    <row r="178" spans="1:10" ht="17.25" customHeight="1" x14ac:dyDescent="0.2">
      <c r="A178" s="136">
        <v>174</v>
      </c>
      <c r="B178" s="137"/>
      <c r="C178" s="138"/>
      <c r="D178" s="131"/>
      <c r="E178" s="139"/>
      <c r="F178" s="139"/>
      <c r="G178" s="140"/>
      <c r="H178" s="132"/>
      <c r="I178" s="141"/>
      <c r="J178" s="133"/>
    </row>
    <row r="179" spans="1:10" ht="17.25" customHeight="1" x14ac:dyDescent="0.2">
      <c r="A179" s="136">
        <v>175</v>
      </c>
      <c r="B179" s="137"/>
      <c r="C179" s="138"/>
      <c r="D179" s="131"/>
      <c r="E179" s="139"/>
      <c r="F179" s="139"/>
      <c r="G179" s="140"/>
      <c r="H179" s="132"/>
      <c r="I179" s="141"/>
      <c r="J179" s="133"/>
    </row>
    <row r="180" spans="1:10" ht="17.25" customHeight="1" x14ac:dyDescent="0.2">
      <c r="A180" s="136">
        <v>176</v>
      </c>
      <c r="B180" s="137"/>
      <c r="C180" s="138"/>
      <c r="D180" s="131"/>
      <c r="E180" s="139"/>
      <c r="F180" s="139"/>
      <c r="G180" s="140"/>
      <c r="H180" s="132"/>
      <c r="I180" s="141"/>
      <c r="J180" s="133"/>
    </row>
    <row r="181" spans="1:10" ht="17.25" customHeight="1" x14ac:dyDescent="0.2">
      <c r="A181" s="136">
        <v>177</v>
      </c>
      <c r="B181" s="137"/>
      <c r="C181" s="138"/>
      <c r="D181" s="131"/>
      <c r="E181" s="139"/>
      <c r="F181" s="139"/>
      <c r="G181" s="140"/>
      <c r="H181" s="132"/>
      <c r="I181" s="141"/>
      <c r="J181" s="133"/>
    </row>
    <row r="182" spans="1:10" ht="17.25" customHeight="1" x14ac:dyDescent="0.2">
      <c r="A182" s="136">
        <v>178</v>
      </c>
      <c r="B182" s="137"/>
      <c r="C182" s="138"/>
      <c r="D182" s="131"/>
      <c r="E182" s="139"/>
      <c r="F182" s="139"/>
      <c r="G182" s="140"/>
      <c r="H182" s="132"/>
      <c r="I182" s="141"/>
      <c r="J182" s="133"/>
    </row>
    <row r="183" spans="1:10" ht="17.25" customHeight="1" x14ac:dyDescent="0.2">
      <c r="A183" s="136">
        <v>179</v>
      </c>
      <c r="B183" s="137"/>
      <c r="C183" s="138"/>
      <c r="D183" s="131"/>
      <c r="E183" s="139"/>
      <c r="F183" s="139"/>
      <c r="G183" s="140"/>
      <c r="H183" s="132"/>
      <c r="I183" s="141"/>
      <c r="J183" s="133"/>
    </row>
    <row r="184" spans="1:10" ht="17.25" customHeight="1" x14ac:dyDescent="0.2">
      <c r="A184" s="136">
        <v>180</v>
      </c>
      <c r="B184" s="137"/>
      <c r="C184" s="138"/>
      <c r="D184" s="131"/>
      <c r="E184" s="139"/>
      <c r="F184" s="139"/>
      <c r="G184" s="140"/>
      <c r="H184" s="132"/>
      <c r="I184" s="141"/>
      <c r="J184" s="133"/>
    </row>
    <row r="185" spans="1:10" ht="17.25" customHeight="1" x14ac:dyDescent="0.2">
      <c r="A185" s="136">
        <v>181</v>
      </c>
      <c r="B185" s="137"/>
      <c r="C185" s="138"/>
      <c r="D185" s="131"/>
      <c r="E185" s="139"/>
      <c r="F185" s="139"/>
      <c r="G185" s="140"/>
      <c r="H185" s="132"/>
      <c r="I185" s="141"/>
      <c r="J185" s="133"/>
    </row>
    <row r="186" spans="1:10" ht="17.25" customHeight="1" x14ac:dyDescent="0.2">
      <c r="A186" s="136">
        <v>182</v>
      </c>
      <c r="B186" s="137"/>
      <c r="C186" s="138"/>
      <c r="D186" s="131"/>
      <c r="E186" s="139"/>
      <c r="F186" s="139"/>
      <c r="G186" s="140"/>
      <c r="H186" s="132"/>
      <c r="I186" s="141"/>
      <c r="J186" s="133"/>
    </row>
    <row r="187" spans="1:10" ht="17.25" customHeight="1" x14ac:dyDescent="0.2">
      <c r="A187" s="136">
        <v>183</v>
      </c>
      <c r="B187" s="137"/>
      <c r="C187" s="138"/>
      <c r="D187" s="131"/>
      <c r="E187" s="139"/>
      <c r="F187" s="139"/>
      <c r="G187" s="140"/>
      <c r="H187" s="132"/>
      <c r="I187" s="141"/>
      <c r="J187" s="133"/>
    </row>
    <row r="188" spans="1:10" ht="17.25" customHeight="1" x14ac:dyDescent="0.2">
      <c r="A188" s="136">
        <v>184</v>
      </c>
      <c r="B188" s="137"/>
      <c r="C188" s="138"/>
      <c r="D188" s="131"/>
      <c r="E188" s="139"/>
      <c r="F188" s="139"/>
      <c r="G188" s="140"/>
      <c r="H188" s="132"/>
      <c r="I188" s="141"/>
      <c r="J188" s="133"/>
    </row>
    <row r="189" spans="1:10" ht="17.25" customHeight="1" x14ac:dyDescent="0.2">
      <c r="A189" s="136">
        <v>185</v>
      </c>
      <c r="B189" s="137"/>
      <c r="C189" s="138"/>
      <c r="D189" s="131"/>
      <c r="E189" s="139"/>
      <c r="F189" s="139"/>
      <c r="G189" s="140"/>
      <c r="H189" s="132"/>
      <c r="I189" s="141"/>
      <c r="J189" s="133"/>
    </row>
    <row r="190" spans="1:10" ht="17.25" customHeight="1" x14ac:dyDescent="0.2">
      <c r="A190" s="136">
        <v>186</v>
      </c>
      <c r="B190" s="137"/>
      <c r="C190" s="138"/>
      <c r="D190" s="131"/>
      <c r="E190" s="139"/>
      <c r="F190" s="139"/>
      <c r="G190" s="140"/>
      <c r="H190" s="132"/>
      <c r="I190" s="141"/>
      <c r="J190" s="133"/>
    </row>
    <row r="191" spans="1:10" ht="17.25" customHeight="1" x14ac:dyDescent="0.2">
      <c r="A191" s="136">
        <v>187</v>
      </c>
      <c r="B191" s="137"/>
      <c r="C191" s="138"/>
      <c r="D191" s="131"/>
      <c r="E191" s="139"/>
      <c r="F191" s="139"/>
      <c r="G191" s="140"/>
      <c r="H191" s="132"/>
      <c r="I191" s="141"/>
      <c r="J191" s="133"/>
    </row>
    <row r="192" spans="1:10" ht="17.25" customHeight="1" x14ac:dyDescent="0.2">
      <c r="A192" s="136">
        <v>188</v>
      </c>
      <c r="B192" s="137"/>
      <c r="C192" s="138"/>
      <c r="D192" s="131"/>
      <c r="E192" s="139"/>
      <c r="F192" s="139"/>
      <c r="G192" s="140"/>
      <c r="H192" s="132"/>
      <c r="I192" s="141"/>
      <c r="J192" s="133"/>
    </row>
    <row r="193" spans="1:10" ht="17.25" customHeight="1" x14ac:dyDescent="0.2">
      <c r="A193" s="136">
        <v>189</v>
      </c>
      <c r="B193" s="137"/>
      <c r="C193" s="138"/>
      <c r="D193" s="131"/>
      <c r="E193" s="139"/>
      <c r="F193" s="139"/>
      <c r="G193" s="140"/>
      <c r="H193" s="132"/>
      <c r="I193" s="141"/>
      <c r="J193" s="133"/>
    </row>
    <row r="194" spans="1:10" ht="17.25" customHeight="1" x14ac:dyDescent="0.2">
      <c r="A194" s="136">
        <v>190</v>
      </c>
      <c r="B194" s="137"/>
      <c r="C194" s="138"/>
      <c r="D194" s="131"/>
      <c r="E194" s="139"/>
      <c r="F194" s="139"/>
      <c r="G194" s="140"/>
      <c r="H194" s="132"/>
      <c r="I194" s="141"/>
      <c r="J194" s="133"/>
    </row>
    <row r="195" spans="1:10" ht="17.25" customHeight="1" x14ac:dyDescent="0.2">
      <c r="A195" s="136">
        <v>191</v>
      </c>
      <c r="B195" s="137"/>
      <c r="C195" s="138"/>
      <c r="D195" s="131"/>
      <c r="E195" s="139"/>
      <c r="F195" s="139"/>
      <c r="G195" s="140"/>
      <c r="H195" s="132"/>
      <c r="I195" s="141"/>
      <c r="J195" s="133"/>
    </row>
    <row r="196" spans="1:10" ht="17.25" customHeight="1" x14ac:dyDescent="0.2">
      <c r="A196" s="136">
        <v>192</v>
      </c>
      <c r="B196" s="137"/>
      <c r="C196" s="138"/>
      <c r="D196" s="131"/>
      <c r="E196" s="139"/>
      <c r="F196" s="139"/>
      <c r="G196" s="140"/>
      <c r="H196" s="132"/>
      <c r="I196" s="141"/>
      <c r="J196" s="133"/>
    </row>
    <row r="197" spans="1:10" ht="17.25" customHeight="1" x14ac:dyDescent="0.2">
      <c r="A197" s="136">
        <v>193</v>
      </c>
      <c r="B197" s="137"/>
      <c r="C197" s="138"/>
      <c r="D197" s="131"/>
      <c r="E197" s="139"/>
      <c r="F197" s="139"/>
      <c r="G197" s="140"/>
      <c r="H197" s="132"/>
      <c r="I197" s="141"/>
      <c r="J197" s="133"/>
    </row>
    <row r="198" spans="1:10" ht="17.25" customHeight="1" x14ac:dyDescent="0.2">
      <c r="A198" s="136">
        <v>194</v>
      </c>
      <c r="B198" s="137"/>
      <c r="C198" s="138"/>
      <c r="D198" s="131"/>
      <c r="E198" s="139"/>
      <c r="F198" s="139"/>
      <c r="G198" s="140"/>
      <c r="H198" s="132"/>
      <c r="I198" s="141"/>
      <c r="J198" s="133"/>
    </row>
    <row r="199" spans="1:10" ht="17.25" customHeight="1" x14ac:dyDescent="0.2">
      <c r="A199" s="136">
        <v>195</v>
      </c>
      <c r="B199" s="137"/>
      <c r="C199" s="138"/>
      <c r="D199" s="131"/>
      <c r="E199" s="139"/>
      <c r="F199" s="139"/>
      <c r="G199" s="140"/>
      <c r="H199" s="132"/>
      <c r="I199" s="141"/>
      <c r="J199" s="133"/>
    </row>
    <row r="200" spans="1:10" ht="17.25" customHeight="1" x14ac:dyDescent="0.2">
      <c r="A200" s="136">
        <v>196</v>
      </c>
      <c r="B200" s="137"/>
      <c r="C200" s="138"/>
      <c r="D200" s="131"/>
      <c r="E200" s="139"/>
      <c r="F200" s="139"/>
      <c r="G200" s="140"/>
      <c r="H200" s="132"/>
      <c r="I200" s="141"/>
      <c r="J200" s="133"/>
    </row>
    <row r="201" spans="1:10" ht="17.25" customHeight="1" x14ac:dyDescent="0.2">
      <c r="A201" s="136">
        <v>197</v>
      </c>
      <c r="B201" s="137"/>
      <c r="C201" s="138"/>
      <c r="D201" s="131"/>
      <c r="E201" s="139"/>
      <c r="F201" s="139"/>
      <c r="G201" s="140"/>
      <c r="H201" s="132"/>
      <c r="I201" s="141"/>
      <c r="J201" s="133"/>
    </row>
    <row r="202" spans="1:10" ht="17.25" customHeight="1" x14ac:dyDescent="0.2">
      <c r="A202" s="136">
        <v>198</v>
      </c>
      <c r="B202" s="137"/>
      <c r="C202" s="138"/>
      <c r="D202" s="131"/>
      <c r="E202" s="139"/>
      <c r="F202" s="139"/>
      <c r="G202" s="140"/>
      <c r="H202" s="132"/>
      <c r="I202" s="141"/>
      <c r="J202" s="133"/>
    </row>
    <row r="203" spans="1:10" ht="17.25" customHeight="1" x14ac:dyDescent="0.2">
      <c r="A203" s="136">
        <v>199</v>
      </c>
      <c r="B203" s="137"/>
      <c r="C203" s="138"/>
      <c r="D203" s="131"/>
      <c r="E203" s="139"/>
      <c r="F203" s="139"/>
      <c r="G203" s="140"/>
      <c r="H203" s="132"/>
      <c r="I203" s="141"/>
      <c r="J203" s="133"/>
    </row>
    <row r="204" spans="1:10" ht="17.25" customHeight="1" x14ac:dyDescent="0.2">
      <c r="A204" s="136">
        <v>200</v>
      </c>
      <c r="B204" s="137"/>
      <c r="C204" s="138"/>
      <c r="D204" s="131"/>
      <c r="E204" s="139"/>
      <c r="F204" s="139"/>
      <c r="G204" s="140"/>
      <c r="H204" s="132"/>
      <c r="I204" s="141"/>
      <c r="J204" s="133"/>
    </row>
    <row r="205" spans="1:10" ht="17.25" customHeight="1" x14ac:dyDescent="0.2">
      <c r="B205" s="145"/>
    </row>
    <row r="206" spans="1:10" ht="17.25" customHeight="1" x14ac:dyDescent="0.2">
      <c r="B206" s="145"/>
    </row>
    <row r="207" spans="1:10" ht="17.25" customHeight="1" x14ac:dyDescent="0.2">
      <c r="B207" s="145"/>
    </row>
    <row r="208" spans="1:10" ht="17.25" customHeight="1" x14ac:dyDescent="0.2">
      <c r="B208" s="145"/>
    </row>
    <row r="209" spans="2:2" ht="17.25" customHeight="1" x14ac:dyDescent="0.2">
      <c r="B209" s="145"/>
    </row>
    <row r="210" spans="2:2" ht="17.25" customHeight="1" x14ac:dyDescent="0.2">
      <c r="B210" s="145"/>
    </row>
    <row r="211" spans="2:2" ht="17.25" customHeight="1" x14ac:dyDescent="0.2">
      <c r="B211" s="145"/>
    </row>
    <row r="212" spans="2:2" ht="17.25" customHeight="1" x14ac:dyDescent="0.2">
      <c r="B212" s="145"/>
    </row>
    <row r="213" spans="2:2" ht="17.25" customHeight="1" x14ac:dyDescent="0.2">
      <c r="B213" s="145"/>
    </row>
    <row r="214" spans="2:2" ht="17.25" customHeight="1" x14ac:dyDescent="0.2">
      <c r="B214" s="145"/>
    </row>
    <row r="215" spans="2:2" ht="17.25" customHeight="1" x14ac:dyDescent="0.2">
      <c r="B215" s="145"/>
    </row>
    <row r="216" spans="2:2" ht="17.25" customHeight="1" x14ac:dyDescent="0.2">
      <c r="B216" s="145"/>
    </row>
    <row r="217" spans="2:2" ht="17.25" customHeight="1" x14ac:dyDescent="0.2">
      <c r="B217" s="145"/>
    </row>
    <row r="218" spans="2:2" ht="17.25" customHeight="1" x14ac:dyDescent="0.2">
      <c r="B218" s="145"/>
    </row>
    <row r="219" spans="2:2" ht="17.25" customHeight="1" x14ac:dyDescent="0.2">
      <c r="B219" s="145"/>
    </row>
    <row r="220" spans="2:2" ht="17.25" customHeight="1" x14ac:dyDescent="0.2">
      <c r="B220" s="145"/>
    </row>
    <row r="221" spans="2:2" ht="17.25" customHeight="1" x14ac:dyDescent="0.2">
      <c r="B221" s="145"/>
    </row>
    <row r="222" spans="2:2" ht="17.25" customHeight="1" x14ac:dyDescent="0.2">
      <c r="B222" s="145"/>
    </row>
    <row r="223" spans="2:2" ht="17.25" customHeight="1" x14ac:dyDescent="0.2">
      <c r="B223" s="145"/>
    </row>
    <row r="224" spans="2:2" ht="17.25" customHeight="1" x14ac:dyDescent="0.2">
      <c r="B224" s="145"/>
    </row>
    <row r="225" spans="2:2" ht="17.25" customHeight="1" x14ac:dyDescent="0.2">
      <c r="B225" s="145"/>
    </row>
    <row r="226" spans="2:2" ht="17.25" customHeight="1" x14ac:dyDescent="0.2">
      <c r="B226" s="145"/>
    </row>
    <row r="227" spans="2:2" ht="17.25" customHeight="1" x14ac:dyDescent="0.2">
      <c r="B227" s="145"/>
    </row>
    <row r="228" spans="2:2" ht="17.25" customHeight="1" x14ac:dyDescent="0.2">
      <c r="B228" s="145"/>
    </row>
    <row r="229" spans="2:2" ht="17.25" customHeight="1" x14ac:dyDescent="0.2">
      <c r="B229" s="145"/>
    </row>
    <row r="230" spans="2:2" ht="17.25" customHeight="1" x14ac:dyDescent="0.2">
      <c r="B230" s="145"/>
    </row>
    <row r="231" spans="2:2" ht="17.25" customHeight="1" x14ac:dyDescent="0.2">
      <c r="B231" s="145"/>
    </row>
    <row r="232" spans="2:2" ht="17.25" customHeight="1" x14ac:dyDescent="0.2">
      <c r="B232" s="145"/>
    </row>
    <row r="233" spans="2:2" ht="17.25" customHeight="1" x14ac:dyDescent="0.2">
      <c r="B233" s="145"/>
    </row>
    <row r="234" spans="2:2" ht="17.25" customHeight="1" x14ac:dyDescent="0.2">
      <c r="B234" s="145"/>
    </row>
    <row r="235" spans="2:2" ht="17.25" customHeight="1" x14ac:dyDescent="0.2">
      <c r="B235" s="145"/>
    </row>
    <row r="236" spans="2:2" ht="17.25" customHeight="1" x14ac:dyDescent="0.2">
      <c r="B236" s="145"/>
    </row>
    <row r="237" spans="2:2" ht="17.25" customHeight="1" x14ac:dyDescent="0.2">
      <c r="B237" s="145"/>
    </row>
    <row r="238" spans="2:2" ht="17.25" customHeight="1" x14ac:dyDescent="0.2">
      <c r="B238" s="145"/>
    </row>
    <row r="239" spans="2:2" ht="17.25" customHeight="1" x14ac:dyDescent="0.2">
      <c r="B239" s="145"/>
    </row>
    <row r="240" spans="2:2" ht="17.25" customHeight="1" x14ac:dyDescent="0.2">
      <c r="B240" s="145"/>
    </row>
    <row r="241" spans="2:2" ht="17.25" customHeight="1" x14ac:dyDescent="0.2">
      <c r="B241" s="145"/>
    </row>
    <row r="242" spans="2:2" ht="17.25" customHeight="1" x14ac:dyDescent="0.2">
      <c r="B242" s="145"/>
    </row>
    <row r="243" spans="2:2" ht="17.25" customHeight="1" x14ac:dyDescent="0.2">
      <c r="B243" s="145"/>
    </row>
    <row r="244" spans="2:2" ht="17.25" customHeight="1" x14ac:dyDescent="0.2">
      <c r="B244" s="145"/>
    </row>
    <row r="245" spans="2:2" ht="17.25" customHeight="1" x14ac:dyDescent="0.2">
      <c r="B245" s="145"/>
    </row>
    <row r="246" spans="2:2" ht="17.25" customHeight="1" x14ac:dyDescent="0.2">
      <c r="B246" s="145"/>
    </row>
    <row r="247" spans="2:2" ht="17.25" customHeight="1" x14ac:dyDescent="0.2">
      <c r="B247" s="145"/>
    </row>
    <row r="248" spans="2:2" ht="17.25" customHeight="1" x14ac:dyDescent="0.2">
      <c r="B248" s="145"/>
    </row>
    <row r="249" spans="2:2" ht="17.25" customHeight="1" x14ac:dyDescent="0.2">
      <c r="B249" s="145"/>
    </row>
    <row r="250" spans="2:2" ht="17.25" customHeight="1" x14ac:dyDescent="0.2">
      <c r="B250" s="145"/>
    </row>
    <row r="251" spans="2:2" ht="17.25" customHeight="1" x14ac:dyDescent="0.2">
      <c r="B251" s="145"/>
    </row>
    <row r="252" spans="2:2" ht="17.25" customHeight="1" x14ac:dyDescent="0.2">
      <c r="B252" s="145"/>
    </row>
    <row r="253" spans="2:2" ht="17.25" customHeight="1" x14ac:dyDescent="0.2">
      <c r="B253" s="145"/>
    </row>
    <row r="254" spans="2:2" ht="17.25" customHeight="1" x14ac:dyDescent="0.2">
      <c r="B254" s="145"/>
    </row>
    <row r="255" spans="2:2" ht="17.25" customHeight="1" x14ac:dyDescent="0.2">
      <c r="B255" s="145"/>
    </row>
    <row r="256" spans="2:2" ht="17.25" customHeight="1" x14ac:dyDescent="0.2">
      <c r="B256" s="145"/>
    </row>
    <row r="257" spans="2:2" ht="17.25" customHeight="1" x14ac:dyDescent="0.2">
      <c r="B257" s="145"/>
    </row>
    <row r="258" spans="2:2" ht="17.25" customHeight="1" x14ac:dyDescent="0.2">
      <c r="B258" s="145"/>
    </row>
    <row r="259" spans="2:2" ht="17.25" customHeight="1" x14ac:dyDescent="0.2">
      <c r="B259" s="145"/>
    </row>
    <row r="260" spans="2:2" ht="17.25" customHeight="1" x14ac:dyDescent="0.2">
      <c r="B260" s="145"/>
    </row>
    <row r="261" spans="2:2" ht="17.25" customHeight="1" x14ac:dyDescent="0.2">
      <c r="B261" s="145"/>
    </row>
    <row r="262" spans="2:2" ht="17.25" customHeight="1" x14ac:dyDescent="0.2">
      <c r="B262" s="145"/>
    </row>
    <row r="263" spans="2:2" ht="17.25" customHeight="1" x14ac:dyDescent="0.2">
      <c r="B263" s="145"/>
    </row>
    <row r="264" spans="2:2" ht="17.25" customHeight="1" x14ac:dyDescent="0.2">
      <c r="B264" s="145"/>
    </row>
    <row r="265" spans="2:2" ht="17.25" customHeight="1" x14ac:dyDescent="0.2">
      <c r="B265" s="145"/>
    </row>
    <row r="266" spans="2:2" ht="17.25" customHeight="1" x14ac:dyDescent="0.2">
      <c r="B266" s="145"/>
    </row>
    <row r="267" spans="2:2" ht="17.25" customHeight="1" x14ac:dyDescent="0.2">
      <c r="B267" s="145"/>
    </row>
    <row r="268" spans="2:2" ht="17.25" customHeight="1" x14ac:dyDescent="0.2">
      <c r="B268" s="145"/>
    </row>
    <row r="269" spans="2:2" ht="17.25" customHeight="1" x14ac:dyDescent="0.2">
      <c r="B269" s="145"/>
    </row>
    <row r="270" spans="2:2" ht="17.25" customHeight="1" x14ac:dyDescent="0.2">
      <c r="B270" s="145"/>
    </row>
    <row r="271" spans="2:2" ht="17.25" customHeight="1" x14ac:dyDescent="0.2">
      <c r="B271" s="145"/>
    </row>
    <row r="272" spans="2:2" ht="17.25" customHeight="1" x14ac:dyDescent="0.2">
      <c r="B272" s="145"/>
    </row>
    <row r="273" spans="2:2" ht="17.25" customHeight="1" x14ac:dyDescent="0.2">
      <c r="B273" s="145"/>
    </row>
    <row r="274" spans="2:2" ht="17.25" customHeight="1" x14ac:dyDescent="0.2">
      <c r="B274" s="145"/>
    </row>
    <row r="275" spans="2:2" ht="17.25" customHeight="1" x14ac:dyDescent="0.2">
      <c r="B275" s="145"/>
    </row>
    <row r="276" spans="2:2" ht="17.25" customHeight="1" x14ac:dyDescent="0.2">
      <c r="B276" s="145"/>
    </row>
    <row r="277" spans="2:2" ht="17.25" customHeight="1" x14ac:dyDescent="0.2">
      <c r="B277" s="145"/>
    </row>
    <row r="278" spans="2:2" ht="17.25" customHeight="1" x14ac:dyDescent="0.2">
      <c r="B278" s="145"/>
    </row>
    <row r="279" spans="2:2" ht="17.25" customHeight="1" x14ac:dyDescent="0.2">
      <c r="B279" s="145"/>
    </row>
    <row r="280" spans="2:2" ht="17.25" customHeight="1" x14ac:dyDescent="0.2">
      <c r="B280" s="145"/>
    </row>
    <row r="281" spans="2:2" ht="17.25" customHeight="1" x14ac:dyDescent="0.2">
      <c r="B281" s="145"/>
    </row>
    <row r="282" spans="2:2" ht="17.25" customHeight="1" x14ac:dyDescent="0.2">
      <c r="B282" s="145"/>
    </row>
    <row r="283" spans="2:2" ht="17.25" customHeight="1" x14ac:dyDescent="0.2">
      <c r="B283" s="145"/>
    </row>
    <row r="284" spans="2:2" ht="17.25" customHeight="1" x14ac:dyDescent="0.2">
      <c r="B284" s="145"/>
    </row>
    <row r="285" spans="2:2" ht="17.25" customHeight="1" x14ac:dyDescent="0.2">
      <c r="B285" s="145"/>
    </row>
    <row r="286" spans="2:2" ht="17.25" customHeight="1" x14ac:dyDescent="0.2">
      <c r="B286" s="145"/>
    </row>
    <row r="287" spans="2:2" ht="17.25" customHeight="1" x14ac:dyDescent="0.2">
      <c r="B287" s="145"/>
    </row>
    <row r="288" spans="2:2" ht="17.25" customHeight="1" x14ac:dyDescent="0.2">
      <c r="B288" s="145"/>
    </row>
    <row r="289" spans="2:2" ht="17.25" customHeight="1" x14ac:dyDescent="0.2">
      <c r="B289" s="145"/>
    </row>
    <row r="290" spans="2:2" ht="17.25" customHeight="1" x14ac:dyDescent="0.2">
      <c r="B290" s="145"/>
    </row>
    <row r="291" spans="2:2" ht="17.25" customHeight="1" x14ac:dyDescent="0.2">
      <c r="B291" s="145"/>
    </row>
    <row r="292" spans="2:2" ht="17.25" customHeight="1" x14ac:dyDescent="0.2">
      <c r="B292" s="145"/>
    </row>
    <row r="293" spans="2:2" ht="17.25" customHeight="1" x14ac:dyDescent="0.2">
      <c r="B293" s="145"/>
    </row>
    <row r="294" spans="2:2" ht="17.25" customHeight="1" x14ac:dyDescent="0.2">
      <c r="B294" s="145"/>
    </row>
    <row r="295" spans="2:2" ht="17.25" customHeight="1" x14ac:dyDescent="0.2">
      <c r="B295" s="145"/>
    </row>
    <row r="296" spans="2:2" ht="17.25" customHeight="1" x14ac:dyDescent="0.2">
      <c r="B296" s="145"/>
    </row>
    <row r="297" spans="2:2" ht="17.25" customHeight="1" x14ac:dyDescent="0.2">
      <c r="B297" s="145"/>
    </row>
    <row r="298" spans="2:2" ht="17.25" customHeight="1" x14ac:dyDescent="0.2">
      <c r="B298" s="145"/>
    </row>
    <row r="299" spans="2:2" ht="17.25" customHeight="1" x14ac:dyDescent="0.2">
      <c r="B299" s="145"/>
    </row>
    <row r="300" spans="2:2" ht="17.25" customHeight="1" x14ac:dyDescent="0.2">
      <c r="B300" s="145"/>
    </row>
    <row r="301" spans="2:2" ht="17.25" customHeight="1" x14ac:dyDescent="0.2">
      <c r="B301" s="145"/>
    </row>
    <row r="302" spans="2:2" ht="17.25" customHeight="1" x14ac:dyDescent="0.2">
      <c r="B302" s="145"/>
    </row>
    <row r="303" spans="2:2" ht="17.25" customHeight="1" x14ac:dyDescent="0.2">
      <c r="B303" s="145"/>
    </row>
    <row r="304" spans="2:2" ht="17.25" customHeight="1" x14ac:dyDescent="0.2">
      <c r="B304" s="145"/>
    </row>
    <row r="305" spans="2:2" ht="17.25" customHeight="1" x14ac:dyDescent="0.2">
      <c r="B305" s="145"/>
    </row>
    <row r="306" spans="2:2" ht="17.25" customHeight="1" x14ac:dyDescent="0.2">
      <c r="B306" s="145"/>
    </row>
    <row r="307" spans="2:2" ht="17.25" customHeight="1" x14ac:dyDescent="0.2">
      <c r="B307" s="145"/>
    </row>
    <row r="308" spans="2:2" ht="17.25" customHeight="1" x14ac:dyDescent="0.2">
      <c r="B308" s="145"/>
    </row>
    <row r="309" spans="2:2" ht="17.25" customHeight="1" x14ac:dyDescent="0.2">
      <c r="B309" s="145"/>
    </row>
    <row r="310" spans="2:2" ht="17.25" customHeight="1" x14ac:dyDescent="0.2">
      <c r="B310" s="145"/>
    </row>
    <row r="311" spans="2:2" ht="17.25" customHeight="1" x14ac:dyDescent="0.2">
      <c r="B311" s="145"/>
    </row>
    <row r="312" spans="2:2" ht="17.25" customHeight="1" x14ac:dyDescent="0.2">
      <c r="B312" s="145"/>
    </row>
    <row r="313" spans="2:2" ht="17.25" customHeight="1" x14ac:dyDescent="0.2">
      <c r="B313" s="145"/>
    </row>
    <row r="314" spans="2:2" ht="17.25" customHeight="1" x14ac:dyDescent="0.2">
      <c r="B314" s="145"/>
    </row>
    <row r="315" spans="2:2" ht="17.25" customHeight="1" x14ac:dyDescent="0.2">
      <c r="B315" s="145"/>
    </row>
    <row r="316" spans="2:2" ht="17.25" customHeight="1" x14ac:dyDescent="0.2">
      <c r="B316" s="145"/>
    </row>
    <row r="317" spans="2:2" ht="17.25" customHeight="1" x14ac:dyDescent="0.2">
      <c r="B317" s="145"/>
    </row>
    <row r="318" spans="2:2" ht="17.25" customHeight="1" x14ac:dyDescent="0.2">
      <c r="B318" s="145"/>
    </row>
    <row r="319" spans="2:2" ht="17.25" customHeight="1" x14ac:dyDescent="0.2">
      <c r="B319" s="145"/>
    </row>
    <row r="320" spans="2:2" ht="17.25" customHeight="1" x14ac:dyDescent="0.2">
      <c r="B320" s="145"/>
    </row>
    <row r="321" spans="2:2" ht="17.25" customHeight="1" x14ac:dyDescent="0.2">
      <c r="B321" s="145"/>
    </row>
    <row r="322" spans="2:2" ht="17.25" customHeight="1" x14ac:dyDescent="0.2">
      <c r="B322" s="145"/>
    </row>
    <row r="323" spans="2:2" ht="17.25" customHeight="1" x14ac:dyDescent="0.2">
      <c r="B323" s="145"/>
    </row>
    <row r="324" spans="2:2" ht="17.25" customHeight="1" x14ac:dyDescent="0.2">
      <c r="B324" s="145"/>
    </row>
    <row r="325" spans="2:2" ht="17.25" customHeight="1" x14ac:dyDescent="0.2">
      <c r="B325" s="145"/>
    </row>
    <row r="326" spans="2:2" ht="17.25" customHeight="1" x14ac:dyDescent="0.2">
      <c r="B326" s="145"/>
    </row>
    <row r="327" spans="2:2" ht="17.25" customHeight="1" x14ac:dyDescent="0.2">
      <c r="B327" s="145"/>
    </row>
    <row r="328" spans="2:2" ht="17.25" customHeight="1" x14ac:dyDescent="0.2">
      <c r="B328" s="145"/>
    </row>
    <row r="329" spans="2:2" ht="17.25" customHeight="1" x14ac:dyDescent="0.2">
      <c r="B329" s="145"/>
    </row>
    <row r="330" spans="2:2" ht="17.25" customHeight="1" x14ac:dyDescent="0.2">
      <c r="B330" s="145"/>
    </row>
    <row r="331" spans="2:2" ht="17.25" customHeight="1" x14ac:dyDescent="0.2">
      <c r="B331" s="145"/>
    </row>
    <row r="332" spans="2:2" ht="17.25" customHeight="1" x14ac:dyDescent="0.2">
      <c r="B332" s="145"/>
    </row>
    <row r="333" spans="2:2" ht="17.25" customHeight="1" x14ac:dyDescent="0.2">
      <c r="B333" s="145"/>
    </row>
    <row r="334" spans="2:2" ht="17.25" customHeight="1" x14ac:dyDescent="0.2">
      <c r="B334" s="145"/>
    </row>
    <row r="335" spans="2:2" ht="17.25" customHeight="1" x14ac:dyDescent="0.2">
      <c r="B335" s="145"/>
    </row>
    <row r="336" spans="2:2" ht="17.25" customHeight="1" x14ac:dyDescent="0.2">
      <c r="B336" s="145"/>
    </row>
    <row r="337" spans="2:2" ht="17.25" customHeight="1" x14ac:dyDescent="0.2">
      <c r="B337" s="145"/>
    </row>
    <row r="338" spans="2:2" ht="17.25" customHeight="1" x14ac:dyDescent="0.2">
      <c r="B338" s="145"/>
    </row>
    <row r="339" spans="2:2" ht="17.25" customHeight="1" x14ac:dyDescent="0.2">
      <c r="B339" s="145"/>
    </row>
    <row r="340" spans="2:2" ht="17.25" customHeight="1" x14ac:dyDescent="0.2">
      <c r="B340" s="145"/>
    </row>
  </sheetData>
  <autoFilter ref="A3:J3"/>
  <mergeCells count="1">
    <mergeCell ref="A1:J1"/>
  </mergeCells>
  <dataValidations count="5">
    <dataValidation type="list" allowBlank="1" sqref="J6:J204">
      <formula1>$O$6:$O$18</formula1>
    </dataValidation>
    <dataValidation type="list" allowBlank="1" sqref="J4:J5">
      <formula1>$O$6:$O$16</formula1>
    </dataValidation>
    <dataValidation type="list" allowBlank="1" showInputMessage="1" showErrorMessage="1" sqref="L5:L11">
      <formula1>$M$6:$M$8</formula1>
    </dataValidation>
    <dataValidation type="list" allowBlank="1" showInputMessage="1" showErrorMessage="1" sqref="L4 H4:H204">
      <formula1>$M$6:$M$9</formula1>
    </dataValidation>
    <dataValidation type="list" allowBlank="1" showInputMessage="1" showErrorMessage="1" sqref="D4:D204">
      <formula1>$N$6:$N$12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GENEL HASILAT</vt:lpstr>
      <vt:lpstr>SAAT BAZLI ARAÇ DAĞILIMI</vt:lpstr>
      <vt:lpstr>ÜCRET GRUP ANALİZİ</vt:lpstr>
      <vt:lpstr>OTOPARK GİRİŞ-ÇIKIŞ</vt:lpstr>
      <vt:lpstr>ARAÇ SAYISI</vt:lpstr>
      <vt:lpstr>ABONE DURUMU</vt:lpstr>
      <vt:lpstr>KAYIP-ZORUNLU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Parkuser</cp:lastModifiedBy>
  <cp:lastPrinted>2007-04-02T05:01:32Z</cp:lastPrinted>
  <dcterms:created xsi:type="dcterms:W3CDTF">1999-05-26T11:21:22Z</dcterms:created>
  <dcterms:modified xsi:type="dcterms:W3CDTF">2024-10-24T21:35:53Z</dcterms:modified>
</cp:coreProperties>
</file>