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D:\RAPOR\OTOPARK 2024\TAV EGE DISHAT\UPDATE 2024\"/>
    </mc:Choice>
  </mc:AlternateContent>
  <bookViews>
    <workbookView xWindow="7440" yWindow="-15" windowWidth="7680" windowHeight="8565" tabRatio="722" activeTab="6"/>
  </bookViews>
  <sheets>
    <sheet name="GENEL HASILAT" sheetId="1" r:id="rId1"/>
    <sheet name="SAAT BAZLI ARAÇ DAĞILIMI" sheetId="11" r:id="rId2"/>
    <sheet name="ÜCRET GRUP ANALİZİ" sheetId="7" r:id="rId3"/>
    <sheet name="OTOPARK GİRİŞ-ÇIKIŞ" sheetId="18" r:id="rId4"/>
    <sheet name="ARAÇ SAYISI" sheetId="13" r:id="rId5"/>
    <sheet name="ABONE DURUMU" sheetId="9" r:id="rId6"/>
    <sheet name="KAYIP-ZORUNLU" sheetId="17" r:id="rId7"/>
  </sheets>
  <externalReferences>
    <externalReference r:id="rId8"/>
    <externalReference r:id="rId9"/>
  </externalReferences>
  <definedNames>
    <definedName name="_xlnm._FilterDatabase" localSheetId="6" hidden="1">'KAYIP-ZORUNLU'!$A$3:$J$203</definedName>
    <definedName name="Z_B3F40701_2DC5_4D63_BF75_47A2E97895C7_.wvu.Cols" localSheetId="0" hidden="1">'GENEL HASILAT'!#REF!</definedName>
  </definedNames>
  <calcPr calcId="162913"/>
  <customWorkbookViews>
    <customWorkbookView name="obi - Kişisel Görünüm" guid="{B3F40701-2DC5-4D63-BF75-47A2E97895C7}" mergeInterval="0" personalView="1" maximized="1" windowWidth="1020" windowHeight="578" tabRatio="722" activeSheetId="5"/>
  </customWorkbookViews>
</workbook>
</file>

<file path=xl/calcChain.xml><?xml version="1.0" encoding="utf-8"?>
<calcChain xmlns="http://schemas.openxmlformats.org/spreadsheetml/2006/main">
  <c r="G68" i="7" l="1"/>
  <c r="G67" i="7"/>
  <c r="N42" i="11" l="1"/>
  <c r="M42" i="11"/>
  <c r="K42" i="11"/>
  <c r="C42" i="11"/>
  <c r="B42" i="11"/>
  <c r="Y26" i="1"/>
  <c r="X26" i="1"/>
  <c r="Y22" i="1" l="1"/>
  <c r="X22" i="1"/>
  <c r="N32" i="11" l="1"/>
  <c r="M32" i="11"/>
  <c r="B32" i="11" l="1"/>
  <c r="K32" i="11"/>
  <c r="D32" i="11"/>
  <c r="C32" i="11"/>
  <c r="C21" i="1"/>
  <c r="Y21" i="1"/>
  <c r="X21" i="1"/>
  <c r="G49" i="7" l="1"/>
  <c r="N30" i="11"/>
  <c r="M30" i="11"/>
  <c r="K30" i="11"/>
  <c r="C30" i="11"/>
  <c r="B30" i="11"/>
  <c r="Y20" i="1"/>
  <c r="X20" i="1"/>
  <c r="G47" i="7" l="1"/>
  <c r="G46" i="7"/>
  <c r="N28" i="11" l="1"/>
  <c r="M28" i="11"/>
  <c r="K28" i="11"/>
  <c r="C28" i="11"/>
  <c r="B28" i="11"/>
  <c r="Y19" i="1"/>
  <c r="X19" i="1"/>
  <c r="G44" i="7" l="1"/>
  <c r="G43" i="7"/>
  <c r="N26" i="11" l="1"/>
  <c r="M26" i="11"/>
  <c r="K26" i="11"/>
  <c r="C26" i="11"/>
  <c r="B26" i="11"/>
  <c r="Y18" i="1"/>
  <c r="X18" i="1"/>
  <c r="G29" i="7" l="1"/>
  <c r="C16" i="11"/>
  <c r="B16" i="11"/>
  <c r="Y13" i="1"/>
  <c r="X13" i="1"/>
  <c r="G26" i="7" l="1"/>
  <c r="G25" i="7"/>
  <c r="N14" i="11" l="1"/>
  <c r="M14" i="11"/>
  <c r="K14" i="11"/>
  <c r="D14" i="11"/>
  <c r="C14" i="11"/>
  <c r="B14" i="11"/>
  <c r="Y12" i="1" l="1"/>
  <c r="X12" i="1"/>
  <c r="N23" i="7" l="1"/>
  <c r="N12" i="11"/>
  <c r="M12" i="11"/>
  <c r="K12" i="11"/>
  <c r="C12" i="11"/>
  <c r="B12" i="11"/>
  <c r="G20" i="7" l="1"/>
  <c r="O10" i="11" l="1"/>
  <c r="N10" i="11"/>
  <c r="M10" i="11"/>
  <c r="K10" i="11"/>
  <c r="D10" i="11"/>
  <c r="C10" i="11"/>
  <c r="B10" i="11"/>
  <c r="Y10" i="1" l="1"/>
  <c r="X10" i="1"/>
  <c r="N4" i="11" l="1"/>
  <c r="M4" i="11"/>
  <c r="K4" i="11"/>
  <c r="D4" i="11"/>
  <c r="C4" i="11"/>
  <c r="B4" i="11"/>
  <c r="P100" i="7" l="1"/>
  <c r="P97" i="7"/>
  <c r="P94" i="7"/>
  <c r="P91" i="7"/>
  <c r="P88" i="7"/>
  <c r="P85" i="7"/>
  <c r="P82" i="7"/>
  <c r="P79" i="7"/>
  <c r="P76" i="7"/>
  <c r="P73" i="7"/>
  <c r="P70" i="7"/>
  <c r="G21" i="9" l="1"/>
  <c r="F21" i="9"/>
  <c r="E20" i="9"/>
  <c r="D20" i="9"/>
  <c r="C20" i="9"/>
  <c r="B20" i="9"/>
  <c r="I14" i="9"/>
  <c r="H14" i="9"/>
  <c r="G14" i="9"/>
  <c r="F14" i="9"/>
  <c r="E14" i="9"/>
  <c r="D14" i="9"/>
  <c r="C14" i="9"/>
  <c r="B14" i="9"/>
  <c r="G7" i="9"/>
  <c r="F7" i="9"/>
  <c r="E7" i="9"/>
  <c r="D7" i="9"/>
  <c r="C7" i="9"/>
  <c r="B7" i="9"/>
  <c r="G5" i="9"/>
  <c r="F5" i="9"/>
  <c r="E5" i="9"/>
  <c r="D5" i="9"/>
  <c r="C5" i="9"/>
  <c r="B5" i="9"/>
  <c r="D15" i="9" l="1"/>
  <c r="C15" i="9" l="1"/>
  <c r="E21" i="9"/>
  <c r="D21" i="9"/>
  <c r="O1" i="18"/>
  <c r="B26" i="9" l="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M39" i="1"/>
  <c r="L39" i="1"/>
  <c r="A8" i="1" l="1"/>
  <c r="N6" i="18" l="1"/>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N5" i="18"/>
  <c r="M5" i="18"/>
  <c r="O35" i="18" l="1"/>
  <c r="O34" i="18"/>
  <c r="O33" i="18"/>
  <c r="O32" i="18"/>
  <c r="O31" i="18"/>
  <c r="O30" i="18"/>
  <c r="O29" i="18"/>
  <c r="O28" i="18"/>
  <c r="O27" i="18"/>
  <c r="O26" i="18"/>
  <c r="O25" i="18"/>
  <c r="G34" i="13" l="1"/>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O5" i="18" l="1"/>
  <c r="O6" i="18" s="1"/>
  <c r="O7" i="18" s="1"/>
  <c r="O8" i="18" s="1"/>
  <c r="O9" i="18" s="1"/>
  <c r="O10" i="18" s="1"/>
  <c r="O11" i="18" s="1"/>
  <c r="O12" i="18" s="1"/>
  <c r="O13" i="18" s="1"/>
  <c r="O14" i="18" s="1"/>
  <c r="O15" i="18" s="1"/>
  <c r="O16" i="18" s="1"/>
  <c r="O17" i="18" s="1"/>
  <c r="O18" i="18" s="1"/>
  <c r="O19" i="18" s="1"/>
  <c r="O20" i="18" s="1"/>
  <c r="O21" i="18" s="1"/>
  <c r="O22" i="18" s="1"/>
  <c r="O23" i="18" s="1"/>
  <c r="O24" i="18" s="1"/>
  <c r="A5" i="18"/>
  <c r="L37" i="18"/>
  <c r="K37" i="18"/>
  <c r="J37" i="18"/>
  <c r="I37" i="18"/>
  <c r="H37" i="18"/>
  <c r="G37" i="18"/>
  <c r="F37" i="18"/>
  <c r="E37" i="18"/>
  <c r="D37" i="18"/>
  <c r="C37" i="18"/>
  <c r="B37" i="18"/>
  <c r="N37" i="18"/>
  <c r="O37" i="18" l="1"/>
  <c r="M37" i="18"/>
  <c r="A4" i="9" l="1"/>
  <c r="B9" i="7" l="1"/>
  <c r="C9" i="7"/>
  <c r="D9" i="7"/>
  <c r="E9" i="7"/>
  <c r="F9" i="7"/>
  <c r="I9" i="7"/>
  <c r="J9" i="7"/>
  <c r="K9" i="7"/>
  <c r="L9" i="7"/>
  <c r="M9" i="7"/>
  <c r="A1" i="9" l="1"/>
  <c r="M99" i="7" l="1"/>
  <c r="L99" i="7"/>
  <c r="K99" i="7"/>
  <c r="J99" i="7"/>
  <c r="I99" i="7"/>
  <c r="M96" i="7"/>
  <c r="L96" i="7"/>
  <c r="K96" i="7"/>
  <c r="J96" i="7"/>
  <c r="I96" i="7"/>
  <c r="M93" i="7"/>
  <c r="L93" i="7"/>
  <c r="K93" i="7"/>
  <c r="J93" i="7"/>
  <c r="I93" i="7"/>
  <c r="M90" i="7"/>
  <c r="L90" i="7"/>
  <c r="K90" i="7"/>
  <c r="J90" i="7"/>
  <c r="I90" i="7"/>
  <c r="M87" i="7"/>
  <c r="L87" i="7"/>
  <c r="K87" i="7"/>
  <c r="J87" i="7"/>
  <c r="I87" i="7"/>
  <c r="M84" i="7"/>
  <c r="L84" i="7"/>
  <c r="K84" i="7"/>
  <c r="J84" i="7"/>
  <c r="I84" i="7"/>
  <c r="M81" i="7"/>
  <c r="L81" i="7"/>
  <c r="K81" i="7"/>
  <c r="J81" i="7"/>
  <c r="I81" i="7"/>
  <c r="M78" i="7"/>
  <c r="L78" i="7"/>
  <c r="K78" i="7"/>
  <c r="J78" i="7"/>
  <c r="I78" i="7"/>
  <c r="M75" i="7"/>
  <c r="L75" i="7"/>
  <c r="K75" i="7"/>
  <c r="J75" i="7"/>
  <c r="I75" i="7"/>
  <c r="M72" i="7"/>
  <c r="L72" i="7"/>
  <c r="K72" i="7"/>
  <c r="J72" i="7"/>
  <c r="I72" i="7"/>
  <c r="M69" i="7"/>
  <c r="L69" i="7"/>
  <c r="K69" i="7"/>
  <c r="J69" i="7"/>
  <c r="I69" i="7"/>
  <c r="M66" i="7"/>
  <c r="L66" i="7"/>
  <c r="K66" i="7"/>
  <c r="J66" i="7"/>
  <c r="I66" i="7"/>
  <c r="M63" i="7"/>
  <c r="L63" i="7"/>
  <c r="K63" i="7"/>
  <c r="J63" i="7"/>
  <c r="I63" i="7"/>
  <c r="M60" i="7"/>
  <c r="L60" i="7"/>
  <c r="K60" i="7"/>
  <c r="J60" i="7"/>
  <c r="I60" i="7"/>
  <c r="M57" i="7"/>
  <c r="L57" i="7"/>
  <c r="K57" i="7"/>
  <c r="J57" i="7"/>
  <c r="I57" i="7"/>
  <c r="M54" i="7"/>
  <c r="L54" i="7"/>
  <c r="K54" i="7"/>
  <c r="J54" i="7"/>
  <c r="I54" i="7"/>
  <c r="M51" i="7"/>
  <c r="L51" i="7"/>
  <c r="K51" i="7"/>
  <c r="J51" i="7"/>
  <c r="I51" i="7"/>
  <c r="M48" i="7"/>
  <c r="L48" i="7"/>
  <c r="K48" i="7"/>
  <c r="J48" i="7"/>
  <c r="I48" i="7"/>
  <c r="M45" i="7"/>
  <c r="L45" i="7"/>
  <c r="K45" i="7"/>
  <c r="J45" i="7"/>
  <c r="I45" i="7"/>
  <c r="M42" i="7"/>
  <c r="L42" i="7"/>
  <c r="K42" i="7"/>
  <c r="J42" i="7"/>
  <c r="I42" i="7"/>
  <c r="M39" i="7"/>
  <c r="L39" i="7"/>
  <c r="K39" i="7"/>
  <c r="J39" i="7"/>
  <c r="I39" i="7"/>
  <c r="M36" i="7"/>
  <c r="L36" i="7"/>
  <c r="K36" i="7"/>
  <c r="J36" i="7"/>
  <c r="I36" i="7"/>
  <c r="M33" i="7"/>
  <c r="L33" i="7"/>
  <c r="K33" i="7"/>
  <c r="J33" i="7"/>
  <c r="I33" i="7"/>
  <c r="M30" i="7"/>
  <c r="L30" i="7"/>
  <c r="K30" i="7"/>
  <c r="J30" i="7"/>
  <c r="I30" i="7"/>
  <c r="M27" i="7"/>
  <c r="L27" i="7"/>
  <c r="K27" i="7"/>
  <c r="J27" i="7"/>
  <c r="I27" i="7"/>
  <c r="M24" i="7"/>
  <c r="L24" i="7"/>
  <c r="K24" i="7"/>
  <c r="J24" i="7"/>
  <c r="I24" i="7"/>
  <c r="M21" i="7"/>
  <c r="L21" i="7"/>
  <c r="K21" i="7"/>
  <c r="J21" i="7"/>
  <c r="I21" i="7"/>
  <c r="M18" i="7"/>
  <c r="L18" i="7"/>
  <c r="K18" i="7"/>
  <c r="J18" i="7"/>
  <c r="I18" i="7"/>
  <c r="M15" i="7"/>
  <c r="L15" i="7"/>
  <c r="K15" i="7"/>
  <c r="J15" i="7"/>
  <c r="I15" i="7"/>
  <c r="M12" i="7"/>
  <c r="L12" i="7"/>
  <c r="K12" i="7"/>
  <c r="J12" i="7"/>
  <c r="I12" i="7"/>
  <c r="F99" i="7"/>
  <c r="E99" i="7"/>
  <c r="D99" i="7"/>
  <c r="C99" i="7"/>
  <c r="B99" i="7"/>
  <c r="F96" i="7"/>
  <c r="E96" i="7"/>
  <c r="D96" i="7"/>
  <c r="C96" i="7"/>
  <c r="B96" i="7"/>
  <c r="F93" i="7"/>
  <c r="E93" i="7"/>
  <c r="D93" i="7"/>
  <c r="C93" i="7"/>
  <c r="B93" i="7"/>
  <c r="F90" i="7"/>
  <c r="E90" i="7"/>
  <c r="D90" i="7"/>
  <c r="C90" i="7"/>
  <c r="B90" i="7"/>
  <c r="F87" i="7"/>
  <c r="E87" i="7"/>
  <c r="D87" i="7"/>
  <c r="C87" i="7"/>
  <c r="B87" i="7"/>
  <c r="F84" i="7"/>
  <c r="E84" i="7"/>
  <c r="D84" i="7"/>
  <c r="C84" i="7"/>
  <c r="B84" i="7"/>
  <c r="F81" i="7"/>
  <c r="E81" i="7"/>
  <c r="D81" i="7"/>
  <c r="C81" i="7"/>
  <c r="B81" i="7"/>
  <c r="F78" i="7"/>
  <c r="E78" i="7"/>
  <c r="D78" i="7"/>
  <c r="C78" i="7"/>
  <c r="B78" i="7"/>
  <c r="F75" i="7"/>
  <c r="E75" i="7"/>
  <c r="D75" i="7"/>
  <c r="C75" i="7"/>
  <c r="B75" i="7"/>
  <c r="F72" i="7"/>
  <c r="E72" i="7"/>
  <c r="D72" i="7"/>
  <c r="C72" i="7"/>
  <c r="B72" i="7"/>
  <c r="F69" i="7"/>
  <c r="E69" i="7"/>
  <c r="D69" i="7"/>
  <c r="C69" i="7"/>
  <c r="B69" i="7"/>
  <c r="F66" i="7"/>
  <c r="E66" i="7"/>
  <c r="D66" i="7"/>
  <c r="C66" i="7"/>
  <c r="B66" i="7"/>
  <c r="F63" i="7"/>
  <c r="E63" i="7"/>
  <c r="D63" i="7"/>
  <c r="C63" i="7"/>
  <c r="B63" i="7"/>
  <c r="F60" i="7"/>
  <c r="E60" i="7"/>
  <c r="D60" i="7"/>
  <c r="C60" i="7"/>
  <c r="B60" i="7"/>
  <c r="F57" i="7"/>
  <c r="E57" i="7"/>
  <c r="D57" i="7"/>
  <c r="C57" i="7"/>
  <c r="B57" i="7"/>
  <c r="F54" i="7"/>
  <c r="E54" i="7"/>
  <c r="D54" i="7"/>
  <c r="C54" i="7"/>
  <c r="B54" i="7"/>
  <c r="F51" i="7"/>
  <c r="E51" i="7"/>
  <c r="D51" i="7"/>
  <c r="C51" i="7"/>
  <c r="B51" i="7"/>
  <c r="F48" i="7"/>
  <c r="E48" i="7"/>
  <c r="D48" i="7"/>
  <c r="C48" i="7"/>
  <c r="B48" i="7"/>
  <c r="F45" i="7"/>
  <c r="E45" i="7"/>
  <c r="D45" i="7"/>
  <c r="C45" i="7"/>
  <c r="B45" i="7"/>
  <c r="F42" i="7"/>
  <c r="E42" i="7"/>
  <c r="D42" i="7"/>
  <c r="C42" i="7"/>
  <c r="B42" i="7"/>
  <c r="F39" i="7"/>
  <c r="E39" i="7"/>
  <c r="D39" i="7"/>
  <c r="C39" i="7"/>
  <c r="B39" i="7"/>
  <c r="F36" i="7"/>
  <c r="E36" i="7"/>
  <c r="D36" i="7"/>
  <c r="C36" i="7"/>
  <c r="B36" i="7"/>
  <c r="F33" i="7"/>
  <c r="E33" i="7"/>
  <c r="D33" i="7"/>
  <c r="C33" i="7"/>
  <c r="B33" i="7"/>
  <c r="F30" i="7"/>
  <c r="E30" i="7"/>
  <c r="D30" i="7"/>
  <c r="C30" i="7"/>
  <c r="B30" i="7"/>
  <c r="F27" i="7"/>
  <c r="E27" i="7"/>
  <c r="D27" i="7"/>
  <c r="C27" i="7"/>
  <c r="B27" i="7"/>
  <c r="F24" i="7"/>
  <c r="E24" i="7"/>
  <c r="D24" i="7"/>
  <c r="C24" i="7"/>
  <c r="B24" i="7"/>
  <c r="F21" i="7"/>
  <c r="E21" i="7"/>
  <c r="D21" i="7"/>
  <c r="C21" i="7"/>
  <c r="B21" i="7"/>
  <c r="F18" i="7"/>
  <c r="E18" i="7"/>
  <c r="D18" i="7"/>
  <c r="C18" i="7"/>
  <c r="B18" i="7"/>
  <c r="F15" i="7"/>
  <c r="E15" i="7"/>
  <c r="D15" i="7"/>
  <c r="C15" i="7"/>
  <c r="B15" i="7"/>
  <c r="F12" i="7"/>
  <c r="E12" i="7"/>
  <c r="D12" i="7"/>
  <c r="C12" i="7"/>
  <c r="B12" i="7"/>
  <c r="B69" i="11" l="1"/>
  <c r="A9" i="9"/>
  <c r="A4" i="13"/>
  <c r="A9" i="7"/>
  <c r="A3" i="1" l="1"/>
  <c r="A1" i="17" l="1"/>
  <c r="F1" i="18"/>
  <c r="A2" i="7"/>
  <c r="A10" i="9"/>
  <c r="A1" i="11"/>
  <c r="A4" i="11"/>
  <c r="A6" i="18"/>
  <c r="A9" i="1" l="1"/>
  <c r="A7" i="18" s="1"/>
  <c r="A5" i="13"/>
  <c r="A12" i="7"/>
  <c r="A6" i="11"/>
  <c r="A8" i="11" l="1"/>
  <c r="A10" i="1"/>
  <c r="A8" i="18" s="1"/>
  <c r="A6" i="13"/>
  <c r="A15" i="7"/>
  <c r="A11" i="1" l="1"/>
  <c r="A9" i="18" s="1"/>
  <c r="A7" i="13"/>
  <c r="A18" i="7"/>
  <c r="A10" i="11"/>
  <c r="M101" i="7"/>
  <c r="L101" i="7"/>
  <c r="K101" i="7"/>
  <c r="J101" i="7"/>
  <c r="I101" i="7"/>
  <c r="N99" i="7"/>
  <c r="M98" i="7"/>
  <c r="L98" i="7"/>
  <c r="K98" i="7"/>
  <c r="J98" i="7"/>
  <c r="I98" i="7"/>
  <c r="N96" i="7"/>
  <c r="M95" i="7"/>
  <c r="L95" i="7"/>
  <c r="K95" i="7"/>
  <c r="J95" i="7"/>
  <c r="I95" i="7"/>
  <c r="N93" i="7"/>
  <c r="M92" i="7"/>
  <c r="L92" i="7"/>
  <c r="K92" i="7"/>
  <c r="J92" i="7"/>
  <c r="I92" i="7"/>
  <c r="N90" i="7"/>
  <c r="M89" i="7"/>
  <c r="L89" i="7"/>
  <c r="K89" i="7"/>
  <c r="J89" i="7"/>
  <c r="I89" i="7"/>
  <c r="N87" i="7"/>
  <c r="M86" i="7"/>
  <c r="L86" i="7"/>
  <c r="K86" i="7"/>
  <c r="J86" i="7"/>
  <c r="I86" i="7"/>
  <c r="N84" i="7"/>
  <c r="M83" i="7"/>
  <c r="L83" i="7"/>
  <c r="K83" i="7"/>
  <c r="J83" i="7"/>
  <c r="I83" i="7"/>
  <c r="N81" i="7"/>
  <c r="M80" i="7"/>
  <c r="L80" i="7"/>
  <c r="K80" i="7"/>
  <c r="J80" i="7"/>
  <c r="I80" i="7"/>
  <c r="N78" i="7"/>
  <c r="M77" i="7"/>
  <c r="L77" i="7"/>
  <c r="K77" i="7"/>
  <c r="J77" i="7"/>
  <c r="I77" i="7"/>
  <c r="N75" i="7"/>
  <c r="M74" i="7"/>
  <c r="L74" i="7"/>
  <c r="K74" i="7"/>
  <c r="J74" i="7"/>
  <c r="I74" i="7"/>
  <c r="N72" i="7"/>
  <c r="M71" i="7"/>
  <c r="L71" i="7"/>
  <c r="K71" i="7"/>
  <c r="J71" i="7"/>
  <c r="I71" i="7"/>
  <c r="N69" i="7"/>
  <c r="M68" i="7"/>
  <c r="L68" i="7"/>
  <c r="K68" i="7"/>
  <c r="J68" i="7"/>
  <c r="I68" i="7"/>
  <c r="N66" i="7"/>
  <c r="M65" i="7"/>
  <c r="L65" i="7"/>
  <c r="K65" i="7"/>
  <c r="J65" i="7"/>
  <c r="I65" i="7"/>
  <c r="N63" i="7"/>
  <c r="M62" i="7"/>
  <c r="L62" i="7"/>
  <c r="K62" i="7"/>
  <c r="J62" i="7"/>
  <c r="I62" i="7"/>
  <c r="N60" i="7"/>
  <c r="M59" i="7"/>
  <c r="L59" i="7"/>
  <c r="K59" i="7"/>
  <c r="J59" i="7"/>
  <c r="I59" i="7"/>
  <c r="N57" i="7"/>
  <c r="M56" i="7"/>
  <c r="L56" i="7"/>
  <c r="K56" i="7"/>
  <c r="J56" i="7"/>
  <c r="I56" i="7"/>
  <c r="N54" i="7"/>
  <c r="M53" i="7"/>
  <c r="L53" i="7"/>
  <c r="K53" i="7"/>
  <c r="J53" i="7"/>
  <c r="I53" i="7"/>
  <c r="N51" i="7"/>
  <c r="M50" i="7"/>
  <c r="L50" i="7"/>
  <c r="K50" i="7"/>
  <c r="J50" i="7"/>
  <c r="I50" i="7"/>
  <c r="N48" i="7"/>
  <c r="M47" i="7"/>
  <c r="L47" i="7"/>
  <c r="K47" i="7"/>
  <c r="J47" i="7"/>
  <c r="I47" i="7"/>
  <c r="N45" i="7"/>
  <c r="M44" i="7"/>
  <c r="L44" i="7"/>
  <c r="K44" i="7"/>
  <c r="J44" i="7"/>
  <c r="I44" i="7"/>
  <c r="N42" i="7"/>
  <c r="M41" i="7"/>
  <c r="L41" i="7"/>
  <c r="K41" i="7"/>
  <c r="J41" i="7"/>
  <c r="I41" i="7"/>
  <c r="N39" i="7"/>
  <c r="M38" i="7"/>
  <c r="L38" i="7"/>
  <c r="K38" i="7"/>
  <c r="J38" i="7"/>
  <c r="I38" i="7"/>
  <c r="N36" i="7"/>
  <c r="M35" i="7"/>
  <c r="L35" i="7"/>
  <c r="K35" i="7"/>
  <c r="J35" i="7"/>
  <c r="I35" i="7"/>
  <c r="N33" i="7"/>
  <c r="M32" i="7"/>
  <c r="L32" i="7"/>
  <c r="K32" i="7"/>
  <c r="J32" i="7"/>
  <c r="I32" i="7"/>
  <c r="N30" i="7"/>
  <c r="M29" i="7"/>
  <c r="L29" i="7"/>
  <c r="K29" i="7"/>
  <c r="J29" i="7"/>
  <c r="I29" i="7"/>
  <c r="N27" i="7"/>
  <c r="M26" i="7"/>
  <c r="L26" i="7"/>
  <c r="K26" i="7"/>
  <c r="J26" i="7"/>
  <c r="I26" i="7"/>
  <c r="N24" i="7"/>
  <c r="M23" i="7"/>
  <c r="L23" i="7"/>
  <c r="K23" i="7"/>
  <c r="J23" i="7"/>
  <c r="I23" i="7"/>
  <c r="N21" i="7"/>
  <c r="M20" i="7"/>
  <c r="L20" i="7"/>
  <c r="K20" i="7"/>
  <c r="J20" i="7"/>
  <c r="I20" i="7"/>
  <c r="N18" i="7"/>
  <c r="M17" i="7"/>
  <c r="L17" i="7"/>
  <c r="K17" i="7"/>
  <c r="J17" i="7"/>
  <c r="I17" i="7"/>
  <c r="N15" i="7"/>
  <c r="M14" i="7"/>
  <c r="L14" i="7"/>
  <c r="K14" i="7"/>
  <c r="J14" i="7"/>
  <c r="I14" i="7"/>
  <c r="N12" i="7"/>
  <c r="F101" i="7"/>
  <c r="E101" i="7"/>
  <c r="D101" i="7"/>
  <c r="C101" i="7"/>
  <c r="B101" i="7"/>
  <c r="G99" i="7"/>
  <c r="F98" i="7"/>
  <c r="E98" i="7"/>
  <c r="D98" i="7"/>
  <c r="C98" i="7"/>
  <c r="B98" i="7"/>
  <c r="G96" i="7"/>
  <c r="F95" i="7"/>
  <c r="E95" i="7"/>
  <c r="D95" i="7"/>
  <c r="C95" i="7"/>
  <c r="B95" i="7"/>
  <c r="G93" i="7"/>
  <c r="F92" i="7"/>
  <c r="E92" i="7"/>
  <c r="D92" i="7"/>
  <c r="C92" i="7"/>
  <c r="B92" i="7"/>
  <c r="G90" i="7"/>
  <c r="F89" i="7"/>
  <c r="E89" i="7"/>
  <c r="D89" i="7"/>
  <c r="C89" i="7"/>
  <c r="B89" i="7"/>
  <c r="G87" i="7"/>
  <c r="F86" i="7"/>
  <c r="E86" i="7"/>
  <c r="D86" i="7"/>
  <c r="C86" i="7"/>
  <c r="B86" i="7"/>
  <c r="G84" i="7"/>
  <c r="F83" i="7"/>
  <c r="E83" i="7"/>
  <c r="D83" i="7"/>
  <c r="C83" i="7"/>
  <c r="B83" i="7"/>
  <c r="G81" i="7"/>
  <c r="F80" i="7"/>
  <c r="E80" i="7"/>
  <c r="D80" i="7"/>
  <c r="C80" i="7"/>
  <c r="B80" i="7"/>
  <c r="G78" i="7"/>
  <c r="F77" i="7"/>
  <c r="E77" i="7"/>
  <c r="D77" i="7"/>
  <c r="C77" i="7"/>
  <c r="B77" i="7"/>
  <c r="G75" i="7"/>
  <c r="F74" i="7"/>
  <c r="E74" i="7"/>
  <c r="D74" i="7"/>
  <c r="C74" i="7"/>
  <c r="B74" i="7"/>
  <c r="G72" i="7"/>
  <c r="F71" i="7"/>
  <c r="E71" i="7"/>
  <c r="D71" i="7"/>
  <c r="C71" i="7"/>
  <c r="B71" i="7"/>
  <c r="G69" i="7"/>
  <c r="F68" i="7"/>
  <c r="E68" i="7"/>
  <c r="D68" i="7"/>
  <c r="C68" i="7"/>
  <c r="B68" i="7"/>
  <c r="G66" i="7"/>
  <c r="F65" i="7"/>
  <c r="E65" i="7"/>
  <c r="D65" i="7"/>
  <c r="C65" i="7"/>
  <c r="B65" i="7"/>
  <c r="G63" i="7"/>
  <c r="F62" i="7"/>
  <c r="E62" i="7"/>
  <c r="D62" i="7"/>
  <c r="C62" i="7"/>
  <c r="B62" i="7"/>
  <c r="G60" i="7"/>
  <c r="F59" i="7"/>
  <c r="E59" i="7"/>
  <c r="D59" i="7"/>
  <c r="C59" i="7"/>
  <c r="B59" i="7"/>
  <c r="G57" i="7"/>
  <c r="F56" i="7"/>
  <c r="E56" i="7"/>
  <c r="D56" i="7"/>
  <c r="C56" i="7"/>
  <c r="B56" i="7"/>
  <c r="G54" i="7"/>
  <c r="F53" i="7"/>
  <c r="E53" i="7"/>
  <c r="D53" i="7"/>
  <c r="C53" i="7"/>
  <c r="B53" i="7"/>
  <c r="G51" i="7"/>
  <c r="F50" i="7"/>
  <c r="E50" i="7"/>
  <c r="D50" i="7"/>
  <c r="C50" i="7"/>
  <c r="B50" i="7"/>
  <c r="G48" i="7"/>
  <c r="F47" i="7"/>
  <c r="E47" i="7"/>
  <c r="D47" i="7"/>
  <c r="C47" i="7"/>
  <c r="B47" i="7"/>
  <c r="G45" i="7"/>
  <c r="F44" i="7"/>
  <c r="E44" i="7"/>
  <c r="D44" i="7"/>
  <c r="C44" i="7"/>
  <c r="B44" i="7"/>
  <c r="G42" i="7"/>
  <c r="F41" i="7"/>
  <c r="E41" i="7"/>
  <c r="D41" i="7"/>
  <c r="C41" i="7"/>
  <c r="B41" i="7"/>
  <c r="G39" i="7"/>
  <c r="F38" i="7"/>
  <c r="E38" i="7"/>
  <c r="D38" i="7"/>
  <c r="C38" i="7"/>
  <c r="B38" i="7"/>
  <c r="G36" i="7"/>
  <c r="F35" i="7"/>
  <c r="E35" i="7"/>
  <c r="D35" i="7"/>
  <c r="C35" i="7"/>
  <c r="B35" i="7"/>
  <c r="G33" i="7"/>
  <c r="F32" i="7"/>
  <c r="E32" i="7"/>
  <c r="D32" i="7"/>
  <c r="C32" i="7"/>
  <c r="B32" i="7"/>
  <c r="G30" i="7"/>
  <c r="F29" i="7"/>
  <c r="E29" i="7"/>
  <c r="D29" i="7"/>
  <c r="C29" i="7"/>
  <c r="B29" i="7"/>
  <c r="G27" i="7"/>
  <c r="F26" i="7"/>
  <c r="E26" i="7"/>
  <c r="D26" i="7"/>
  <c r="C26" i="7"/>
  <c r="B26" i="7"/>
  <c r="G24" i="7"/>
  <c r="F23" i="7"/>
  <c r="E23" i="7"/>
  <c r="D23" i="7"/>
  <c r="C23" i="7"/>
  <c r="B23" i="7"/>
  <c r="G21" i="7"/>
  <c r="F20" i="7"/>
  <c r="E20" i="7"/>
  <c r="D20" i="7"/>
  <c r="C20" i="7"/>
  <c r="B20" i="7"/>
  <c r="G18" i="7"/>
  <c r="F17" i="7"/>
  <c r="E17" i="7"/>
  <c r="D17" i="7"/>
  <c r="C17" i="7"/>
  <c r="B17" i="7"/>
  <c r="G15" i="7"/>
  <c r="G12" i="7"/>
  <c r="I11" i="7"/>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12" i="1" l="1"/>
  <c r="A10" i="18" s="1"/>
  <c r="A21" i="7"/>
  <c r="A8" i="13"/>
  <c r="A12" i="11"/>
  <c r="A13" i="1" l="1"/>
  <c r="A11" i="18" s="1"/>
  <c r="A9" i="13"/>
  <c r="A24" i="7"/>
  <c r="A14" i="11"/>
  <c r="A14" i="1" l="1"/>
  <c r="A12" i="18" s="1"/>
  <c r="A10" i="13"/>
  <c r="A27" i="7"/>
  <c r="A16" i="11"/>
  <c r="H33" i="13"/>
  <c r="H34" i="13"/>
  <c r="A15" i="1" l="1"/>
  <c r="A13" i="18" s="1"/>
  <c r="A30" i="7"/>
  <c r="A11" i="13"/>
  <c r="A18" i="11"/>
  <c r="A16" i="1" l="1"/>
  <c r="A14" i="18" s="1"/>
  <c r="A33" i="7"/>
  <c r="A12" i="13"/>
  <c r="A20" i="11"/>
  <c r="AD8" i="1"/>
  <c r="AD7" i="1"/>
  <c r="U39" i="1"/>
  <c r="E56" i="1" s="1"/>
  <c r="T39" i="1"/>
  <c r="A17" i="1" l="1"/>
  <c r="A15" i="18" s="1"/>
  <c r="A13" i="13"/>
  <c r="A36" i="7"/>
  <c r="A22" i="11"/>
  <c r="J103" i="7"/>
  <c r="K103" i="7"/>
  <c r="L103" i="7"/>
  <c r="M103" i="7"/>
  <c r="N103" i="7"/>
  <c r="C103" i="7"/>
  <c r="D103" i="7"/>
  <c r="E103" i="7"/>
  <c r="F103" i="7"/>
  <c r="G103" i="7"/>
  <c r="H103" i="7"/>
  <c r="A18" i="1" l="1"/>
  <c r="A16" i="18" s="1"/>
  <c r="A14" i="13"/>
  <c r="A39" i="7"/>
  <c r="A24" i="11"/>
  <c r="F5" i="13"/>
  <c r="F6" i="13"/>
  <c r="F7" i="13"/>
  <c r="F9" i="13"/>
  <c r="F10" i="13"/>
  <c r="F11" i="13"/>
  <c r="F13" i="13"/>
  <c r="F14" i="13"/>
  <c r="F15" i="13"/>
  <c r="F17" i="13"/>
  <c r="F18" i="13"/>
  <c r="F19" i="13"/>
  <c r="F21" i="13"/>
  <c r="F22" i="13"/>
  <c r="F25" i="13"/>
  <c r="F26" i="13"/>
  <c r="F27" i="13"/>
  <c r="F28" i="13"/>
  <c r="F29" i="13"/>
  <c r="F30" i="13"/>
  <c r="F33" i="13"/>
  <c r="I34" i="13"/>
  <c r="J34" i="13" s="1"/>
  <c r="D35" i="13"/>
  <c r="C35" i="13"/>
  <c r="B35" i="13"/>
  <c r="H32" i="13"/>
  <c r="F32" i="13"/>
  <c r="H31" i="13"/>
  <c r="F31" i="13"/>
  <c r="H30" i="13"/>
  <c r="H29" i="13"/>
  <c r="H28" i="13"/>
  <c r="H27" i="13"/>
  <c r="H26" i="13"/>
  <c r="H25" i="13"/>
  <c r="H24" i="13"/>
  <c r="F24" i="13"/>
  <c r="H23" i="13"/>
  <c r="F23" i="13"/>
  <c r="H22" i="13"/>
  <c r="H21" i="13"/>
  <c r="H20" i="13"/>
  <c r="F20" i="13"/>
  <c r="H19" i="13"/>
  <c r="H18" i="13"/>
  <c r="H17" i="13"/>
  <c r="H16" i="13"/>
  <c r="F16" i="13"/>
  <c r="H15" i="13"/>
  <c r="H14" i="13"/>
  <c r="H13" i="13"/>
  <c r="H12" i="13"/>
  <c r="F12" i="13"/>
  <c r="H11" i="13"/>
  <c r="H10" i="13"/>
  <c r="H9" i="13"/>
  <c r="H8" i="13"/>
  <c r="F8" i="13"/>
  <c r="H7" i="13"/>
  <c r="H6" i="13"/>
  <c r="H5" i="13"/>
  <c r="H4" i="13"/>
  <c r="A19" i="1" l="1"/>
  <c r="A17" i="18" s="1"/>
  <c r="A15" i="13"/>
  <c r="A42" i="7"/>
  <c r="A26" i="11"/>
  <c r="I33" i="13"/>
  <c r="J33" i="13" s="1"/>
  <c r="L33" i="13" s="1"/>
  <c r="L34" i="13"/>
  <c r="K34" i="13"/>
  <c r="F34" i="13"/>
  <c r="H35" i="13"/>
  <c r="G35" i="13"/>
  <c r="E35" i="13"/>
  <c r="F4" i="13"/>
  <c r="I4" i="13"/>
  <c r="I7" i="13"/>
  <c r="J7" i="13" s="1"/>
  <c r="K7" i="13" s="1"/>
  <c r="I8" i="13"/>
  <c r="J8" i="13" s="1"/>
  <c r="K8" i="13" s="1"/>
  <c r="I9" i="13"/>
  <c r="J9" i="13" s="1"/>
  <c r="K9" i="13" s="1"/>
  <c r="I11" i="13"/>
  <c r="J11" i="13" s="1"/>
  <c r="K11" i="13" s="1"/>
  <c r="I12" i="13"/>
  <c r="J12" i="13" s="1"/>
  <c r="K12" i="13" s="1"/>
  <c r="I13" i="13"/>
  <c r="J13" i="13" s="1"/>
  <c r="K13" i="13" s="1"/>
  <c r="I14" i="13"/>
  <c r="J14" i="13" s="1"/>
  <c r="K14" i="13" s="1"/>
  <c r="I15" i="13"/>
  <c r="J15" i="13" s="1"/>
  <c r="K15" i="13" s="1"/>
  <c r="I16" i="13"/>
  <c r="J16" i="13" s="1"/>
  <c r="K16" i="13" s="1"/>
  <c r="I17" i="13"/>
  <c r="J17" i="13" s="1"/>
  <c r="K17" i="13" s="1"/>
  <c r="I18" i="13"/>
  <c r="J18" i="13" s="1"/>
  <c r="K18" i="13" s="1"/>
  <c r="I19" i="13"/>
  <c r="J19" i="13" s="1"/>
  <c r="K19" i="13" s="1"/>
  <c r="I20" i="13"/>
  <c r="J20" i="13" s="1"/>
  <c r="K20" i="13" s="1"/>
  <c r="I21" i="13"/>
  <c r="J21" i="13" s="1"/>
  <c r="K21" i="13" s="1"/>
  <c r="I22" i="13"/>
  <c r="J22" i="13" s="1"/>
  <c r="K22" i="13" s="1"/>
  <c r="I23" i="13"/>
  <c r="J23" i="13" s="1"/>
  <c r="K23" i="13" s="1"/>
  <c r="I24" i="13"/>
  <c r="J24" i="13" s="1"/>
  <c r="K24" i="13" s="1"/>
  <c r="I25" i="13"/>
  <c r="J25" i="13" s="1"/>
  <c r="K25" i="13" s="1"/>
  <c r="I26" i="13"/>
  <c r="J26" i="13" s="1"/>
  <c r="K26" i="13" s="1"/>
  <c r="I27" i="13"/>
  <c r="J27" i="13" s="1"/>
  <c r="K27" i="13" s="1"/>
  <c r="I28" i="13"/>
  <c r="J28" i="13" s="1"/>
  <c r="K28" i="13" s="1"/>
  <c r="I29" i="13"/>
  <c r="J29" i="13" s="1"/>
  <c r="K29" i="13" s="1"/>
  <c r="I30" i="13"/>
  <c r="J30" i="13" s="1"/>
  <c r="K30" i="13" s="1"/>
  <c r="I31" i="13"/>
  <c r="J31" i="13" s="1"/>
  <c r="K31" i="13" s="1"/>
  <c r="I32" i="13"/>
  <c r="J32" i="13" s="1"/>
  <c r="K32" i="13" s="1"/>
  <c r="I5" i="13"/>
  <c r="J5" i="13" s="1"/>
  <c r="K5" i="13" s="1"/>
  <c r="I6" i="13"/>
  <c r="J6" i="13" s="1"/>
  <c r="K6" i="13" s="1"/>
  <c r="I10" i="13"/>
  <c r="J10" i="13" s="1"/>
  <c r="K10" i="13" s="1"/>
  <c r="C21" i="9"/>
  <c r="I15" i="9"/>
  <c r="H15" i="9"/>
  <c r="G15" i="9"/>
  <c r="F15" i="9"/>
  <c r="E15" i="9"/>
  <c r="L4" i="11"/>
  <c r="B67" i="11"/>
  <c r="L34" i="11"/>
  <c r="B35" i="11" s="1"/>
  <c r="C67" i="11"/>
  <c r="C70" i="11" s="1"/>
  <c r="D67" i="11"/>
  <c r="D70" i="11" s="1"/>
  <c r="E67" i="11"/>
  <c r="E70" i="11" s="1"/>
  <c r="F67" i="11"/>
  <c r="F70" i="11" s="1"/>
  <c r="G67" i="11"/>
  <c r="G70" i="11" s="1"/>
  <c r="H67" i="11"/>
  <c r="H70" i="11" s="1"/>
  <c r="I67" i="11"/>
  <c r="I70" i="11" s="1"/>
  <c r="J67" i="11"/>
  <c r="J70" i="11" s="1"/>
  <c r="K67" i="11"/>
  <c r="K70" i="11" s="1"/>
  <c r="L6" i="11"/>
  <c r="B7" i="11" s="1"/>
  <c r="L8" i="11"/>
  <c r="L10" i="11"/>
  <c r="E11" i="11" s="1"/>
  <c r="L12" i="11"/>
  <c r="E13" i="11" s="1"/>
  <c r="L14" i="11"/>
  <c r="E15" i="11" s="1"/>
  <c r="L16" i="11"/>
  <c r="J17" i="11" s="1"/>
  <c r="L18" i="11"/>
  <c r="E19" i="11" s="1"/>
  <c r="L20" i="11"/>
  <c r="E21" i="11" s="1"/>
  <c r="L22" i="11"/>
  <c r="G23" i="11" s="1"/>
  <c r="L24" i="11"/>
  <c r="C25" i="11" s="1"/>
  <c r="L26" i="11"/>
  <c r="B27" i="11" s="1"/>
  <c r="L28" i="11"/>
  <c r="G29" i="11" s="1"/>
  <c r="L30" i="11"/>
  <c r="D31" i="11" s="1"/>
  <c r="L32" i="11"/>
  <c r="H33" i="11" s="1"/>
  <c r="L36" i="11"/>
  <c r="C37" i="11" s="1"/>
  <c r="L38" i="11"/>
  <c r="D39" i="11" s="1"/>
  <c r="L40" i="11"/>
  <c r="E41" i="11" s="1"/>
  <c r="L42" i="11"/>
  <c r="E43" i="11" s="1"/>
  <c r="L44" i="11"/>
  <c r="C45" i="11" s="1"/>
  <c r="L46" i="11"/>
  <c r="B47" i="11" s="1"/>
  <c r="L48" i="11"/>
  <c r="F49" i="11" s="1"/>
  <c r="L50" i="11"/>
  <c r="J51" i="11" s="1"/>
  <c r="L52" i="11"/>
  <c r="E53" i="11" s="1"/>
  <c r="L54" i="11"/>
  <c r="B55" i="11" s="1"/>
  <c r="L56" i="11"/>
  <c r="L58" i="11"/>
  <c r="C59" i="11" s="1"/>
  <c r="L60" i="11"/>
  <c r="H61" i="11" s="1"/>
  <c r="L62" i="11"/>
  <c r="H63" i="11" s="1"/>
  <c r="L64" i="11"/>
  <c r="G65" i="11" s="1"/>
  <c r="M67" i="11"/>
  <c r="M70" i="11" s="1"/>
  <c r="N67" i="11"/>
  <c r="N70" i="11" s="1"/>
  <c r="O67" i="11"/>
  <c r="O70" i="11" s="1"/>
  <c r="P67" i="11"/>
  <c r="P70" i="11" s="1"/>
  <c r="Q67" i="11"/>
  <c r="Q70" i="11" s="1"/>
  <c r="R67" i="11"/>
  <c r="R70" i="11" s="1"/>
  <c r="S67" i="11"/>
  <c r="S70" i="11" s="1"/>
  <c r="T67" i="11"/>
  <c r="T70" i="11" s="1"/>
  <c r="U67" i="11"/>
  <c r="U70" i="11" s="1"/>
  <c r="V67" i="11"/>
  <c r="V70" i="11" s="1"/>
  <c r="W4" i="11"/>
  <c r="P5" i="11" s="1"/>
  <c r="W6" i="11"/>
  <c r="M7" i="11" s="1"/>
  <c r="W8" i="11"/>
  <c r="O9" i="11" s="1"/>
  <c r="W10" i="11"/>
  <c r="T11" i="11" s="1"/>
  <c r="W12" i="11"/>
  <c r="Q13" i="11" s="1"/>
  <c r="W14" i="11"/>
  <c r="N15" i="11" s="1"/>
  <c r="W16" i="11"/>
  <c r="W18" i="11"/>
  <c r="Q19" i="11" s="1"/>
  <c r="W20" i="11"/>
  <c r="M21" i="11" s="1"/>
  <c r="W22" i="11"/>
  <c r="V23" i="11" s="1"/>
  <c r="W24" i="11"/>
  <c r="W26" i="11"/>
  <c r="S27" i="11" s="1"/>
  <c r="W28" i="11"/>
  <c r="O29" i="11" s="1"/>
  <c r="W30" i="11"/>
  <c r="M31" i="11" s="1"/>
  <c r="W32" i="11"/>
  <c r="N33" i="11" s="1"/>
  <c r="W34" i="11"/>
  <c r="T35" i="11" s="1"/>
  <c r="W36" i="11"/>
  <c r="M37" i="11" s="1"/>
  <c r="W38" i="11"/>
  <c r="W40" i="11"/>
  <c r="M41" i="11" s="1"/>
  <c r="W42" i="11"/>
  <c r="U43" i="11" s="1"/>
  <c r="W44" i="11"/>
  <c r="P45" i="11" s="1"/>
  <c r="W46" i="11"/>
  <c r="T47" i="11" s="1"/>
  <c r="W48" i="11"/>
  <c r="Q49" i="11" s="1"/>
  <c r="W50" i="11"/>
  <c r="U51" i="11" s="1"/>
  <c r="W52" i="11"/>
  <c r="M53" i="11" s="1"/>
  <c r="W54" i="11"/>
  <c r="T55" i="11" s="1"/>
  <c r="W56" i="11"/>
  <c r="P57" i="11" s="1"/>
  <c r="W58" i="11"/>
  <c r="Q59" i="11" s="1"/>
  <c r="W60" i="11"/>
  <c r="T61" i="11" s="1"/>
  <c r="W62" i="11"/>
  <c r="T63" i="11" s="1"/>
  <c r="W64" i="11"/>
  <c r="AC8" i="1"/>
  <c r="AC7" i="1"/>
  <c r="P101" i="7"/>
  <c r="M61" i="11"/>
  <c r="G63" i="11"/>
  <c r="B63" i="11"/>
  <c r="T45" i="11"/>
  <c r="G47" i="11"/>
  <c r="C55" i="11"/>
  <c r="H55" i="11"/>
  <c r="D57" i="11"/>
  <c r="H57" i="11"/>
  <c r="K65" i="11"/>
  <c r="N104" i="7"/>
  <c r="N105" i="7" s="1"/>
  <c r="K11" i="7"/>
  <c r="P47" i="7"/>
  <c r="P46" i="7" s="1"/>
  <c r="L11" i="7"/>
  <c r="J11" i="7"/>
  <c r="P50" i="7"/>
  <c r="P49" i="7" s="1"/>
  <c r="P83" i="7"/>
  <c r="G104" i="7"/>
  <c r="G105" i="7" s="1"/>
  <c r="D11" i="7"/>
  <c r="E11" i="7"/>
  <c r="F11" i="7"/>
  <c r="P44" i="7"/>
  <c r="P43" i="7" s="1"/>
  <c r="C11" i="7"/>
  <c r="P65" i="7"/>
  <c r="P64" i="7" s="1"/>
  <c r="B11" i="7"/>
  <c r="P29" i="7"/>
  <c r="P86" i="7"/>
  <c r="Q86" i="7" s="1"/>
  <c r="I103" i="7"/>
  <c r="B103" i="7"/>
  <c r="Y39" i="1"/>
  <c r="W39" i="1"/>
  <c r="E39" i="1"/>
  <c r="D39" i="1"/>
  <c r="C39" i="1"/>
  <c r="F39" i="1"/>
  <c r="G39" i="1"/>
  <c r="H39" i="1"/>
  <c r="I39" i="1"/>
  <c r="J39" i="1"/>
  <c r="K39" i="1"/>
  <c r="N39" i="1"/>
  <c r="O39" i="1"/>
  <c r="P39" i="1"/>
  <c r="Q39" i="1"/>
  <c r="E52" i="1" s="1"/>
  <c r="R39" i="1"/>
  <c r="S39" i="1"/>
  <c r="E54" i="1" s="1"/>
  <c r="V39" i="1"/>
  <c r="X39" i="1"/>
  <c r="B39" i="1"/>
  <c r="G9" i="7"/>
  <c r="N9" i="7"/>
  <c r="M55" i="11"/>
  <c r="D65" i="11"/>
  <c r="I65" i="11"/>
  <c r="B65" i="11"/>
  <c r="F65" i="11"/>
  <c r="E57" i="11"/>
  <c r="I57" i="11"/>
  <c r="F57" i="11"/>
  <c r="J57" i="11"/>
  <c r="C57" i="11"/>
  <c r="K57" i="11"/>
  <c r="E49" i="11"/>
  <c r="P98" i="7"/>
  <c r="P68" i="7"/>
  <c r="P67" i="7" s="1"/>
  <c r="P35" i="7"/>
  <c r="C41" i="11" l="1"/>
  <c r="E27" i="11"/>
  <c r="Q35" i="7"/>
  <c r="P34" i="7"/>
  <c r="Q29" i="7"/>
  <c r="P28" i="7"/>
  <c r="B49" i="11"/>
  <c r="H49" i="11"/>
  <c r="D49" i="11"/>
  <c r="K33" i="13"/>
  <c r="G49" i="11"/>
  <c r="P63" i="11"/>
  <c r="C49" i="11"/>
  <c r="V15" i="11"/>
  <c r="H53" i="11"/>
  <c r="T51" i="11"/>
  <c r="U49" i="11"/>
  <c r="X56" i="11"/>
  <c r="L57" i="11" s="1"/>
  <c r="P59" i="11"/>
  <c r="P43" i="11"/>
  <c r="S43" i="11"/>
  <c r="R43" i="11"/>
  <c r="Q43" i="11"/>
  <c r="N43" i="11"/>
  <c r="M43" i="11"/>
  <c r="X40" i="11"/>
  <c r="W41" i="11" s="1"/>
  <c r="F41" i="11"/>
  <c r="K41" i="11"/>
  <c r="I41" i="11"/>
  <c r="J41" i="11"/>
  <c r="C39" i="11"/>
  <c r="I39" i="11"/>
  <c r="N37" i="11"/>
  <c r="S37" i="11"/>
  <c r="B37" i="11"/>
  <c r="U35" i="11"/>
  <c r="P33" i="11"/>
  <c r="H31" i="11"/>
  <c r="I31" i="11"/>
  <c r="E31" i="11"/>
  <c r="P29" i="11"/>
  <c r="U29" i="11"/>
  <c r="C29" i="11"/>
  <c r="Q27" i="11"/>
  <c r="B23" i="11"/>
  <c r="K23" i="11"/>
  <c r="J23" i="11"/>
  <c r="F23" i="11"/>
  <c r="C23" i="11"/>
  <c r="O21" i="11"/>
  <c r="Q15" i="11"/>
  <c r="F15" i="11"/>
  <c r="B15" i="11"/>
  <c r="J15" i="11"/>
  <c r="I15" i="11"/>
  <c r="U13" i="11"/>
  <c r="P11" i="11"/>
  <c r="U11" i="11"/>
  <c r="G55" i="11"/>
  <c r="E47" i="11"/>
  <c r="G39" i="11"/>
  <c r="R37" i="11"/>
  <c r="T29" i="11"/>
  <c r="C63" i="11"/>
  <c r="I63" i="11"/>
  <c r="Q61" i="11"/>
  <c r="H65" i="11"/>
  <c r="O19" i="11"/>
  <c r="P35" i="11"/>
  <c r="O43" i="11"/>
  <c r="X42" i="11"/>
  <c r="W43" i="11" s="1"/>
  <c r="R59" i="11"/>
  <c r="K55" i="11"/>
  <c r="E55" i="11"/>
  <c r="Q53" i="11"/>
  <c r="I47" i="11"/>
  <c r="D47" i="11"/>
  <c r="J45" i="11"/>
  <c r="K39" i="11"/>
  <c r="F39" i="11"/>
  <c r="V37" i="11"/>
  <c r="P37" i="11"/>
  <c r="R29" i="11"/>
  <c r="M29" i="11"/>
  <c r="T21" i="11"/>
  <c r="K19" i="11"/>
  <c r="S11" i="11"/>
  <c r="E63" i="11"/>
  <c r="J63" i="11"/>
  <c r="U61" i="11"/>
  <c r="U53" i="11"/>
  <c r="K47" i="11"/>
  <c r="B39" i="11"/>
  <c r="N29" i="11"/>
  <c r="D21" i="11"/>
  <c r="X10" i="11"/>
  <c r="W11" i="11" s="1"/>
  <c r="V27" i="11"/>
  <c r="T43" i="11"/>
  <c r="V43" i="11"/>
  <c r="M59" i="11"/>
  <c r="I55" i="11"/>
  <c r="D55" i="11"/>
  <c r="H47" i="11"/>
  <c r="C47" i="11"/>
  <c r="J39" i="11"/>
  <c r="E39" i="11"/>
  <c r="T37" i="11"/>
  <c r="O37" i="11"/>
  <c r="V29" i="11"/>
  <c r="Q29" i="11"/>
  <c r="K29" i="11"/>
  <c r="P21" i="11"/>
  <c r="G19" i="11"/>
  <c r="G11" i="11"/>
  <c r="F63" i="11"/>
  <c r="K63" i="11"/>
  <c r="F35" i="13"/>
  <c r="B70" i="11"/>
  <c r="A20" i="1"/>
  <c r="A18" i="18" s="1"/>
  <c r="A45" i="7"/>
  <c r="A16" i="13"/>
  <c r="A28" i="11"/>
  <c r="F14" i="7"/>
  <c r="F104" i="7" s="1"/>
  <c r="F105" i="7" s="1"/>
  <c r="E14" i="7"/>
  <c r="E104" i="7" s="1"/>
  <c r="E105" i="7" s="1"/>
  <c r="D14" i="7"/>
  <c r="D104" i="7" s="1"/>
  <c r="D105" i="7" s="1"/>
  <c r="C14" i="7"/>
  <c r="C104" i="7" s="1"/>
  <c r="C105" i="7" s="1"/>
  <c r="B14" i="7"/>
  <c r="P65" i="11"/>
  <c r="S65" i="11"/>
  <c r="N49" i="11"/>
  <c r="M49" i="11"/>
  <c r="M25" i="11"/>
  <c r="T25" i="11"/>
  <c r="N17" i="11"/>
  <c r="U17" i="11"/>
  <c r="K25" i="11"/>
  <c r="G25" i="11"/>
  <c r="C35" i="11"/>
  <c r="K35" i="11"/>
  <c r="J35" i="11"/>
  <c r="F35" i="11"/>
  <c r="F17" i="11"/>
  <c r="U63" i="11"/>
  <c r="Q63" i="11"/>
  <c r="V63" i="11"/>
  <c r="R63" i="11"/>
  <c r="S55" i="11"/>
  <c r="R55" i="11"/>
  <c r="O55" i="11"/>
  <c r="V55" i="11"/>
  <c r="R39" i="11"/>
  <c r="P39" i="11"/>
  <c r="M23" i="11"/>
  <c r="N23" i="11"/>
  <c r="R23" i="11"/>
  <c r="X14" i="11"/>
  <c r="R15" i="11"/>
  <c r="M15" i="11"/>
  <c r="U15" i="11"/>
  <c r="E65" i="11"/>
  <c r="J65" i="11"/>
  <c r="C65" i="11"/>
  <c r="B57" i="11"/>
  <c r="G57" i="11"/>
  <c r="J49" i="11"/>
  <c r="K49" i="11"/>
  <c r="I49" i="11"/>
  <c r="D41" i="11"/>
  <c r="B41" i="11"/>
  <c r="G41" i="11"/>
  <c r="H41" i="11"/>
  <c r="B31" i="11"/>
  <c r="F31" i="11"/>
  <c r="J31" i="11"/>
  <c r="C31" i="11"/>
  <c r="G31" i="11"/>
  <c r="K31" i="11"/>
  <c r="D23" i="11"/>
  <c r="H23" i="11"/>
  <c r="E23" i="11"/>
  <c r="I23" i="11"/>
  <c r="C15" i="11"/>
  <c r="G15" i="11"/>
  <c r="K15" i="11"/>
  <c r="D15" i="11"/>
  <c r="H15" i="11"/>
  <c r="X54" i="11"/>
  <c r="L55" i="11" s="1"/>
  <c r="J55" i="11"/>
  <c r="F55" i="11"/>
  <c r="J47" i="11"/>
  <c r="F47" i="11"/>
  <c r="H39" i="11"/>
  <c r="U37" i="11"/>
  <c r="Q37" i="11"/>
  <c r="S29" i="11"/>
  <c r="S21" i="11"/>
  <c r="H21" i="11"/>
  <c r="D63" i="11"/>
  <c r="X20" i="11"/>
  <c r="V11" i="11"/>
  <c r="T19" i="11"/>
  <c r="R27" i="11"/>
  <c r="O65" i="11"/>
  <c r="D53" i="11"/>
  <c r="U33" i="11"/>
  <c r="M33" i="11"/>
  <c r="J19" i="11"/>
  <c r="O11" i="11"/>
  <c r="M63" i="11"/>
  <c r="R11" i="11"/>
  <c r="M11" i="11"/>
  <c r="P19" i="11"/>
  <c r="R19" i="11"/>
  <c r="N27" i="11"/>
  <c r="T27" i="11"/>
  <c r="O47" i="11"/>
  <c r="O63" i="11"/>
  <c r="X62" i="11"/>
  <c r="U55" i="11"/>
  <c r="P55" i="11"/>
  <c r="T57" i="11"/>
  <c r="N55" i="11"/>
  <c r="F51" i="11"/>
  <c r="S49" i="11"/>
  <c r="O49" i="11"/>
  <c r="B45" i="11"/>
  <c r="T41" i="11"/>
  <c r="J37" i="11"/>
  <c r="T33" i="11"/>
  <c r="D33" i="11"/>
  <c r="O27" i="11"/>
  <c r="P25" i="11"/>
  <c r="U19" i="11"/>
  <c r="I19" i="11"/>
  <c r="D19" i="11"/>
  <c r="K11" i="11"/>
  <c r="C11" i="11"/>
  <c r="D61" i="11"/>
  <c r="X52" i="11"/>
  <c r="W53" i="11" s="1"/>
  <c r="Q11" i="11"/>
  <c r="V19" i="11"/>
  <c r="M27" i="11"/>
  <c r="T49" i="11"/>
  <c r="P49" i="11"/>
  <c r="F45" i="11"/>
  <c r="F19" i="11"/>
  <c r="D11" i="11"/>
  <c r="U39" i="11"/>
  <c r="N11" i="11"/>
  <c r="S19" i="11"/>
  <c r="N19" i="11"/>
  <c r="U27" i="11"/>
  <c r="P27" i="11"/>
  <c r="N63" i="11"/>
  <c r="S63" i="11"/>
  <c r="X18" i="11"/>
  <c r="L19" i="11" s="1"/>
  <c r="Q55" i="11"/>
  <c r="V49" i="11"/>
  <c r="R49" i="11"/>
  <c r="P41" i="11"/>
  <c r="F37" i="11"/>
  <c r="Q33" i="11"/>
  <c r="I27" i="11"/>
  <c r="M19" i="11"/>
  <c r="H19" i="11"/>
  <c r="C19" i="11"/>
  <c r="H11" i="11"/>
  <c r="X24" i="11"/>
  <c r="W25" i="11" s="1"/>
  <c r="Q39" i="11"/>
  <c r="S39" i="11"/>
  <c r="S59" i="11"/>
  <c r="N59" i="11"/>
  <c r="V47" i="11"/>
  <c r="U47" i="11"/>
  <c r="X46" i="11"/>
  <c r="V65" i="11"/>
  <c r="R65" i="11"/>
  <c r="N65" i="11"/>
  <c r="K59" i="11"/>
  <c r="T53" i="11"/>
  <c r="P53" i="11"/>
  <c r="B51" i="11"/>
  <c r="I43" i="11"/>
  <c r="U31" i="11"/>
  <c r="S25" i="11"/>
  <c r="O25" i="11"/>
  <c r="J25" i="11"/>
  <c r="F25" i="11"/>
  <c r="B25" i="11"/>
  <c r="Q17" i="11"/>
  <c r="B17" i="11"/>
  <c r="M39" i="11"/>
  <c r="O39" i="11"/>
  <c r="O59" i="11"/>
  <c r="P47" i="11"/>
  <c r="R47" i="11"/>
  <c r="Q47" i="11"/>
  <c r="U65" i="11"/>
  <c r="Q65" i="11"/>
  <c r="M65" i="11"/>
  <c r="U59" i="11"/>
  <c r="G59" i="11"/>
  <c r="S53" i="11"/>
  <c r="O53" i="11"/>
  <c r="Q31" i="11"/>
  <c r="V25" i="11"/>
  <c r="R25" i="11"/>
  <c r="N25" i="11"/>
  <c r="I25" i="11"/>
  <c r="E25" i="11"/>
  <c r="M17" i="11"/>
  <c r="V39" i="11"/>
  <c r="T39" i="11"/>
  <c r="X38" i="11"/>
  <c r="L39" i="11" s="1"/>
  <c r="T59" i="11"/>
  <c r="V59" i="11"/>
  <c r="S47" i="11"/>
  <c r="N47" i="11"/>
  <c r="M47" i="11"/>
  <c r="N39" i="11"/>
  <c r="T65" i="11"/>
  <c r="V53" i="11"/>
  <c r="R53" i="11"/>
  <c r="N53" i="11"/>
  <c r="U25" i="11"/>
  <c r="Q25" i="11"/>
  <c r="H25" i="11"/>
  <c r="D25" i="11"/>
  <c r="X60" i="11"/>
  <c r="L61" i="11" s="1"/>
  <c r="K53" i="11"/>
  <c r="G53" i="11"/>
  <c r="C53" i="11"/>
  <c r="I45" i="11"/>
  <c r="E45" i="11"/>
  <c r="S41" i="11"/>
  <c r="O41" i="11"/>
  <c r="I37" i="11"/>
  <c r="E37" i="11"/>
  <c r="S35" i="11"/>
  <c r="H27" i="11"/>
  <c r="D27" i="11"/>
  <c r="U23" i="11"/>
  <c r="Q23" i="11"/>
  <c r="K21" i="11"/>
  <c r="G21" i="11"/>
  <c r="C21" i="11"/>
  <c r="T17" i="11"/>
  <c r="P17" i="11"/>
  <c r="E61" i="11"/>
  <c r="I61" i="11"/>
  <c r="N61" i="11"/>
  <c r="R61" i="11"/>
  <c r="V61" i="11"/>
  <c r="X64" i="11"/>
  <c r="L65" i="11" s="1"/>
  <c r="R35" i="11"/>
  <c r="M35" i="11"/>
  <c r="J53" i="11"/>
  <c r="F53" i="11"/>
  <c r="B53" i="11"/>
  <c r="H45" i="11"/>
  <c r="D45" i="11"/>
  <c r="V41" i="11"/>
  <c r="R41" i="11"/>
  <c r="N41" i="11"/>
  <c r="H37" i="11"/>
  <c r="D37" i="11"/>
  <c r="O35" i="11"/>
  <c r="S33" i="11"/>
  <c r="O33" i="11"/>
  <c r="K27" i="11"/>
  <c r="G27" i="11"/>
  <c r="C27" i="11"/>
  <c r="T23" i="11"/>
  <c r="P23" i="11"/>
  <c r="V21" i="11"/>
  <c r="R21" i="11"/>
  <c r="N21" i="11"/>
  <c r="J21" i="11"/>
  <c r="F21" i="11"/>
  <c r="B21" i="11"/>
  <c r="B19" i="11"/>
  <c r="S17" i="11"/>
  <c r="O17" i="11"/>
  <c r="T15" i="11"/>
  <c r="P15" i="11"/>
  <c r="I13" i="11"/>
  <c r="J11" i="11"/>
  <c r="F11" i="11"/>
  <c r="B11" i="11"/>
  <c r="B61" i="11"/>
  <c r="F61" i="11"/>
  <c r="J61" i="11"/>
  <c r="O61" i="11"/>
  <c r="S61" i="11"/>
  <c r="X36" i="11"/>
  <c r="X48" i="11"/>
  <c r="X22" i="11"/>
  <c r="L23" i="11" s="1"/>
  <c r="G35" i="11"/>
  <c r="X26" i="11"/>
  <c r="L27" i="11" s="1"/>
  <c r="V35" i="11"/>
  <c r="Q35" i="11"/>
  <c r="X34" i="11"/>
  <c r="N35" i="11"/>
  <c r="I53" i="11"/>
  <c r="K45" i="11"/>
  <c r="G45" i="11"/>
  <c r="U41" i="11"/>
  <c r="Q41" i="11"/>
  <c r="K37" i="11"/>
  <c r="G37" i="11"/>
  <c r="V33" i="11"/>
  <c r="R33" i="11"/>
  <c r="J27" i="11"/>
  <c r="F27" i="11"/>
  <c r="S23" i="11"/>
  <c r="O23" i="11"/>
  <c r="U21" i="11"/>
  <c r="Q21" i="11"/>
  <c r="I21" i="11"/>
  <c r="V17" i="11"/>
  <c r="R17" i="11"/>
  <c r="S15" i="11"/>
  <c r="O15" i="11"/>
  <c r="I11" i="11"/>
  <c r="C61" i="11"/>
  <c r="G61" i="11"/>
  <c r="K61" i="11"/>
  <c r="P61" i="11"/>
  <c r="E35" i="11"/>
  <c r="Q83" i="7"/>
  <c r="P74" i="7"/>
  <c r="P71" i="7"/>
  <c r="P62" i="7"/>
  <c r="P53" i="7"/>
  <c r="Q47" i="7"/>
  <c r="P38" i="7"/>
  <c r="P37" i="7" s="1"/>
  <c r="P95" i="7"/>
  <c r="P80" i="7"/>
  <c r="P77" i="7"/>
  <c r="Q68" i="7"/>
  <c r="P56" i="7"/>
  <c r="Q50" i="7"/>
  <c r="P26" i="7"/>
  <c r="P25" i="7" s="1"/>
  <c r="P23" i="7"/>
  <c r="P22" i="7" s="1"/>
  <c r="I104" i="7"/>
  <c r="I105" i="7" s="1"/>
  <c r="Q65" i="7"/>
  <c r="P89" i="7"/>
  <c r="P59" i="7"/>
  <c r="P58" i="7" s="1"/>
  <c r="D59" i="11"/>
  <c r="H59" i="11"/>
  <c r="E59" i="11"/>
  <c r="I59" i="11"/>
  <c r="B59" i="11"/>
  <c r="F59" i="11"/>
  <c r="J59" i="11"/>
  <c r="X58" i="11"/>
  <c r="C51" i="11"/>
  <c r="G51" i="11"/>
  <c r="K51" i="11"/>
  <c r="X50" i="11"/>
  <c r="L51" i="11" s="1"/>
  <c r="D51" i="11"/>
  <c r="H51" i="11"/>
  <c r="E51" i="11"/>
  <c r="I51" i="11"/>
  <c r="B43" i="11"/>
  <c r="F43" i="11"/>
  <c r="J43" i="11"/>
  <c r="C43" i="11"/>
  <c r="G43" i="11"/>
  <c r="K43" i="11"/>
  <c r="D43" i="11"/>
  <c r="H43" i="11"/>
  <c r="E33" i="11"/>
  <c r="I33" i="11"/>
  <c r="B33" i="11"/>
  <c r="F33" i="11"/>
  <c r="J33" i="11"/>
  <c r="X32" i="11"/>
  <c r="C33" i="11"/>
  <c r="G33" i="11"/>
  <c r="K33" i="11"/>
  <c r="B13" i="11"/>
  <c r="F13" i="11"/>
  <c r="J13" i="11"/>
  <c r="X12" i="11"/>
  <c r="W13" i="11" s="1"/>
  <c r="C13" i="11"/>
  <c r="G13" i="11"/>
  <c r="K13" i="11"/>
  <c r="D13" i="11"/>
  <c r="H13" i="11"/>
  <c r="Q44" i="7"/>
  <c r="P92" i="7"/>
  <c r="M57" i="11"/>
  <c r="Q57" i="11"/>
  <c r="U57" i="11"/>
  <c r="N57" i="11"/>
  <c r="R57" i="11"/>
  <c r="V57" i="11"/>
  <c r="O57" i="11"/>
  <c r="S57" i="11"/>
  <c r="N51" i="11"/>
  <c r="O51" i="11"/>
  <c r="M51" i="11"/>
  <c r="R51" i="11"/>
  <c r="S51" i="11"/>
  <c r="P51" i="11"/>
  <c r="Q51" i="11"/>
  <c r="V51" i="11"/>
  <c r="X44" i="11"/>
  <c r="L45" i="11" s="1"/>
  <c r="M45" i="11"/>
  <c r="Q45" i="11"/>
  <c r="U45" i="11"/>
  <c r="N45" i="11"/>
  <c r="R45" i="11"/>
  <c r="V45" i="11"/>
  <c r="O45" i="11"/>
  <c r="S45" i="11"/>
  <c r="N31" i="11"/>
  <c r="R31" i="11"/>
  <c r="V31" i="11"/>
  <c r="O31" i="11"/>
  <c r="S31" i="11"/>
  <c r="P31" i="11"/>
  <c r="T31" i="11"/>
  <c r="N13" i="11"/>
  <c r="R13" i="11"/>
  <c r="V13" i="11"/>
  <c r="O13" i="11"/>
  <c r="S13" i="11"/>
  <c r="P13" i="11"/>
  <c r="T13" i="11"/>
  <c r="X30" i="11"/>
  <c r="L31" i="11" s="1"/>
  <c r="C17" i="11"/>
  <c r="G17" i="11"/>
  <c r="K17" i="11"/>
  <c r="D17" i="11"/>
  <c r="H17" i="11"/>
  <c r="X16" i="11"/>
  <c r="W17" i="11" s="1"/>
  <c r="E17" i="11"/>
  <c r="I17" i="11"/>
  <c r="P41" i="7"/>
  <c r="P40" i="7" s="1"/>
  <c r="P32" i="7"/>
  <c r="P31" i="7" s="1"/>
  <c r="P20" i="7"/>
  <c r="P19" i="7" s="1"/>
  <c r="M13" i="11"/>
  <c r="D29" i="11"/>
  <c r="H29" i="11"/>
  <c r="X28" i="11"/>
  <c r="W29" i="11" s="1"/>
  <c r="E29" i="11"/>
  <c r="I29" i="11"/>
  <c r="B29" i="11"/>
  <c r="F29" i="11"/>
  <c r="J29" i="11"/>
  <c r="I35" i="11"/>
  <c r="D35" i="11"/>
  <c r="L104" i="7"/>
  <c r="L105" i="7" s="1"/>
  <c r="H35" i="11"/>
  <c r="I35" i="13"/>
  <c r="L31" i="13"/>
  <c r="L19" i="13"/>
  <c r="L11" i="13"/>
  <c r="L6" i="13"/>
  <c r="L30" i="13"/>
  <c r="L26" i="13"/>
  <c r="L22" i="13"/>
  <c r="L18" i="13"/>
  <c r="L14" i="13"/>
  <c r="L9" i="13"/>
  <c r="L23" i="13"/>
  <c r="L5" i="13"/>
  <c r="L29" i="13"/>
  <c r="L25" i="13"/>
  <c r="L21" i="13"/>
  <c r="L17" i="13"/>
  <c r="L13" i="13"/>
  <c r="L8" i="13"/>
  <c r="L10" i="13"/>
  <c r="L27" i="13"/>
  <c r="L15" i="13"/>
  <c r="J4" i="13"/>
  <c r="L32" i="13"/>
  <c r="L28" i="13"/>
  <c r="L24" i="13"/>
  <c r="L20" i="13"/>
  <c r="L16" i="13"/>
  <c r="L12" i="13"/>
  <c r="L7" i="13"/>
  <c r="J104" i="7"/>
  <c r="J105" i="7" s="1"/>
  <c r="K104" i="7"/>
  <c r="K105" i="7" s="1"/>
  <c r="P17" i="7"/>
  <c r="P16" i="7" s="1"/>
  <c r="R9" i="11"/>
  <c r="N9" i="11"/>
  <c r="V9" i="11"/>
  <c r="X8" i="11"/>
  <c r="W9" i="11" s="1"/>
  <c r="U9" i="11"/>
  <c r="Q9" i="11"/>
  <c r="M9" i="11"/>
  <c r="T9" i="11"/>
  <c r="P9" i="11"/>
  <c r="S9" i="11"/>
  <c r="F9" i="11"/>
  <c r="B9" i="11"/>
  <c r="J9" i="11"/>
  <c r="I9" i="11"/>
  <c r="E9" i="11"/>
  <c r="H9" i="11"/>
  <c r="D9" i="11"/>
  <c r="K9" i="11"/>
  <c r="G9" i="11"/>
  <c r="C9" i="11"/>
  <c r="T7" i="11"/>
  <c r="P7" i="11"/>
  <c r="S7" i="11"/>
  <c r="O7" i="11"/>
  <c r="V7" i="11"/>
  <c r="R7" i="11"/>
  <c r="N7" i="11"/>
  <c r="X6" i="11"/>
  <c r="W7" i="11" s="1"/>
  <c r="U7" i="11"/>
  <c r="Q7" i="11"/>
  <c r="H7" i="11"/>
  <c r="L67" i="11"/>
  <c r="B68" i="11" s="1"/>
  <c r="K7" i="11"/>
  <c r="G7" i="11"/>
  <c r="E7" i="11"/>
  <c r="J7" i="11"/>
  <c r="F7" i="11"/>
  <c r="D7" i="11"/>
  <c r="I7" i="11"/>
  <c r="C7" i="11"/>
  <c r="P103" i="7"/>
  <c r="S5" i="11"/>
  <c r="O5" i="11"/>
  <c r="V5" i="11"/>
  <c r="N5" i="11"/>
  <c r="U5" i="11"/>
  <c r="Q5" i="11"/>
  <c r="M5" i="11"/>
  <c r="R5" i="11"/>
  <c r="X4" i="11"/>
  <c r="W5" i="11" s="1"/>
  <c r="W67" i="11"/>
  <c r="W70" i="11" s="1"/>
  <c r="T5" i="11"/>
  <c r="I5" i="11"/>
  <c r="F5" i="11"/>
  <c r="E5" i="11"/>
  <c r="J5" i="11"/>
  <c r="B5" i="11"/>
  <c r="H5" i="11"/>
  <c r="D5" i="11"/>
  <c r="K5" i="11"/>
  <c r="G5" i="11"/>
  <c r="C5" i="11"/>
  <c r="E50" i="1"/>
  <c r="Q62" i="7" l="1"/>
  <c r="P61" i="7"/>
  <c r="Q56" i="7"/>
  <c r="P55" i="7"/>
  <c r="Q53" i="7"/>
  <c r="P52" i="7"/>
  <c r="W57" i="11"/>
  <c r="X57" i="11" s="1"/>
  <c r="L41" i="11"/>
  <c r="X41" i="11" s="1"/>
  <c r="L43" i="11"/>
  <c r="X43" i="11" s="1"/>
  <c r="L25" i="11"/>
  <c r="X25" i="11" s="1"/>
  <c r="L11" i="11"/>
  <c r="X11" i="11" s="1"/>
  <c r="W61" i="11"/>
  <c r="L70" i="11"/>
  <c r="H68" i="11"/>
  <c r="D68" i="11"/>
  <c r="I68" i="11"/>
  <c r="K68" i="11"/>
  <c r="G68" i="11"/>
  <c r="C68" i="11"/>
  <c r="J68" i="11"/>
  <c r="F68" i="11"/>
  <c r="E68" i="11"/>
  <c r="Q38" i="7"/>
  <c r="Q80" i="7"/>
  <c r="A21" i="1"/>
  <c r="A19" i="18" s="1"/>
  <c r="A17" i="13"/>
  <c r="A48" i="7"/>
  <c r="A30" i="11"/>
  <c r="P14" i="7"/>
  <c r="P13" i="7" s="1"/>
  <c r="B104" i="7"/>
  <c r="B105" i="7" s="1"/>
  <c r="X61" i="11"/>
  <c r="W55" i="11"/>
  <c r="X55" i="11" s="1"/>
  <c r="Q71" i="7"/>
  <c r="W27" i="11"/>
  <c r="X27" i="11" s="1"/>
  <c r="W39" i="11"/>
  <c r="X39" i="11" s="1"/>
  <c r="W21" i="11"/>
  <c r="L21" i="11"/>
  <c r="L15" i="11"/>
  <c r="W15" i="11"/>
  <c r="W19" i="11"/>
  <c r="X19" i="11" s="1"/>
  <c r="L53" i="11"/>
  <c r="X53" i="11" s="1"/>
  <c r="L63" i="11"/>
  <c r="W63" i="11"/>
  <c r="W51" i="11"/>
  <c r="X51" i="11" s="1"/>
  <c r="W47" i="11"/>
  <c r="L47" i="11"/>
  <c r="W45" i="11"/>
  <c r="X45" i="11" s="1"/>
  <c r="W37" i="11"/>
  <c r="L37" i="11"/>
  <c r="L35" i="11"/>
  <c r="W35" i="11"/>
  <c r="W65" i="11"/>
  <c r="X65" i="11" s="1"/>
  <c r="W49" i="11"/>
  <c r="L49" i="11"/>
  <c r="W23" i="11"/>
  <c r="X23" i="11" s="1"/>
  <c r="Q77" i="7"/>
  <c r="Q23" i="7"/>
  <c r="Q74" i="7"/>
  <c r="Q26" i="7"/>
  <c r="Q32" i="7"/>
  <c r="Q89" i="7"/>
  <c r="L29" i="11"/>
  <c r="X29" i="11" s="1"/>
  <c r="Q41" i="7"/>
  <c r="W31" i="11"/>
  <c r="X31" i="11" s="1"/>
  <c r="Q92" i="7"/>
  <c r="L13" i="11"/>
  <c r="X13" i="11" s="1"/>
  <c r="Q20" i="7"/>
  <c r="L17" i="11"/>
  <c r="X17" i="11" s="1"/>
  <c r="W33" i="11"/>
  <c r="L33" i="11"/>
  <c r="L59" i="11"/>
  <c r="W59" i="11"/>
  <c r="Q59" i="7"/>
  <c r="J35" i="13"/>
  <c r="K4" i="13"/>
  <c r="L4" i="13"/>
  <c r="Q17" i="7"/>
  <c r="L9" i="11"/>
  <c r="X9" i="11" s="1"/>
  <c r="X67" i="11"/>
  <c r="X70" i="11" s="1"/>
  <c r="L7" i="11"/>
  <c r="X7" i="11" s="1"/>
  <c r="L5" i="11"/>
  <c r="X5" i="11" s="1"/>
  <c r="U68" i="11"/>
  <c r="X49" i="11" l="1"/>
  <c r="X37" i="11"/>
  <c r="X21" i="11"/>
  <c r="X63" i="11"/>
  <c r="L68" i="11"/>
  <c r="Q14" i="7"/>
  <c r="A22" i="1"/>
  <c r="A20" i="18" s="1"/>
  <c r="A18" i="13"/>
  <c r="A51" i="7"/>
  <c r="A32" i="11"/>
  <c r="X15" i="11"/>
  <c r="X35" i="11"/>
  <c r="X47" i="11"/>
  <c r="X59" i="11"/>
  <c r="X33" i="11"/>
  <c r="K35" i="13"/>
  <c r="L35" i="13"/>
  <c r="S71" i="11"/>
  <c r="O68" i="11"/>
  <c r="N68" i="11"/>
  <c r="R68" i="11"/>
  <c r="P68" i="11"/>
  <c r="W68" i="11"/>
  <c r="V68" i="11"/>
  <c r="T68" i="11"/>
  <c r="Q68" i="11"/>
  <c r="M68" i="11"/>
  <c r="S68" i="11"/>
  <c r="U71" i="11"/>
  <c r="J71" i="11"/>
  <c r="A23" i="1" l="1"/>
  <c r="A21" i="18" s="1"/>
  <c r="A54" i="7"/>
  <c r="A19" i="13"/>
  <c r="A34" i="11"/>
  <c r="K71" i="11"/>
  <c r="E71" i="11"/>
  <c r="P71" i="11"/>
  <c r="F71" i="11"/>
  <c r="X68" i="11"/>
  <c r="N71" i="11"/>
  <c r="B71" i="11"/>
  <c r="D71" i="11"/>
  <c r="M71" i="11"/>
  <c r="Q71" i="11"/>
  <c r="V71" i="11"/>
  <c r="L71" i="11"/>
  <c r="O71" i="11"/>
  <c r="G71" i="11"/>
  <c r="T71" i="11"/>
  <c r="I71" i="11"/>
  <c r="H71" i="11"/>
  <c r="W71" i="11"/>
  <c r="R71" i="11"/>
  <c r="C71" i="11"/>
  <c r="A24" i="1" l="1"/>
  <c r="A22" i="18" s="1"/>
  <c r="A57" i="7"/>
  <c r="A20" i="13"/>
  <c r="A36" i="11"/>
  <c r="X71" i="11"/>
  <c r="M11" i="7"/>
  <c r="A25" i="1" l="1"/>
  <c r="A23" i="18" s="1"/>
  <c r="A60" i="7"/>
  <c r="A21" i="13"/>
  <c r="A38" i="11"/>
  <c r="M104" i="7"/>
  <c r="M105" i="7" s="1"/>
  <c r="P11" i="7"/>
  <c r="P10" i="7" s="1"/>
  <c r="A26" i="1" l="1"/>
  <c r="A24" i="18" s="1"/>
  <c r="A22" i="13"/>
  <c r="A63" i="7"/>
  <c r="A40" i="11"/>
  <c r="Q11" i="7"/>
  <c r="P104" i="7"/>
  <c r="P105" i="7"/>
  <c r="A27" i="1" l="1"/>
  <c r="A25" i="18" s="1"/>
  <c r="A23" i="13"/>
  <c r="A66" i="7"/>
  <c r="A42" i="11"/>
  <c r="A28" i="1" l="1"/>
  <c r="A26" i="18" s="1"/>
  <c r="A69" i="7"/>
  <c r="A24" i="13"/>
  <c r="A44" i="11"/>
  <c r="A29" i="1" l="1"/>
  <c r="A27" i="18" s="1"/>
  <c r="A25" i="13"/>
  <c r="A72" i="7"/>
  <c r="A46" i="11"/>
  <c r="A30" i="1" l="1"/>
  <c r="A28" i="18" s="1"/>
  <c r="A26" i="13"/>
  <c r="A75" i="7"/>
  <c r="A48" i="11"/>
  <c r="A31" i="1" l="1"/>
  <c r="A29" i="18" s="1"/>
  <c r="A27" i="13"/>
  <c r="A78" i="7"/>
  <c r="A50" i="11"/>
  <c r="A32" i="1" l="1"/>
  <c r="A30" i="18" s="1"/>
  <c r="A81" i="7"/>
  <c r="A28" i="13"/>
  <c r="A52" i="11"/>
  <c r="A33" i="1" l="1"/>
  <c r="A31" i="18" s="1"/>
  <c r="A29" i="13"/>
  <c r="A84" i="7"/>
  <c r="A54" i="11"/>
  <c r="A34" i="1" l="1"/>
  <c r="A32" i="18" s="1"/>
  <c r="A30" i="13"/>
  <c r="A87" i="7"/>
  <c r="A56" i="11"/>
  <c r="A35" i="1" l="1"/>
  <c r="A31" i="13"/>
  <c r="A90" i="7"/>
  <c r="A58" i="11"/>
  <c r="A33" i="18" l="1"/>
  <c r="AB35" i="1"/>
  <c r="AD35" i="1" s="1"/>
  <c r="AA35" i="1"/>
  <c r="AC35" i="1" s="1"/>
  <c r="A36" i="1"/>
  <c r="A93" i="7"/>
  <c r="A32" i="13"/>
  <c r="A60" i="11"/>
  <c r="A34" i="18" l="1"/>
  <c r="AA36" i="1"/>
  <c r="AC36" i="1" s="1"/>
  <c r="AB36" i="1"/>
  <c r="AD36" i="1" s="1"/>
  <c r="Q98" i="7" s="1"/>
  <c r="Q95" i="7"/>
  <c r="A37" i="1"/>
  <c r="A33" i="13"/>
  <c r="A96" i="7"/>
  <c r="A62" i="11"/>
  <c r="A35" i="18" l="1"/>
  <c r="AA37" i="1"/>
  <c r="AB37" i="1"/>
  <c r="AB39" i="1" s="1"/>
  <c r="AA39" i="1"/>
  <c r="A64" i="11"/>
  <c r="A34" i="13"/>
  <c r="A99" i="7"/>
  <c r="AC37" i="1" l="1"/>
  <c r="AC39" i="1" s="1"/>
  <c r="AD37" i="1"/>
  <c r="Q101" i="7" s="1"/>
  <c r="Q105" i="7" s="1"/>
  <c r="E46" i="1"/>
  <c r="E47" i="1" s="1"/>
  <c r="AD39" i="1" l="1"/>
  <c r="E48" i="1" s="1"/>
  <c r="B15" i="9"/>
  <c r="B21" i="9" l="1"/>
  <c r="B27" i="9" s="1"/>
  <c r="I6" i="9" l="1"/>
  <c r="B61" i="9" l="1"/>
  <c r="B62" i="9" s="1"/>
  <c r="B28" i="9"/>
</calcChain>
</file>

<file path=xl/comments1.xml><?xml version="1.0" encoding="utf-8"?>
<comments xmlns="http://schemas.openxmlformats.org/spreadsheetml/2006/main">
  <authors>
    <author>Ilker Yurtlu</author>
    <author>Melek Onen</author>
  </authors>
  <commentList>
    <comment ref="B2" authorId="0" shapeId="0">
      <text>
        <r>
          <rPr>
            <b/>
            <sz val="9"/>
            <color indexed="81"/>
            <rFont val="Tahoma"/>
            <family val="2"/>
            <charset val="162"/>
          </rPr>
          <t>Ilker Yurtlu:</t>
        </r>
        <r>
          <rPr>
            <sz val="9"/>
            <color indexed="81"/>
            <rFont val="Tahoma"/>
            <family val="2"/>
            <charset val="162"/>
          </rPr>
          <t xml:space="preserve">
Tarifeye göre 10 dak.da yapılan ücretsiz çıkışlar</t>
        </r>
      </text>
    </comment>
    <comment ref="C2" authorId="1" shapeId="0">
      <text>
        <r>
          <rPr>
            <b/>
            <sz val="9"/>
            <color indexed="81"/>
            <rFont val="Tahoma"/>
            <family val="2"/>
            <charset val="162"/>
          </rPr>
          <t>Melek Onen:</t>
        </r>
        <r>
          <rPr>
            <sz val="9"/>
            <color indexed="81"/>
            <rFont val="Tahoma"/>
            <family val="2"/>
            <charset val="162"/>
          </rPr>
          <t xml:space="preserve">
Manual Açılış Toplamları. Tav Passport ve E-fatura açılışları eklenmeyecek
</t>
        </r>
      </text>
    </comment>
    <comment ref="D2" authorId="1" shapeId="0">
      <text>
        <r>
          <rPr>
            <b/>
            <sz val="9"/>
            <color indexed="81"/>
            <rFont val="Tahoma"/>
            <family val="2"/>
            <charset val="162"/>
          </rPr>
          <t>Melek Onen:</t>
        </r>
        <r>
          <rPr>
            <sz val="9"/>
            <color indexed="81"/>
            <rFont val="Tahoma"/>
            <family val="2"/>
            <charset val="162"/>
          </rPr>
          <t xml:space="preserve">
Müşteriler &gt; Park aktiviteleri &gt; Hepsi, tarih aralığı seç, SAĞDAN SADECE ÇIKIŞ SEÇ
 Freepass ları say</t>
        </r>
      </text>
    </comment>
  </commentList>
</comments>
</file>

<file path=xl/comments2.xml><?xml version="1.0" encoding="utf-8"?>
<comments xmlns="http://schemas.openxmlformats.org/spreadsheetml/2006/main">
  <authors>
    <author>ADB Otopark</author>
  </authors>
  <commentList>
    <comment ref="E56" authorId="0" shapeId="0">
      <text>
        <r>
          <rPr>
            <b/>
            <sz val="9"/>
            <color indexed="81"/>
            <rFont val="Tahoma"/>
            <family val="2"/>
            <charset val="162"/>
          </rPr>
          <t>ADB Otopark:</t>
        </r>
        <r>
          <rPr>
            <sz val="9"/>
            <color indexed="81"/>
            <rFont val="Tahoma"/>
            <family val="2"/>
            <charset val="162"/>
          </rPr>
          <t xml:space="preserve">
fiş no okunamamaktadır.</t>
        </r>
      </text>
    </comment>
    <comment ref="E57" authorId="0" shapeId="0">
      <text>
        <r>
          <rPr>
            <b/>
            <sz val="9"/>
            <color indexed="81"/>
            <rFont val="Tahoma"/>
            <family val="2"/>
            <charset val="162"/>
          </rPr>
          <t>ADB Otopark:</t>
        </r>
        <r>
          <rPr>
            <sz val="9"/>
            <color indexed="81"/>
            <rFont val="Tahoma"/>
            <family val="2"/>
            <charset val="162"/>
          </rPr>
          <t xml:space="preserve">
fiş no okunamamaktadır</t>
        </r>
      </text>
    </comment>
  </commentList>
</comments>
</file>

<file path=xl/sharedStrings.xml><?xml version="1.0" encoding="utf-8"?>
<sst xmlns="http://schemas.openxmlformats.org/spreadsheetml/2006/main" count="892" uniqueCount="310">
  <si>
    <t>TÜM KASALARA GÖRE ÖDEME DETAYLARI</t>
  </si>
  <si>
    <t>TARİH</t>
  </si>
  <si>
    <t>MERKEZ</t>
  </si>
  <si>
    <t>ÇIKIŞÖDEME 1</t>
  </si>
  <si>
    <t>ÇIKIŞÖDEME 2</t>
  </si>
  <si>
    <t>GÜNEY OTOBÜS</t>
  </si>
  <si>
    <t>TOPLAM</t>
  </si>
  <si>
    <t>ABONE HARİCİ</t>
  </si>
  <si>
    <t>ABONE KASA</t>
  </si>
  <si>
    <t>ÖDEME KASASI</t>
  </si>
  <si>
    <t>TOTAL</t>
  </si>
  <si>
    <t>Total Hasılat</t>
  </si>
  <si>
    <t>ABONE HARİCİ  GELİR</t>
  </si>
  <si>
    <t>Günlük Ortalama</t>
  </si>
  <si>
    <t>BİLETLİ</t>
  </si>
  <si>
    <t>ARAÇ ve OTOBÜS KAYIP + ARIZALI</t>
  </si>
  <si>
    <t>ABONE KARTI</t>
  </si>
  <si>
    <t>MANUEL ÇIKIŞ</t>
  </si>
  <si>
    <t>ARAÇ</t>
  </si>
  <si>
    <t>OTOBÜS</t>
  </si>
  <si>
    <t>GİRİŞ</t>
  </si>
  <si>
    <t>ÇIKIŞ</t>
  </si>
  <si>
    <t>Temmuz</t>
  </si>
  <si>
    <t>Ağustos</t>
  </si>
  <si>
    <t>Eylül</t>
  </si>
  <si>
    <t>Ekim</t>
  </si>
  <si>
    <t>Kasım</t>
  </si>
  <si>
    <t>Aralık</t>
  </si>
  <si>
    <t>Total</t>
  </si>
  <si>
    <t>Abonelik Türü</t>
  </si>
  <si>
    <t>Abonelik Bedeli</t>
  </si>
  <si>
    <t>Toplam Sayısı</t>
  </si>
  <si>
    <t>Toplam Bedeli</t>
  </si>
  <si>
    <t>RENT A CAR</t>
  </si>
  <si>
    <t>ARAÇ OTOPARKI</t>
  </si>
  <si>
    <t>OTOBÜS OTOPARKI</t>
  </si>
  <si>
    <t>GENEL TOPLAM</t>
  </si>
  <si>
    <t>0-1 Saat</t>
  </si>
  <si>
    <t>1-3 Saat</t>
  </si>
  <si>
    <t>3-6 Saat</t>
  </si>
  <si>
    <t>6-12 Saat</t>
  </si>
  <si>
    <t>12-24 Saat</t>
  </si>
  <si>
    <t>Şubat</t>
  </si>
  <si>
    <t>Mart</t>
  </si>
  <si>
    <t>Nisan</t>
  </si>
  <si>
    <t>Mayıs</t>
  </si>
  <si>
    <t>Haziran</t>
  </si>
  <si>
    <t>TOPLAM
ABONE</t>
  </si>
  <si>
    <t>KREDİ KARTI ÖDEMELERİ</t>
  </si>
  <si>
    <t>-</t>
  </si>
  <si>
    <t>KART BEDELİ</t>
  </si>
  <si>
    <t>NAKİT</t>
  </si>
  <si>
    <t>FATURA</t>
  </si>
  <si>
    <t>NAKİT FATURA</t>
  </si>
  <si>
    <t>KREDİ KARTI                           FATURA</t>
  </si>
  <si>
    <t>KREDİ KARTI FATURA</t>
  </si>
  <si>
    <t xml:space="preserve"> </t>
  </si>
  <si>
    <t>KONTROL</t>
  </si>
  <si>
    <t>GELİRLER TL</t>
  </si>
  <si>
    <t>TL</t>
  </si>
  <si>
    <t>0-1 saat</t>
  </si>
  <si>
    <t>1-3 saat</t>
  </si>
  <si>
    <t>3-6 saat</t>
  </si>
  <si>
    <t>6-12 saat</t>
  </si>
  <si>
    <t>12-24 saat</t>
  </si>
  <si>
    <t>24 + saat</t>
  </si>
  <si>
    <t>AÇIKLAMA</t>
  </si>
  <si>
    <t>KDV 'siz</t>
  </si>
  <si>
    <t>KDV 'li</t>
  </si>
  <si>
    <t>KDV 'li TOTAL</t>
  </si>
  <si>
    <t>KDV 'siz TOTAL</t>
  </si>
  <si>
    <t>Araç SAYISI TOT.</t>
  </si>
  <si>
    <t>K.K ÖDEMELERİ MRK</t>
  </si>
  <si>
    <t>ÖZEL TARİFE</t>
  </si>
  <si>
    <t>FORMÜLE BAĞLI SİLMEYİN!!!!!!!!!!!!!!</t>
  </si>
  <si>
    <t>▼</t>
  </si>
  <si>
    <t>KDV'Lİ</t>
  </si>
  <si>
    <t>KDV'SİZ</t>
  </si>
  <si>
    <t>TOPLAM ABONE</t>
  </si>
  <si>
    <t>TOPLAM TUTAR</t>
  </si>
  <si>
    <t>ÇIKIŞ 1-2</t>
  </si>
  <si>
    <t>ABONE TUTAR</t>
  </si>
  <si>
    <t>TAV CARD</t>
  </si>
  <si>
    <t>Ocak</t>
  </si>
  <si>
    <t>ÜCRETSİZ</t>
  </si>
  <si>
    <t>ÜCRETLİ YÜZDE</t>
  </si>
  <si>
    <t>ÜCRETSİZ YÜZDE</t>
  </si>
  <si>
    <t>K.KART TUTARI</t>
  </si>
  <si>
    <t>1 Gün</t>
  </si>
  <si>
    <t>2 Gün</t>
  </si>
  <si>
    <t>3 Gün</t>
  </si>
  <si>
    <t>4 Gün</t>
  </si>
  <si>
    <t>5 Gün (+)</t>
  </si>
  <si>
    <t>ORTALAMA</t>
  </si>
  <si>
    <t>CIP</t>
  </si>
  <si>
    <t>SN</t>
  </si>
  <si>
    <t>BARİYER NO</t>
  </si>
  <si>
    <t xml:space="preserve">TARİH </t>
  </si>
  <si>
    <t>SAAT</t>
  </si>
  <si>
    <t>BİLET NO</t>
  </si>
  <si>
    <t>BİLGİ İŞLEM MEMURU</t>
  </si>
  <si>
    <t>MRK</t>
  </si>
  <si>
    <t>ÖZLEM DEMİRCİOĞLU</t>
  </si>
  <si>
    <t>ASİYE TELLİ</t>
  </si>
  <si>
    <t>ÖMER AYDIN</t>
  </si>
  <si>
    <t>MELEK ÖNEN</t>
  </si>
  <si>
    <t>NAZMİYE ÖZGÜR</t>
  </si>
  <si>
    <t>ÇKŞ 1</t>
  </si>
  <si>
    <t>ÇKŞ 3</t>
  </si>
  <si>
    <t>GBUS</t>
  </si>
  <si>
    <t>ÜCRETLİ ABONE</t>
  </si>
  <si>
    <t>BİLETSİZ ÇIKIŞ
 TOPLAM</t>
  </si>
  <si>
    <t>BİLETLİ ÇIKIŞ TOPLAM</t>
  </si>
  <si>
    <t>ÜCRETSİZ TOPLAM</t>
  </si>
  <si>
    <t>ÜCRETLİ TOPLAM</t>
  </si>
  <si>
    <t>TOPLAM ÇIKIŞ</t>
  </si>
  <si>
    <t>MANUEL BARİYER AÇMA</t>
  </si>
  <si>
    <t>FREE PASS</t>
  </si>
  <si>
    <t>ABONE</t>
  </si>
  <si>
    <t>FİŞ NO</t>
  </si>
  <si>
    <t>TUTAR</t>
  </si>
  <si>
    <t>İŞLEM</t>
  </si>
  <si>
    <t>ÇKŞ 2</t>
  </si>
  <si>
    <t>KBUS</t>
  </si>
  <si>
    <t>ZORUNLU</t>
  </si>
  <si>
    <t>KAYIP</t>
  </si>
  <si>
    <t>BİLET ÜRET.</t>
  </si>
  <si>
    <t>HAVALE/CARİ                          FATURA</t>
  </si>
  <si>
    <t>HAVALE/CARİ FATURA</t>
  </si>
  <si>
    <t>GÜVEN KOÇ</t>
  </si>
  <si>
    <t>YENİ BİLET (CONG.)</t>
  </si>
  <si>
    <t>ADB APRON KARTLI</t>
  </si>
  <si>
    <t>İLKER YURTLU</t>
  </si>
  <si>
    <t xml:space="preserve">MURAT TOYKU </t>
  </si>
  <si>
    <t>PELİN KESKİN</t>
  </si>
  <si>
    <t>VOLKAN UZUNYOL</t>
  </si>
  <si>
    <t>YEŞİM GÜRCAN ÖZMUMCU</t>
  </si>
  <si>
    <t>TRANSİT ÇIKIŞ</t>
  </si>
  <si>
    <t>K.K ÖDEMELERİ ÇKŞ1-ÇKŞ2-ÇKŞ5-GBUS</t>
  </si>
  <si>
    <t>BAYRAM ŞALK</t>
  </si>
  <si>
    <t>DİLEK ÖZKARA</t>
  </si>
  <si>
    <t>H.OZAN DERETARLA</t>
  </si>
  <si>
    <t>M.BARIŞ KILCI</t>
  </si>
  <si>
    <t>MERT AKSUNGUR</t>
  </si>
  <si>
    <t>MERVE TÜZÜNER</t>
  </si>
  <si>
    <t>KAPASİTE:</t>
  </si>
  <si>
    <t>DOLULUK</t>
  </si>
  <si>
    <t>TOP.</t>
  </si>
  <si>
    <t>OTOMATİK</t>
  </si>
  <si>
    <t>TALPA
TÜM MEYD. KARTLI</t>
  </si>
  <si>
    <t>OTOBÜS 1 AY
ÇOKLU</t>
  </si>
  <si>
    <t>MOTOSİKLET 1 AY
ÇOKLU</t>
  </si>
  <si>
    <t>ARAÇ 15 GÜN</t>
  </si>
  <si>
    <t>ARAÇ 30 GÜN
TEKLİ</t>
  </si>
  <si>
    <t>MOTOSİKLET 15 GÜN</t>
  </si>
  <si>
    <t>ARAÇ 1 AY
ÇOKLU</t>
  </si>
  <si>
    <t>OTOBÜS 30 GÜN
TEKLİ</t>
  </si>
  <si>
    <t>MOTOSİKLET 30 GÜN
TEKLİ</t>
  </si>
  <si>
    <t>KUZEY OTOBÜS</t>
  </si>
  <si>
    <t>ABONE SÜRE AŞIMINA İSTİNADEN ÜRETİLMİŞTİR - 5290 ID - NURAN WELLNITZ</t>
  </si>
  <si>
    <t>PTS ONAYLI - 35 BPE 419</t>
  </si>
  <si>
    <t>01:24 DEKİ ÇİFT GEÇİŞE İSTİNADEN ÜRETİLDİ TRANSİT GEÇİŞ SÜRESİ- 34 LL 6954</t>
  </si>
  <si>
    <t>PTS ONAYLI - 34 RA 9612</t>
  </si>
  <si>
    <t>41553-SÜRE AŞIM ÜCRETİ</t>
  </si>
  <si>
    <t>PTS ONAYLI-20 AP 022</t>
  </si>
  <si>
    <t>PTS ONAYLI-35 BJC 087</t>
  </si>
  <si>
    <t>KASA FAZLASINA İSTİNADEN ÜRETİLMİŞTİR.</t>
  </si>
  <si>
    <t>ABONE SÜRE AŞIMINA İSTİNADEN ÜRETİLMİŞTİR - 11331 ID - SAMİ GÜL</t>
  </si>
  <si>
    <t>PTS ONAYLIDIR - 09 AFG 635</t>
  </si>
  <si>
    <t>KASA FAZLASI-ELİF TÜRKAN</t>
  </si>
  <si>
    <t>PTS ONAYLI-07 AIA 403</t>
  </si>
  <si>
    <t>PTS ONAYLI-34 GJK 327</t>
  </si>
  <si>
    <t>PTS ONAYLI-09 AFN 884</t>
  </si>
  <si>
    <t>PTS ONAYLI-26 AD 508</t>
  </si>
  <si>
    <t>PTS ONAYLI-34 KBB 094</t>
  </si>
  <si>
    <t>ABONE SÜRE AŞIMI-BARIŞ AHMET YAZICI-38851</t>
  </si>
  <si>
    <t>PTS ONAYLI-34 KKM 781</t>
  </si>
  <si>
    <t>KASA FAZLASI</t>
  </si>
  <si>
    <t>C.ERTELEME(35 AYT 297)FATİH ŞAMA</t>
  </si>
  <si>
    <t xml:space="preserve">8296 NOLU ABONE SÜRE AŞIM ÜCRETİ </t>
  </si>
  <si>
    <t>28871 NOLU ABONE SÜRE AŞIM ÜCRETİ</t>
  </si>
  <si>
    <t>PTS ONAYLI - 48 AST 086</t>
  </si>
  <si>
    <t>ABONELİK BİTİŞİ-ID NO:8556</t>
  </si>
  <si>
    <t>PTS ONAY-35 MB 6525</t>
  </si>
  <si>
    <t xml:space="preserve">1 ADET ZORUNLU=800,00TL </t>
  </si>
  <si>
    <t>PTS ONAY-10 ER 215</t>
  </si>
  <si>
    <t xml:space="preserve">PTS ONAY-34 FFJ 223 </t>
  </si>
  <si>
    <t>PTS ONAY-17 UC 600</t>
  </si>
  <si>
    <t>PTS ONAY-07 BRA 765</t>
  </si>
  <si>
    <t>PTS ONAY-07BEE 357-ÇİZGİ</t>
  </si>
  <si>
    <t>BİLET SIKIŞMASI NEDENİYLE ÜRETİLEN BİLET-07 BPJ 187</t>
  </si>
  <si>
    <t>BİLET SIKIŞMASI NEDENİYLE ÜRETİLEN BİLET-34 FSF782</t>
  </si>
  <si>
    <t>PTS ONAYLI - 16 AUH 355</t>
  </si>
  <si>
    <t>PTS ONAYLI - 45 B 6936</t>
  </si>
  <si>
    <t>PTS ONAYLI 34 FKH 687 ANADOLU CARİ</t>
  </si>
  <si>
    <t>PTS ONAYLI - 35 AHR 993</t>
  </si>
  <si>
    <t>PTS ONAYLI 35 CFA 871 ERBOY CARİ</t>
  </si>
  <si>
    <t>PTS ONAYLI - 07 BRL 846</t>
  </si>
  <si>
    <t>PTS ONAYLI - 35 BJH 101 ERBOY CARİ</t>
  </si>
  <si>
    <t>AHMET DEMİRTAŞ</t>
  </si>
  <si>
    <t>16.21</t>
  </si>
  <si>
    <t>PTS ONAYLI - 07 BPT 121 ÇİZGİ CARİ</t>
  </si>
  <si>
    <t>PTS ONAYLI - 35 BVY 623</t>
  </si>
  <si>
    <t>ABONE SÜRE AŞIMINA İSTİNADEN ÜRETİLMİŞTİR - OB EO 5505/ ERKUT ÖVÜÇ</t>
  </si>
  <si>
    <t>PTS  ONAYLI - 09 TS 518</t>
  </si>
  <si>
    <t>PTS ONAYLI - 35 MB 6057</t>
  </si>
  <si>
    <t>PTS ONAYLI - 07 BGZ 793</t>
  </si>
  <si>
    <t>PTS ONAYLI - 34 CJD 472 ( TAVCARD )</t>
  </si>
  <si>
    <t>1 ADET ZORUNLU = 4.600.00 TL</t>
  </si>
  <si>
    <t>KASA FAZLASI -KORAY AKÇİN</t>
  </si>
  <si>
    <t>PTS ONAYLI -35 AZH 281</t>
  </si>
  <si>
    <t>PTS ONAYLI-35 BGC 301</t>
  </si>
  <si>
    <t>PTS ONAYLI-35 BVK 7491</t>
  </si>
  <si>
    <t>PTS ONAY - 48 EB 472</t>
  </si>
  <si>
    <t>ENGELLİ SÜRE AŞIMI 34 HR 3447 (MUSTAFA REŞAT SOYTOK )</t>
  </si>
  <si>
    <t>PTS ONAYLI - 01 AFZ 465</t>
  </si>
  <si>
    <t>1 ADET ZORUNLU = 600.00 TL</t>
  </si>
  <si>
    <t>ABONE SÜRE AŞIMINA İSTİNADEN ÜRETİLTİLMİŞTİR (KULLANICI İD. 32218)</t>
  </si>
  <si>
    <t>PTS ONAYLI - 09 AHM 851 (BİLET SEHVEN ÇÖPE ATILMIŞTIR)</t>
  </si>
  <si>
    <t>PTS ONAYLI - 35 BAM 816 (BİLET SEHVEN ÇÖPE ATILMIŞTIR)</t>
  </si>
  <si>
    <t>PTS ONAYLI - 35 BLY 167 (ERBOY-CARİ)</t>
  </si>
  <si>
    <t>PTS ONAYLI-35 KAA 61</t>
  </si>
  <si>
    <t>GERİYE DÖNÜK ABONELİK-45 MA 1790</t>
  </si>
  <si>
    <t>PTS ONAYLI-35 BSR 781</t>
  </si>
  <si>
    <t>PTS ONAYLIDIR - 35 BPS 782</t>
  </si>
  <si>
    <t>15 GÜN ÜCRETSİZ ENGELLİ SÜRE AŞIMI - LDKOA64 TEVFİK AKKAYA</t>
  </si>
  <si>
    <t>PTS ONAYLI - 34 KRD 348</t>
  </si>
  <si>
    <t>3 ADET ZORUNLU BİLET : 14085,00 TL</t>
  </si>
  <si>
    <t>PTS ONAYLI - 09 H 1311</t>
  </si>
  <si>
    <t>PTS ONAYLI - 35 BTF 141</t>
  </si>
  <si>
    <t xml:space="preserve">15155 KART NOLU ABONE SÜRE FARKI - BEKİR ATALAY ÖZDEMİR </t>
  </si>
  <si>
    <t>PTS ONAY-07 BPG 135</t>
  </si>
  <si>
    <t>PTS ONAY-35 ZS 437(ENGELLİ)</t>
  </si>
  <si>
    <t>PTS ONAY-35 BGS 563</t>
  </si>
  <si>
    <t>PTS ONAY-34 FMJ 816</t>
  </si>
  <si>
    <t>PTS ONAYLIDIR - 80 SF 3516 ( ENGELLİ - AYHAN ÜNALDI )</t>
  </si>
  <si>
    <t>PTS ONAYLIDIR - 06 BTV 297</t>
  </si>
  <si>
    <t>PTS ONAY-ACME7</t>
  </si>
  <si>
    <t>FATURA LİMİTİNİN ÜZERİNDE OLDUĞU İÇİN -TTYX81</t>
  </si>
  <si>
    <t>PTS ONAY-35 YMC 32</t>
  </si>
  <si>
    <t>PTS ONAY-34 RPP 84</t>
  </si>
  <si>
    <t>ABONELİK SÜRE BİTİŞİ ID NO:9418</t>
  </si>
  <si>
    <t>PTS ONAY-34 HED 518</t>
  </si>
  <si>
    <t>PTS ONAY-35 FA 2425</t>
  </si>
  <si>
    <t>PTS ONAY-35 BTA 613</t>
  </si>
  <si>
    <t>ENGELLİ SÜRE AŞIMI 35 ASH 210 (GAZİ ÖZHAN )</t>
  </si>
  <si>
    <t>3 ADET ZORUNLU BİLET 8400 TL</t>
  </si>
  <si>
    <t>ÇİFT GEÇİŞ(07 BLN 311)</t>
  </si>
  <si>
    <t>PTS ONAYLI - 35 BJC 065</t>
  </si>
  <si>
    <t>PTS ONAYLI - 07 BRZ 419 /ÇİZGİ CARİ</t>
  </si>
  <si>
    <t>PTS ONAYLI -35 DR 141</t>
  </si>
  <si>
    <t>GERİYE DÖNÜK ABONELİK-ZH470418</t>
  </si>
  <si>
    <t>PTS ONAYLI  - 07 BRL 410 / ÇİZGİ (CARİ)</t>
  </si>
  <si>
    <t>PTS ONAYLI - 10 ST 904</t>
  </si>
  <si>
    <t>PTS ONAYLI - 48 N 2302</t>
  </si>
  <si>
    <t>PTS ONAYLI - 35 BKY 343</t>
  </si>
  <si>
    <t>ÇİFT GEÇİŞ-07 BKA 739</t>
  </si>
  <si>
    <t>PTS ONAY-35 BYR224</t>
  </si>
  <si>
    <t>PTS ONAY- 09 T 4110</t>
  </si>
  <si>
    <t>PTS ONAY-35 BKH 503 / ERBOY CARİ</t>
  </si>
  <si>
    <t>1 ADET ZORUNLU=3285,00 TL</t>
  </si>
  <si>
    <t>PTS ONAY-34 DCJ 758</t>
  </si>
  <si>
    <t>ÇİFT GEÇİŞ-34 GGV 270</t>
  </si>
  <si>
    <t>GERİYE DÖNÜK ABONELİK-YB04SYH</t>
  </si>
  <si>
    <t>PTS ONAYLI - 34 AHV 809</t>
  </si>
  <si>
    <t>PTS ONAYLI - 34 VA 8575</t>
  </si>
  <si>
    <t>ABONE ERTELEME  (CONG 15 GÜN ) AHMET TURAN 45 AT 447</t>
  </si>
  <si>
    <t>PTS ONAYLI - 10 ALP 889</t>
  </si>
  <si>
    <t>PTS ONAYLI - 34 FCF 128</t>
  </si>
  <si>
    <t>PTS ONAYLI - 09 L 5333</t>
  </si>
  <si>
    <t xml:space="preserve">KASA FAZLASI </t>
  </si>
  <si>
    <t>1 ADET ZORUNLU=3200,00 TL</t>
  </si>
  <si>
    <t>PTS ONAYLI - 07 BLP 078</t>
  </si>
  <si>
    <t>PTS ONAYLI-35 TS 009</t>
  </si>
  <si>
    <t>PTS ONAYLI-06 ABJ 150</t>
  </si>
  <si>
    <t>PTS ONAYLI-KAYIP BİLET-DU OO 75</t>
  </si>
  <si>
    <t>PTS ONAYLI-35 BTF 464-ER BOY</t>
  </si>
  <si>
    <t>PTS ONAYLI-09 HZ 065</t>
  </si>
  <si>
    <t>ABONE SÜRE AŞIMI-ERKAN YAMAN-24891</t>
  </si>
  <si>
    <t>PTS ONAYLI-35 KA 7596</t>
  </si>
  <si>
    <t>PTS ONAYLI - 34 HFH 120</t>
  </si>
  <si>
    <t>PTS ONAYLI - 34 GCJ 334 (KAYIP BİLET )</t>
  </si>
  <si>
    <t>PTS ONAYLI - 34 GCJ 334</t>
  </si>
  <si>
    <t>PTS ONAYLI - 09 BG 934</t>
  </si>
  <si>
    <t>PTS ONAYLI - 45 AGK 196</t>
  </si>
  <si>
    <t>PTS ONAYLI-35 BYP 958</t>
  </si>
  <si>
    <t>PTS ONAYLI-34 FRM 440</t>
  </si>
  <si>
    <t xml:space="preserve">SİSTEM ARIZASI SEBEBİYLE </t>
  </si>
  <si>
    <t>PTS ONAYLI - 07 BEK 081 (ÇİZGİ-CARİ)</t>
  </si>
  <si>
    <t>PTS ONAYLI - 35 ANL 690</t>
  </si>
  <si>
    <t>PTS ONAYLI - 35 BRU 745</t>
  </si>
  <si>
    <t>SEHVEN ÜRETİLDİ - 09 ALM 005</t>
  </si>
  <si>
    <t>BEYANA GÖRE BİLET ÜRETİLDİ - 09 ALM 005</t>
  </si>
  <si>
    <t>34267 KART NO ABONE SÜRE AŞIMI - TEKİN DİZE HAMD7575</t>
  </si>
  <si>
    <t>1 ADET ZORUNLU BİLET : 60,00 TL</t>
  </si>
  <si>
    <t>01:31'DE BARİYERİN YANINDAN GİRİŞ YAPAN ARAÇ - 35 AG 168</t>
  </si>
  <si>
    <t>PTS ONAY-45 AY 678</t>
  </si>
  <si>
    <t>PTS ONAY-35 BCZ 050</t>
  </si>
  <si>
    <t>PTS ONAY-48 DY 509</t>
  </si>
  <si>
    <t>PTS ONAY-43 LJ 072</t>
  </si>
  <si>
    <t>PTS ONAY-07 BSD 590(ÇİZGİ)</t>
  </si>
  <si>
    <t>PTS ONAYLIDIR - 35 BMV 858</t>
  </si>
  <si>
    <t>PTS ONAYLIDIR - 35 BJB 991</t>
  </si>
  <si>
    <t>ABONE SÜRE AŞIMINA İSTİNADEN ÜRETİLMİŞTİR - 38430 ID - ÜMİT ÖZGÜREL</t>
  </si>
  <si>
    <t>PTS ONAYLI-48BU044</t>
  </si>
  <si>
    <t>ABONE BİTİŞ SÜRE FARKI-ID NO:36704</t>
  </si>
  <si>
    <t xml:space="preserve">PTS ONAY45 DM 434 </t>
  </si>
  <si>
    <t>ABONE SÜRE AŞIM FARKI (MURAT ASLAN - 22125 NO'LU KART)</t>
  </si>
  <si>
    <t>ABONE SÜRE AŞIM FARKI (REGAL TUR: 23292 NO'LU KART)</t>
  </si>
  <si>
    <t>PTS ONAYLI - 34 EPH 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</si>
</sst>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164" formatCode="_-* #,##0\ &quot;TL&quot;_-;\-* #,##0\ &quot;TL&quot;_-;_-* &quot;-&quot;\ &quot;TL&quot;_-;_-@_-"/>
    <numFmt numFmtId="165" formatCode="_-* #,##0\ _T_L_-;\-* #,##0\ _T_L_-;_-* &quot;-&quot;\ _T_L_-;_-@_-"/>
    <numFmt numFmtId="166" formatCode="#,##0.00\ &quot;YTL&quot;;\-#,##0.00\ &quot;YTL&quot;"/>
    <numFmt numFmtId="167" formatCode="_-* #,##0\ &quot;YTL&quot;_-;\-* #,##0\ &quot;YTL&quot;_-;_-* &quot;-&quot;\ &quot;YTL&quot;_-;_-@_-"/>
    <numFmt numFmtId="168" formatCode="[$-41F]d\ mmmm\ yy;@"/>
    <numFmt numFmtId="169" formatCode="000,000"/>
    <numFmt numFmtId="170" formatCode="#,##0.00;[Red]#,##0.00"/>
    <numFmt numFmtId="171" formatCode="#,##0.00_ ;\-#,##0.00\ "/>
    <numFmt numFmtId="172" formatCode="#,##0;[Red]#,##0"/>
    <numFmt numFmtId="173" formatCode="#,##0_ ;\-#,##0\ "/>
    <numFmt numFmtId="174" formatCode="#,##0.00\ &quot;YTL&quot;;[Red]#,##0.00\ &quot;YTL&quot;"/>
    <numFmt numFmtId="175" formatCode="0.00\ \T\L"/>
    <numFmt numFmtId="176" formatCode="#,##0.00\ [$TL-41F];[Red]#,##0.00\ [$TL-41F]"/>
    <numFmt numFmtId="177" formatCode="#,##0.00\ [$TL-41F]"/>
    <numFmt numFmtId="178" formatCode="#,##0.00\ [$TL-41F];[Red]\-#,##0.00\ [$TL-41F]"/>
    <numFmt numFmtId="179" formatCode="0.0000"/>
    <numFmt numFmtId="180" formatCode="#,##0.00\ &quot;₺&quot;"/>
    <numFmt numFmtId="181" formatCode="[$-41F]dd\ mmmm\ yy;@"/>
    <numFmt numFmtId="182" formatCode="yyyy"/>
  </numFmts>
  <fonts count="91" x14ac:knownFonts="1">
    <font>
      <sz val="10"/>
      <name val="Arial"/>
      <charset val="162"/>
    </font>
    <font>
      <sz val="11"/>
      <color theme="1"/>
      <name val="Calibri"/>
      <family val="2"/>
      <charset val="162"/>
      <scheme val="minor"/>
    </font>
    <font>
      <sz val="10"/>
      <name val="Arial"/>
      <family val="2"/>
      <charset val="162"/>
    </font>
    <font>
      <b/>
      <sz val="14"/>
      <color indexed="10"/>
      <name val="Arial"/>
      <family val="2"/>
      <charset val="162"/>
    </font>
    <font>
      <sz val="10"/>
      <name val="Arial"/>
      <family val="2"/>
      <charset val="162"/>
    </font>
    <font>
      <b/>
      <sz val="10"/>
      <name val="Arial"/>
      <family val="2"/>
      <charset val="162"/>
    </font>
    <font>
      <b/>
      <sz val="11"/>
      <color indexed="10"/>
      <name val="Arial"/>
      <family val="2"/>
      <charset val="162"/>
    </font>
    <font>
      <b/>
      <sz val="11"/>
      <name val="Arial"/>
      <family val="2"/>
      <charset val="162"/>
    </font>
    <font>
      <b/>
      <sz val="15"/>
      <color indexed="10"/>
      <name val="Arial"/>
      <family val="2"/>
      <charset val="162"/>
    </font>
    <font>
      <b/>
      <i/>
      <sz val="12"/>
      <name val="Arial"/>
      <family val="2"/>
      <charset val="162"/>
    </font>
    <font>
      <b/>
      <i/>
      <sz val="11"/>
      <name val="Arial"/>
      <family val="2"/>
      <charset val="162"/>
    </font>
    <font>
      <b/>
      <sz val="12"/>
      <name val="Arial"/>
      <family val="2"/>
      <charset val="162"/>
    </font>
    <font>
      <sz val="11"/>
      <name val="Arial"/>
      <family val="2"/>
      <charset val="162"/>
    </font>
    <font>
      <sz val="11"/>
      <name val="Arial"/>
      <family val="2"/>
    </font>
    <font>
      <sz val="9"/>
      <name val="Arial"/>
      <family val="2"/>
    </font>
    <font>
      <b/>
      <sz val="11"/>
      <name val="Arial"/>
      <family val="2"/>
    </font>
    <font>
      <b/>
      <sz val="9"/>
      <name val="Arial"/>
      <family val="2"/>
    </font>
    <font>
      <b/>
      <sz val="10"/>
      <color indexed="10"/>
      <name val="Arial"/>
      <family val="2"/>
      <charset val="162"/>
    </font>
    <font>
      <sz val="8"/>
      <name val="Arial"/>
      <family val="2"/>
      <charset val="162"/>
    </font>
    <font>
      <sz val="8"/>
      <color indexed="8"/>
      <name val="Calibri"/>
      <family val="2"/>
    </font>
    <font>
      <sz val="7"/>
      <color indexed="8"/>
      <name val="Calibri"/>
      <family val="2"/>
    </font>
    <font>
      <b/>
      <sz val="10"/>
      <color indexed="8"/>
      <name val="Calibri"/>
      <family val="2"/>
      <charset val="162"/>
    </font>
    <font>
      <b/>
      <sz val="10"/>
      <name val="Calibri"/>
      <family val="2"/>
      <charset val="162"/>
    </font>
    <font>
      <sz val="7"/>
      <name val="Arial"/>
      <family val="2"/>
      <charset val="162"/>
    </font>
    <font>
      <sz val="8"/>
      <color indexed="8"/>
      <name val="Calibri"/>
      <family val="2"/>
      <charset val="162"/>
    </font>
    <font>
      <b/>
      <sz val="9"/>
      <name val="Arial"/>
      <family val="2"/>
      <charset val="162"/>
    </font>
    <font>
      <b/>
      <sz val="9"/>
      <color indexed="8"/>
      <name val="Calibri"/>
      <family val="2"/>
      <charset val="162"/>
    </font>
    <font>
      <sz val="9"/>
      <color indexed="8"/>
      <name val="Calibri"/>
      <family val="2"/>
      <charset val="162"/>
    </font>
    <font>
      <sz val="7.5"/>
      <name val="Arial"/>
      <family val="2"/>
      <charset val="162"/>
    </font>
    <font>
      <b/>
      <sz val="8"/>
      <name val="Arial"/>
      <family val="2"/>
      <charset val="162"/>
    </font>
    <font>
      <sz val="8"/>
      <color indexed="10"/>
      <name val="Calibri"/>
      <family val="2"/>
    </font>
    <font>
      <b/>
      <sz val="8"/>
      <color indexed="8"/>
      <name val="Calibri"/>
      <family val="2"/>
      <charset val="162"/>
    </font>
    <font>
      <b/>
      <sz val="8"/>
      <color indexed="10"/>
      <name val="Calibri"/>
      <family val="2"/>
      <charset val="162"/>
    </font>
    <font>
      <b/>
      <sz val="7"/>
      <name val="Arial"/>
      <family val="2"/>
      <charset val="162"/>
    </font>
    <font>
      <b/>
      <sz val="7"/>
      <color indexed="10"/>
      <name val="Arial"/>
      <family val="2"/>
      <charset val="162"/>
    </font>
    <font>
      <b/>
      <sz val="8"/>
      <color indexed="10"/>
      <name val="Calibri"/>
      <family val="2"/>
    </font>
    <font>
      <b/>
      <sz val="8"/>
      <color indexed="62"/>
      <name val="Calibri"/>
      <family val="2"/>
      <charset val="162"/>
    </font>
    <font>
      <sz val="8"/>
      <color indexed="62"/>
      <name val="Calibri"/>
      <family val="2"/>
    </font>
    <font>
      <b/>
      <sz val="7"/>
      <color indexed="62"/>
      <name val="Arial"/>
      <family val="2"/>
      <charset val="162"/>
    </font>
    <font>
      <b/>
      <sz val="8"/>
      <name val="Calibri"/>
      <family val="2"/>
      <charset val="162"/>
    </font>
    <font>
      <sz val="11"/>
      <color indexed="8"/>
      <name val="Calibri"/>
      <family val="2"/>
      <charset val="162"/>
    </font>
    <font>
      <sz val="11"/>
      <color indexed="9"/>
      <name val="Calibri"/>
      <family val="2"/>
      <charset val="162"/>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8"/>
      <color indexed="9"/>
      <name val="Calibri"/>
      <family val="2"/>
    </font>
    <font>
      <sz val="10"/>
      <name val="Tahoma"/>
      <family val="2"/>
      <charset val="162"/>
    </font>
    <font>
      <sz val="10"/>
      <name val="Calibri"/>
      <family val="2"/>
      <charset val="162"/>
      <scheme val="minor"/>
    </font>
    <font>
      <b/>
      <sz val="10"/>
      <name val="Tahoma"/>
      <family val="2"/>
      <charset val="162"/>
    </font>
    <font>
      <b/>
      <sz val="11"/>
      <color theme="0"/>
      <name val="Tahoma"/>
      <family val="2"/>
      <charset val="162"/>
    </font>
    <font>
      <b/>
      <sz val="10"/>
      <color theme="1"/>
      <name val="Tahoma"/>
      <family val="2"/>
      <charset val="162"/>
    </font>
    <font>
      <b/>
      <sz val="9"/>
      <name val="Tahoma"/>
      <family val="2"/>
      <charset val="162"/>
    </font>
    <font>
      <sz val="10"/>
      <color theme="1"/>
      <name val="Tahoma"/>
      <family val="2"/>
      <charset val="162"/>
    </font>
    <font>
      <b/>
      <sz val="9"/>
      <color indexed="81"/>
      <name val="Tahoma"/>
      <family val="2"/>
      <charset val="162"/>
    </font>
    <font>
      <sz val="9"/>
      <color indexed="81"/>
      <name val="Tahoma"/>
      <family val="2"/>
      <charset val="162"/>
    </font>
    <font>
      <sz val="10"/>
      <color theme="0"/>
      <name val="Calibri"/>
      <family val="2"/>
      <charset val="162"/>
      <scheme val="minor"/>
    </font>
    <font>
      <sz val="10"/>
      <color rgb="FFFF0000"/>
      <name val="Calibri"/>
      <family val="2"/>
      <charset val="162"/>
      <scheme val="minor"/>
    </font>
    <font>
      <b/>
      <sz val="10"/>
      <name val="Calibri"/>
      <family val="2"/>
      <charset val="162"/>
      <scheme val="minor"/>
    </font>
    <font>
      <b/>
      <sz val="12"/>
      <name val="Calibri"/>
      <family val="2"/>
      <charset val="162"/>
      <scheme val="minor"/>
    </font>
    <font>
      <b/>
      <sz val="16"/>
      <color indexed="10"/>
      <name val="Tahoma"/>
      <family val="2"/>
      <charset val="162"/>
    </font>
    <font>
      <sz val="12"/>
      <name val="Tahoma"/>
      <family val="2"/>
      <charset val="162"/>
    </font>
    <font>
      <b/>
      <sz val="12"/>
      <color indexed="10"/>
      <name val="Tahoma"/>
      <family val="2"/>
      <charset val="162"/>
    </font>
    <font>
      <b/>
      <sz val="16"/>
      <name val="Tahoma"/>
      <family val="2"/>
      <charset val="162"/>
    </font>
    <font>
      <b/>
      <sz val="12"/>
      <name val="Tahoma"/>
      <family val="2"/>
      <charset val="162"/>
    </font>
    <font>
      <i/>
      <sz val="12"/>
      <name val="Tahoma"/>
      <family val="2"/>
      <charset val="162"/>
    </font>
    <font>
      <b/>
      <i/>
      <sz val="12"/>
      <name val="Tahoma"/>
      <family val="2"/>
      <charset val="162"/>
    </font>
    <font>
      <b/>
      <i/>
      <sz val="12"/>
      <color indexed="10"/>
      <name val="Tahoma"/>
      <family val="2"/>
      <charset val="162"/>
    </font>
    <font>
      <b/>
      <sz val="14"/>
      <color indexed="10"/>
      <name val="Tahoma"/>
      <family val="2"/>
      <charset val="162"/>
    </font>
    <font>
      <sz val="12"/>
      <color indexed="9"/>
      <name val="Tahoma"/>
      <family val="2"/>
      <charset val="162"/>
    </font>
    <font>
      <sz val="14"/>
      <name val="Tahoma"/>
      <family val="2"/>
      <charset val="162"/>
    </font>
    <font>
      <b/>
      <sz val="14"/>
      <name val="Tahoma"/>
      <family val="2"/>
      <charset val="162"/>
    </font>
    <font>
      <b/>
      <sz val="14"/>
      <color indexed="9"/>
      <name val="Tahoma"/>
      <family val="2"/>
      <charset val="162"/>
    </font>
    <font>
      <b/>
      <i/>
      <sz val="14"/>
      <name val="Tahoma"/>
      <family val="2"/>
      <charset val="162"/>
    </font>
    <font>
      <b/>
      <i/>
      <sz val="14"/>
      <color indexed="10"/>
      <name val="Tahoma"/>
      <family val="2"/>
      <charset val="162"/>
    </font>
    <font>
      <b/>
      <sz val="14"/>
      <color rgb="FFC00000"/>
      <name val="Arial"/>
      <family val="2"/>
      <charset val="162"/>
    </font>
    <font>
      <sz val="11"/>
      <color theme="0"/>
      <name val="Arial"/>
      <family val="2"/>
    </font>
    <font>
      <sz val="8"/>
      <color theme="0"/>
      <name val="Calibri"/>
      <family val="2"/>
    </font>
    <font>
      <sz val="11"/>
      <color theme="0"/>
      <name val="Calibri"/>
      <family val="2"/>
      <charset val="162"/>
      <scheme val="minor"/>
    </font>
    <font>
      <b/>
      <sz val="11"/>
      <color theme="3"/>
      <name val="Arial"/>
      <family val="2"/>
      <charset val="162"/>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theme="0"/>
        <bgColor indexed="64"/>
      </patternFill>
    </fill>
    <fill>
      <patternFill patternType="solid">
        <fgColor theme="4" tint="0.59999389629810485"/>
        <bgColor indexed="64"/>
      </patternFill>
    </fill>
    <fill>
      <patternFill patternType="solid">
        <fgColor rgb="FFFF5757"/>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E5F0B0"/>
        <bgColor indexed="64"/>
      </patternFill>
    </fill>
  </fills>
  <borders count="153">
    <border>
      <left/>
      <right/>
      <top/>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55"/>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double">
        <color indexed="55"/>
      </left>
      <right style="double">
        <color indexed="55"/>
      </right>
      <top style="double">
        <color indexed="55"/>
      </top>
      <bottom style="double">
        <color indexed="55"/>
      </bottom>
      <diagonal/>
    </border>
    <border>
      <left/>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hair">
        <color indexed="64"/>
      </bottom>
      <diagonal/>
    </border>
    <border>
      <left style="thin">
        <color indexed="55"/>
      </left>
      <right style="thin">
        <color indexed="64"/>
      </right>
      <top style="thin">
        <color indexed="64"/>
      </top>
      <bottom style="thin">
        <color indexed="64"/>
      </bottom>
      <diagonal/>
    </border>
    <border>
      <left style="thin">
        <color indexed="55"/>
      </left>
      <right style="thin">
        <color indexed="64"/>
      </right>
      <top style="thin">
        <color indexed="55"/>
      </top>
      <bottom style="thin">
        <color indexed="64"/>
      </bottom>
      <diagonal/>
    </border>
    <border>
      <left style="thin">
        <color indexed="55"/>
      </left>
      <right style="thin">
        <color indexed="64"/>
      </right>
      <top style="thin">
        <color indexed="64"/>
      </top>
      <bottom style="thin">
        <color indexed="55"/>
      </bottom>
      <diagonal/>
    </border>
    <border>
      <left/>
      <right/>
      <top style="thin">
        <color indexed="55"/>
      </top>
      <bottom/>
      <diagonal/>
    </border>
    <border>
      <left style="thick">
        <color indexed="23"/>
      </left>
      <right style="thin">
        <color indexed="55"/>
      </right>
      <top style="thick">
        <color indexed="23"/>
      </top>
      <bottom style="dotted">
        <color indexed="55"/>
      </bottom>
      <diagonal/>
    </border>
    <border>
      <left style="thin">
        <color indexed="55"/>
      </left>
      <right style="thin">
        <color indexed="55"/>
      </right>
      <top style="thick">
        <color indexed="23"/>
      </top>
      <bottom style="dotted">
        <color indexed="55"/>
      </bottom>
      <diagonal/>
    </border>
    <border>
      <left style="thin">
        <color indexed="55"/>
      </left>
      <right style="thick">
        <color indexed="23"/>
      </right>
      <top style="thick">
        <color indexed="23"/>
      </top>
      <bottom style="dotted">
        <color indexed="55"/>
      </bottom>
      <diagonal/>
    </border>
    <border>
      <left style="thick">
        <color indexed="55"/>
      </left>
      <right style="thick">
        <color indexed="55"/>
      </right>
      <top style="thick">
        <color indexed="55"/>
      </top>
      <bottom style="thin">
        <color indexed="55"/>
      </bottom>
      <diagonal/>
    </border>
    <border>
      <left style="thick">
        <color indexed="23"/>
      </left>
      <right style="thin">
        <color indexed="23"/>
      </right>
      <top style="dotted">
        <color indexed="55"/>
      </top>
      <bottom style="medium">
        <color indexed="55"/>
      </bottom>
      <diagonal/>
    </border>
    <border>
      <left style="thin">
        <color indexed="23"/>
      </left>
      <right style="thin">
        <color indexed="23"/>
      </right>
      <top style="dotted">
        <color indexed="55"/>
      </top>
      <bottom style="medium">
        <color indexed="55"/>
      </bottom>
      <diagonal/>
    </border>
    <border>
      <left style="thick">
        <color indexed="55"/>
      </left>
      <right style="thick">
        <color indexed="55"/>
      </right>
      <top style="thin">
        <color indexed="55"/>
      </top>
      <bottom style="thick">
        <color indexed="55"/>
      </bottom>
      <diagonal/>
    </border>
    <border>
      <left style="thick">
        <color indexed="55"/>
      </left>
      <right style="thick">
        <color indexed="55"/>
      </right>
      <top style="thick">
        <color indexed="55"/>
      </top>
      <bottom style="thick">
        <color indexed="55"/>
      </bottom>
      <diagonal/>
    </border>
    <border>
      <left style="thick">
        <color indexed="55"/>
      </left>
      <right style="thick">
        <color indexed="55"/>
      </right>
      <top style="thin">
        <color indexed="55"/>
      </top>
      <bottom style="thin">
        <color indexed="55"/>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55"/>
      </left>
      <right style="thin">
        <color indexed="55"/>
      </right>
      <top style="dotted">
        <color indexed="55"/>
      </top>
      <bottom style="dotted">
        <color indexed="55"/>
      </bottom>
      <diagonal/>
    </border>
    <border>
      <left style="thin">
        <color indexed="55"/>
      </left>
      <right style="thick">
        <color indexed="23"/>
      </right>
      <top style="dotted">
        <color indexed="55"/>
      </top>
      <bottom style="dotted">
        <color indexed="55"/>
      </bottom>
      <diagonal/>
    </border>
    <border>
      <left style="thick">
        <color indexed="23"/>
      </left>
      <right style="thin">
        <color indexed="55"/>
      </right>
      <top style="dotted">
        <color indexed="55"/>
      </top>
      <bottom style="dotted">
        <color indexed="55"/>
      </bottom>
      <diagonal/>
    </border>
    <border>
      <left style="thin">
        <color indexed="55"/>
      </left>
      <right style="thick">
        <color indexed="23"/>
      </right>
      <top style="thick">
        <color indexed="55"/>
      </top>
      <bottom style="dotted">
        <color indexed="55"/>
      </bottom>
      <diagonal/>
    </border>
    <border>
      <left style="thin">
        <color indexed="64"/>
      </left>
      <right style="thin">
        <color indexed="64"/>
      </right>
      <top style="thin">
        <color indexed="55"/>
      </top>
      <bottom style="thin">
        <color indexed="64"/>
      </bottom>
      <diagonal/>
    </border>
    <border>
      <left style="thin">
        <color indexed="64"/>
      </left>
      <right/>
      <top style="thin">
        <color indexed="64"/>
      </top>
      <bottom style="thin">
        <color indexed="55"/>
      </bottom>
      <diagonal/>
    </border>
    <border>
      <left style="thin">
        <color indexed="64"/>
      </left>
      <right/>
      <top style="thin">
        <color indexed="55"/>
      </top>
      <bottom style="thin">
        <color indexed="55"/>
      </bottom>
      <diagonal/>
    </border>
    <border>
      <left style="thin">
        <color indexed="64"/>
      </left>
      <right/>
      <top style="thin">
        <color indexed="55"/>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dotted">
        <color indexed="64"/>
      </bottom>
      <diagonal/>
    </border>
    <border>
      <left style="medium">
        <color indexed="64"/>
      </left>
      <right style="medium">
        <color indexed="64"/>
      </right>
      <top style="thin">
        <color indexed="64"/>
      </top>
      <bottom style="dashed">
        <color indexed="64"/>
      </bottom>
      <diagonal/>
    </border>
    <border>
      <left style="medium">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medium">
        <color indexed="64"/>
      </left>
      <right style="medium">
        <color indexed="64"/>
      </right>
      <top style="dashed">
        <color indexed="64"/>
      </top>
      <bottom style="thin">
        <color indexed="64"/>
      </bottom>
      <diagonal/>
    </border>
    <border>
      <left style="medium">
        <color indexed="64"/>
      </left>
      <right/>
      <top style="dotted">
        <color indexed="64"/>
      </top>
      <bottom style="thin">
        <color indexed="64"/>
      </bottom>
      <diagonal/>
    </border>
    <border>
      <left style="thin">
        <color indexed="64"/>
      </left>
      <right/>
      <top style="dotted">
        <color indexed="64"/>
      </top>
      <bottom style="thin">
        <color indexed="64"/>
      </bottom>
      <diagonal/>
    </border>
    <border>
      <left/>
      <right/>
      <top style="medium">
        <color indexed="64"/>
      </top>
      <bottom style="thin">
        <color indexed="64"/>
      </bottom>
      <diagonal/>
    </border>
    <border>
      <left style="thick">
        <color indexed="55"/>
      </left>
      <right style="thin">
        <color indexed="55"/>
      </right>
      <top style="thick">
        <color indexed="55"/>
      </top>
      <bottom style="dotted">
        <color indexed="55"/>
      </bottom>
      <diagonal/>
    </border>
    <border>
      <left style="thin">
        <color indexed="55"/>
      </left>
      <right style="thin">
        <color indexed="55"/>
      </right>
      <top style="thick">
        <color indexed="55"/>
      </top>
      <bottom style="dotted">
        <color indexed="55"/>
      </bottom>
      <diagonal/>
    </border>
    <border>
      <left style="thick">
        <color indexed="55"/>
      </left>
      <right style="thin">
        <color indexed="55"/>
      </right>
      <top style="dotted">
        <color indexed="55"/>
      </top>
      <bottom style="dotted">
        <color indexed="55"/>
      </bottom>
      <diagonal/>
    </border>
    <border>
      <left style="thick">
        <color indexed="55"/>
      </left>
      <right style="thin">
        <color indexed="55"/>
      </right>
      <top style="dotted">
        <color indexed="55"/>
      </top>
      <bottom style="thick">
        <color indexed="55"/>
      </bottom>
      <diagonal/>
    </border>
    <border>
      <left/>
      <right style="thin">
        <color indexed="55"/>
      </right>
      <top style="dotted">
        <color indexed="55"/>
      </top>
      <bottom style="thick">
        <color indexed="55"/>
      </bottom>
      <diagonal/>
    </border>
    <border>
      <left style="thin">
        <color indexed="55"/>
      </left>
      <right style="thick">
        <color indexed="23"/>
      </right>
      <top style="dotted">
        <color indexed="55"/>
      </top>
      <bottom style="thick">
        <color indexed="55"/>
      </bottom>
      <diagonal/>
    </border>
    <border>
      <left style="thin">
        <color indexed="23"/>
      </left>
      <right style="thick">
        <color indexed="23"/>
      </right>
      <top style="dotted">
        <color indexed="55"/>
      </top>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55"/>
      </left>
      <right style="thick">
        <color indexed="55"/>
      </right>
      <top style="thick">
        <color indexed="55"/>
      </top>
      <bottom/>
      <diagonal/>
    </border>
    <border>
      <left style="thick">
        <color indexed="55"/>
      </left>
      <right style="thick">
        <color indexed="55"/>
      </right>
      <top/>
      <bottom style="thick">
        <color indexed="55"/>
      </bottom>
      <diagonal/>
    </border>
    <border>
      <left style="thick">
        <color indexed="55"/>
      </left>
      <right style="thin">
        <color indexed="55"/>
      </right>
      <top style="thick">
        <color indexed="55"/>
      </top>
      <bottom/>
      <diagonal/>
    </border>
    <border>
      <left style="thick">
        <color indexed="55"/>
      </left>
      <right style="thin">
        <color indexed="55"/>
      </right>
      <top/>
      <bottom style="thick">
        <color indexed="55"/>
      </bottom>
      <diagonal/>
    </border>
    <border>
      <left style="thin">
        <color indexed="55"/>
      </left>
      <right style="thin">
        <color indexed="55"/>
      </right>
      <top style="thick">
        <color indexed="55"/>
      </top>
      <bottom/>
      <diagonal/>
    </border>
    <border>
      <left style="thin">
        <color indexed="55"/>
      </left>
      <right style="thin">
        <color indexed="55"/>
      </right>
      <top/>
      <bottom style="thick">
        <color indexed="55"/>
      </bottom>
      <diagonal/>
    </border>
    <border>
      <left style="thin">
        <color indexed="55"/>
      </left>
      <right/>
      <top style="thick">
        <color indexed="55"/>
      </top>
      <bottom/>
      <diagonal/>
    </border>
    <border>
      <left style="thin">
        <color indexed="55"/>
      </left>
      <right/>
      <top/>
      <bottom style="thick">
        <color indexed="55"/>
      </bottom>
      <diagonal/>
    </border>
    <border>
      <left style="thick">
        <color indexed="55"/>
      </left>
      <right style="thick">
        <color indexed="55"/>
      </right>
      <top style="thick">
        <color indexed="55"/>
      </top>
      <bottom style="medium">
        <color indexed="55"/>
      </bottom>
      <diagonal/>
    </border>
    <border>
      <left style="thick">
        <color indexed="55"/>
      </left>
      <right style="thick">
        <color indexed="55"/>
      </right>
      <top style="medium">
        <color indexed="55"/>
      </top>
      <bottom style="medium">
        <color indexed="55"/>
      </bottom>
      <diagonal/>
    </border>
    <border>
      <left style="thin">
        <color indexed="55"/>
      </left>
      <right style="thick">
        <color indexed="55"/>
      </right>
      <top style="thick">
        <color indexed="55"/>
      </top>
      <bottom/>
      <diagonal/>
    </border>
    <border>
      <left style="thin">
        <color indexed="55"/>
      </left>
      <right style="thick">
        <color indexed="55"/>
      </right>
      <top/>
      <bottom style="thick">
        <color indexed="55"/>
      </bottom>
      <diagonal/>
    </border>
    <border>
      <left/>
      <right style="thin">
        <color indexed="55"/>
      </right>
      <top style="thick">
        <color indexed="55"/>
      </top>
      <bottom/>
      <diagonal/>
    </border>
    <border>
      <left/>
      <right style="thin">
        <color indexed="55"/>
      </right>
      <top/>
      <bottom style="thick">
        <color indexed="55"/>
      </bottom>
      <diagonal/>
    </border>
    <border>
      <left style="thin">
        <color indexed="55"/>
      </left>
      <right style="thin">
        <color indexed="55"/>
      </right>
      <top style="thin">
        <color indexed="64"/>
      </top>
      <bottom/>
      <diagonal/>
    </border>
    <border>
      <left style="thin">
        <color indexed="64"/>
      </left>
      <right style="thin">
        <color indexed="55"/>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ck">
        <color indexed="55"/>
      </left>
      <right/>
      <top style="thick">
        <color indexed="55"/>
      </top>
      <bottom style="thin">
        <color indexed="55"/>
      </bottom>
      <diagonal/>
    </border>
    <border>
      <left style="thick">
        <color indexed="55"/>
      </left>
      <right/>
      <top style="thin">
        <color indexed="55"/>
      </top>
      <bottom style="thin">
        <color indexed="55"/>
      </bottom>
      <diagonal/>
    </border>
    <border>
      <left style="thick">
        <color indexed="55"/>
      </left>
      <right/>
      <top style="thin">
        <color indexed="55"/>
      </top>
      <bottom style="thick">
        <color indexed="55"/>
      </bottom>
      <diagonal/>
    </border>
    <border>
      <left style="medium">
        <color indexed="55"/>
      </left>
      <right style="thin">
        <color indexed="55"/>
      </right>
      <top style="medium">
        <color indexed="55"/>
      </top>
      <bottom style="thin">
        <color indexed="55"/>
      </bottom>
      <diagonal/>
    </border>
    <border>
      <left style="thin">
        <color indexed="55"/>
      </left>
      <right style="thin">
        <color indexed="55"/>
      </right>
      <top style="medium">
        <color indexed="55"/>
      </top>
      <bottom style="thin">
        <color indexed="55"/>
      </bottom>
      <diagonal/>
    </border>
    <border>
      <left style="thin">
        <color indexed="55"/>
      </left>
      <right style="medium">
        <color indexed="55"/>
      </right>
      <top style="medium">
        <color indexed="55"/>
      </top>
      <bottom style="thin">
        <color indexed="55"/>
      </bottom>
      <diagonal/>
    </border>
    <border>
      <left style="medium">
        <color indexed="55"/>
      </left>
      <right style="thin">
        <color indexed="55"/>
      </right>
      <top style="thin">
        <color indexed="55"/>
      </top>
      <bottom style="thin">
        <color indexed="55"/>
      </bottom>
      <diagonal/>
    </border>
    <border>
      <left style="thin">
        <color indexed="55"/>
      </left>
      <right style="medium">
        <color indexed="55"/>
      </right>
      <top style="thin">
        <color indexed="55"/>
      </top>
      <bottom style="thin">
        <color indexed="55"/>
      </bottom>
      <diagonal/>
    </border>
    <border>
      <left style="medium">
        <color indexed="55"/>
      </left>
      <right style="thin">
        <color indexed="55"/>
      </right>
      <top style="thin">
        <color indexed="55"/>
      </top>
      <bottom style="medium">
        <color indexed="55"/>
      </bottom>
      <diagonal/>
    </border>
    <border>
      <left style="thin">
        <color indexed="55"/>
      </left>
      <right style="thin">
        <color indexed="55"/>
      </right>
      <top style="thin">
        <color indexed="55"/>
      </top>
      <bottom style="medium">
        <color indexed="55"/>
      </bottom>
      <diagonal/>
    </border>
    <border>
      <left style="thin">
        <color indexed="55"/>
      </left>
      <right style="medium">
        <color indexed="55"/>
      </right>
      <top style="thin">
        <color indexed="55"/>
      </top>
      <bottom style="medium">
        <color indexed="55"/>
      </bottom>
      <diagonal/>
    </border>
    <border>
      <left/>
      <right/>
      <top style="thick">
        <color indexed="55"/>
      </top>
      <bottom style="thin">
        <color indexed="55"/>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23"/>
      </left>
      <right style="thin">
        <color indexed="23"/>
      </right>
      <top style="dotted">
        <color indexed="55"/>
      </top>
      <bottom style="thick">
        <color indexed="23"/>
      </bottom>
      <diagonal/>
    </border>
    <border>
      <left style="thin">
        <color indexed="23"/>
      </left>
      <right style="thin">
        <color indexed="23"/>
      </right>
      <top style="dotted">
        <color indexed="55"/>
      </top>
      <bottom style="thick">
        <color indexed="23"/>
      </bottom>
      <diagonal/>
    </border>
    <border>
      <left style="thin">
        <color indexed="23"/>
      </left>
      <right style="thick">
        <color indexed="23"/>
      </right>
      <top style="dotted">
        <color indexed="55"/>
      </top>
      <bottom style="thick">
        <color indexed="23"/>
      </bottom>
      <diagonal/>
    </border>
  </borders>
  <cellStyleXfs count="47">
    <xf numFmtId="0" fontId="0" fillId="0" borderId="0"/>
    <xf numFmtId="0" fontId="40" fillId="2" borderId="0" applyNumberFormat="0" applyBorder="0" applyAlignment="0" applyProtection="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5" borderId="0" applyNumberFormat="0" applyBorder="0" applyAlignment="0" applyProtection="0"/>
    <xf numFmtId="0" fontId="40" fillId="8" borderId="0" applyNumberFormat="0" applyBorder="0" applyAlignment="0" applyProtection="0"/>
    <xf numFmtId="0" fontId="40" fillId="11" borderId="0" applyNumberFormat="0" applyBorder="0" applyAlignment="0" applyProtection="0"/>
    <xf numFmtId="0" fontId="41" fillId="12" borderId="0" applyNumberFormat="0" applyBorder="0" applyAlignment="0" applyProtection="0"/>
    <xf numFmtId="0" fontId="41" fillId="9" borderId="0" applyNumberFormat="0" applyBorder="0" applyAlignment="0" applyProtection="0"/>
    <xf numFmtId="0" fontId="41" fillId="10"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3" borderId="0" applyNumberFormat="0" applyBorder="0" applyAlignment="0" applyProtection="0"/>
    <xf numFmtId="0" fontId="41" fillId="14" borderId="0" applyNumberFormat="0" applyBorder="0" applyAlignment="0" applyProtection="0"/>
    <xf numFmtId="0" fontId="41" fillId="19" borderId="0" applyNumberFormat="0" applyBorder="0" applyAlignment="0" applyProtection="0"/>
    <xf numFmtId="0" fontId="53" fillId="3" borderId="0" applyNumberFormat="0" applyBorder="0" applyAlignment="0" applyProtection="0"/>
    <xf numFmtId="0" fontId="50" fillId="20" borderId="5" applyNumberFormat="0" applyAlignment="0" applyProtection="0"/>
    <xf numFmtId="0" fontId="51" fillId="21" borderId="6" applyNumberFormat="0" applyAlignment="0" applyProtection="0"/>
    <xf numFmtId="0" fontId="42" fillId="0" borderId="0" applyNumberFormat="0" applyFill="0" applyBorder="0" applyAlignment="0" applyProtection="0"/>
    <xf numFmtId="0" fontId="52" fillId="4" borderId="0" applyNumberFormat="0" applyBorder="0" applyAlignment="0" applyProtection="0"/>
    <xf numFmtId="0" fontId="45" fillId="0" borderId="2" applyNumberFormat="0" applyFill="0" applyAlignment="0" applyProtection="0"/>
    <xf numFmtId="0" fontId="46" fillId="0" borderId="3" applyNumberFormat="0" applyFill="0" applyAlignment="0" applyProtection="0"/>
    <xf numFmtId="0" fontId="47" fillId="0" borderId="4" applyNumberFormat="0" applyFill="0" applyAlignment="0" applyProtection="0"/>
    <xf numFmtId="0" fontId="47" fillId="0" borderId="0" applyNumberFormat="0" applyFill="0" applyBorder="0" applyAlignment="0" applyProtection="0"/>
    <xf numFmtId="0" fontId="49" fillId="7" borderId="5" applyNumberFormat="0" applyAlignment="0" applyProtection="0"/>
    <xf numFmtId="0" fontId="44" fillId="0" borderId="1" applyNumberFormat="0" applyFill="0" applyAlignment="0" applyProtection="0"/>
    <xf numFmtId="0" fontId="54" fillId="22" borderId="0" applyNumberFormat="0" applyBorder="0" applyAlignment="0" applyProtection="0"/>
    <xf numFmtId="0" fontId="4" fillId="23" borderId="8" applyNumberFormat="0" applyFont="0" applyAlignment="0" applyProtection="0"/>
    <xf numFmtId="0" fontId="48" fillId="20" borderId="7" applyNumberFormat="0" applyAlignment="0" applyProtection="0"/>
    <xf numFmtId="0" fontId="43" fillId="0" borderId="0" applyNumberFormat="0" applyFill="0" applyBorder="0" applyAlignment="0" applyProtection="0"/>
    <xf numFmtId="0" fontId="55" fillId="0" borderId="9" applyNumberFormat="0" applyFill="0" applyAlignment="0" applyProtection="0"/>
    <xf numFmtId="0" fontId="56" fillId="0" borderId="0" applyNumberFormat="0" applyFill="0" applyBorder="0" applyAlignment="0" applyProtection="0"/>
    <xf numFmtId="9" fontId="2"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2" fillId="0" borderId="0"/>
  </cellStyleXfs>
  <cellXfs count="496">
    <xf numFmtId="0" fontId="0" fillId="0" borderId="0" xfId="0"/>
    <xf numFmtId="0" fontId="4" fillId="24" borderId="0" xfId="0" applyFont="1" applyFill="1" applyAlignment="1">
      <alignment horizontal="center" vertical="center"/>
    </xf>
    <xf numFmtId="0" fontId="4" fillId="24" borderId="0" xfId="0" applyFont="1" applyFill="1" applyBorder="1" applyAlignment="1">
      <alignment horizontal="center" vertical="center"/>
    </xf>
    <xf numFmtId="9" fontId="4" fillId="24" borderId="0" xfId="42" applyFont="1" applyFill="1" applyBorder="1" applyAlignment="1">
      <alignment horizontal="center" vertical="center"/>
    </xf>
    <xf numFmtId="9" fontId="4" fillId="24" borderId="0" xfId="0" applyNumberFormat="1" applyFont="1" applyFill="1" applyBorder="1" applyAlignment="1">
      <alignment horizontal="center" vertical="center"/>
    </xf>
    <xf numFmtId="166" fontId="4" fillId="24" borderId="0" xfId="0" applyNumberFormat="1" applyFont="1" applyFill="1" applyBorder="1" applyAlignment="1">
      <alignment horizontal="center" vertical="center"/>
    </xf>
    <xf numFmtId="167" fontId="4" fillId="24" borderId="0" xfId="0" applyNumberFormat="1" applyFont="1" applyFill="1" applyBorder="1" applyAlignment="1">
      <alignment horizontal="center" vertical="center"/>
    </xf>
    <xf numFmtId="0" fontId="4" fillId="24" borderId="0" xfId="0" applyNumberFormat="1" applyFont="1" applyFill="1" applyBorder="1" applyAlignment="1">
      <alignment horizontal="center" vertical="center"/>
    </xf>
    <xf numFmtId="166" fontId="7" fillId="0" borderId="0" xfId="0" applyNumberFormat="1" applyFont="1" applyFill="1" applyBorder="1" applyAlignment="1">
      <alignment horizontal="center" vertical="center"/>
    </xf>
    <xf numFmtId="167" fontId="4" fillId="24" borderId="0" xfId="0" applyNumberFormat="1" applyFont="1" applyFill="1" applyAlignment="1">
      <alignment horizontal="center" vertical="center"/>
    </xf>
    <xf numFmtId="166" fontId="4" fillId="24" borderId="0" xfId="0" applyNumberFormat="1" applyFont="1" applyFill="1" applyAlignment="1">
      <alignment horizontal="center" vertical="center"/>
    </xf>
    <xf numFmtId="166" fontId="7" fillId="24" borderId="0" xfId="0" applyNumberFormat="1" applyFont="1" applyFill="1" applyAlignment="1">
      <alignment horizontal="center" vertical="center"/>
    </xf>
    <xf numFmtId="166" fontId="7" fillId="24" borderId="0" xfId="0" applyNumberFormat="1" applyFont="1" applyFill="1" applyBorder="1" applyAlignment="1">
      <alignment horizontal="center" vertical="center"/>
    </xf>
    <xf numFmtId="166" fontId="5" fillId="24" borderId="0" xfId="0" applyNumberFormat="1" applyFont="1" applyFill="1" applyBorder="1" applyAlignment="1">
      <alignment horizontal="center" vertical="center"/>
    </xf>
    <xf numFmtId="166" fontId="4" fillId="24" borderId="0" xfId="0" applyNumberFormat="1" applyFont="1" applyFill="1" applyBorder="1" applyAlignment="1">
      <alignment vertical="center"/>
    </xf>
    <xf numFmtId="165" fontId="4" fillId="24" borderId="0" xfId="0" applyNumberFormat="1" applyFont="1" applyFill="1" applyBorder="1" applyAlignment="1">
      <alignment horizontal="center" vertical="center"/>
    </xf>
    <xf numFmtId="172" fontId="4" fillId="24" borderId="32" xfId="0" applyNumberFormat="1" applyFont="1" applyFill="1" applyBorder="1" applyAlignment="1">
      <alignment horizontal="center" vertical="center"/>
    </xf>
    <xf numFmtId="178" fontId="19" fillId="24" borderId="0" xfId="0" applyNumberFormat="1" applyFont="1" applyFill="1" applyAlignment="1">
      <alignment horizontal="center" vertical="center"/>
    </xf>
    <xf numFmtId="0" fontId="19" fillId="24" borderId="0" xfId="0" applyFont="1" applyFill="1" applyAlignment="1">
      <alignment horizontal="center" vertical="center"/>
    </xf>
    <xf numFmtId="0" fontId="20" fillId="24" borderId="0" xfId="0" applyFont="1" applyFill="1" applyAlignment="1">
      <alignment horizontal="center" vertical="center"/>
    </xf>
    <xf numFmtId="0" fontId="19" fillId="24" borderId="0" xfId="0" applyFont="1" applyFill="1" applyBorder="1" applyAlignment="1">
      <alignment horizontal="center" vertical="center"/>
    </xf>
    <xf numFmtId="0" fontId="19" fillId="24" borderId="0" xfId="0" applyFont="1" applyFill="1" applyAlignment="1">
      <alignment horizontal="right" vertical="center"/>
    </xf>
    <xf numFmtId="0" fontId="21" fillId="24" borderId="0" xfId="0" applyFont="1" applyFill="1" applyBorder="1" applyAlignment="1">
      <alignment horizontal="center" vertical="center"/>
    </xf>
    <xf numFmtId="0" fontId="23" fillId="24" borderId="0" xfId="0" applyFont="1" applyFill="1" applyBorder="1" applyAlignment="1">
      <alignment horizontal="center" vertical="center"/>
    </xf>
    <xf numFmtId="0" fontId="24" fillId="24" borderId="0" xfId="0" applyFont="1" applyFill="1" applyAlignment="1">
      <alignment horizontal="center" vertical="center"/>
    </xf>
    <xf numFmtId="0" fontId="24" fillId="24" borderId="36" xfId="0" applyFont="1" applyFill="1" applyBorder="1" applyAlignment="1">
      <alignment horizontal="center" vertical="center"/>
    </xf>
    <xf numFmtId="0" fontId="24" fillId="24" borderId="0" xfId="0" applyFont="1" applyFill="1" applyBorder="1" applyAlignment="1">
      <alignment horizontal="center" vertical="center"/>
    </xf>
    <xf numFmtId="0" fontId="26" fillId="24" borderId="0" xfId="0" applyFont="1" applyFill="1" applyBorder="1" applyAlignment="1">
      <alignment horizontal="center" vertical="center"/>
    </xf>
    <xf numFmtId="0" fontId="27" fillId="24" borderId="0" xfId="0" applyFont="1" applyFill="1" applyAlignment="1">
      <alignment horizontal="center" vertical="center"/>
    </xf>
    <xf numFmtId="0" fontId="28" fillId="24" borderId="0" xfId="0" applyFont="1" applyFill="1" applyBorder="1" applyAlignment="1">
      <alignment horizontal="center" vertical="center"/>
    </xf>
    <xf numFmtId="176" fontId="30" fillId="24" borderId="0" xfId="0" applyNumberFormat="1" applyFont="1" applyFill="1" applyBorder="1" applyAlignment="1">
      <alignment horizontal="center" vertical="center"/>
    </xf>
    <xf numFmtId="176" fontId="30" fillId="27" borderId="37" xfId="0" applyNumberFormat="1" applyFont="1" applyFill="1" applyBorder="1" applyAlignment="1">
      <alignment horizontal="center" vertical="center"/>
    </xf>
    <xf numFmtId="176" fontId="30" fillId="27" borderId="38" xfId="0" applyNumberFormat="1" applyFont="1" applyFill="1" applyBorder="1" applyAlignment="1">
      <alignment horizontal="center" vertical="center"/>
    </xf>
    <xf numFmtId="176" fontId="30" fillId="27" borderId="39" xfId="0" applyNumberFormat="1" applyFont="1" applyFill="1" applyBorder="1" applyAlignment="1">
      <alignment horizontal="center" vertical="center"/>
    </xf>
    <xf numFmtId="0" fontId="31" fillId="24" borderId="0" xfId="0" applyFont="1" applyFill="1" applyBorder="1" applyAlignment="1">
      <alignment horizontal="center" vertical="center"/>
    </xf>
    <xf numFmtId="0" fontId="30" fillId="24" borderId="0" xfId="0" applyFont="1" applyFill="1" applyAlignment="1">
      <alignment horizontal="left" vertical="center"/>
    </xf>
    <xf numFmtId="177" fontId="32" fillId="27" borderId="40" xfId="0" applyNumberFormat="1" applyFont="1" applyFill="1" applyBorder="1" applyAlignment="1">
      <alignment horizontal="right" vertical="center"/>
    </xf>
    <xf numFmtId="176" fontId="19" fillId="24" borderId="0" xfId="0" applyNumberFormat="1" applyFont="1" applyFill="1" applyBorder="1" applyAlignment="1">
      <alignment horizontal="center" vertical="center"/>
    </xf>
    <xf numFmtId="176" fontId="19" fillId="26" borderId="41" xfId="0" applyNumberFormat="1" applyFont="1" applyFill="1" applyBorder="1" applyAlignment="1">
      <alignment horizontal="center" vertical="center"/>
    </xf>
    <xf numFmtId="176" fontId="19" fillId="26" borderId="42" xfId="0" applyNumberFormat="1" applyFont="1" applyFill="1" applyBorder="1" applyAlignment="1">
      <alignment horizontal="center" vertical="center"/>
    </xf>
    <xf numFmtId="174" fontId="19" fillId="24" borderId="0" xfId="0" applyNumberFormat="1" applyFont="1" applyFill="1" applyAlignment="1">
      <alignment horizontal="left" vertical="center"/>
    </xf>
    <xf numFmtId="177" fontId="31" fillId="0" borderId="43" xfId="0" applyNumberFormat="1" applyFont="1" applyFill="1" applyBorder="1" applyAlignment="1">
      <alignment horizontal="right" vertical="center"/>
    </xf>
    <xf numFmtId="178" fontId="31" fillId="0" borderId="44" xfId="0" applyNumberFormat="1" applyFont="1" applyFill="1" applyBorder="1" applyAlignment="1">
      <alignment horizontal="right" vertical="center"/>
    </xf>
    <xf numFmtId="177" fontId="19" fillId="24" borderId="0" xfId="0" applyNumberFormat="1" applyFont="1" applyFill="1" applyAlignment="1">
      <alignment horizontal="right" vertical="center"/>
    </xf>
    <xf numFmtId="177" fontId="31" fillId="24" borderId="43" xfId="0" applyNumberFormat="1" applyFont="1" applyFill="1" applyBorder="1" applyAlignment="1">
      <alignment horizontal="right" vertical="center"/>
    </xf>
    <xf numFmtId="0" fontId="31" fillId="24" borderId="0" xfId="0" applyFont="1" applyFill="1" applyBorder="1" applyAlignment="1">
      <alignment horizontal="right" vertical="center"/>
    </xf>
    <xf numFmtId="178" fontId="19" fillId="24" borderId="0" xfId="0" applyNumberFormat="1" applyFont="1" applyFill="1" applyBorder="1" applyAlignment="1">
      <alignment horizontal="center" vertical="center"/>
    </xf>
    <xf numFmtId="176" fontId="31" fillId="24" borderId="0" xfId="0" applyNumberFormat="1" applyFont="1" applyFill="1" applyBorder="1" applyAlignment="1">
      <alignment horizontal="center" vertical="center"/>
    </xf>
    <xf numFmtId="174" fontId="19" fillId="24" borderId="0" xfId="0" applyNumberFormat="1" applyFont="1" applyFill="1" applyBorder="1" applyAlignment="1">
      <alignment horizontal="center" vertical="center"/>
    </xf>
    <xf numFmtId="178" fontId="31" fillId="0" borderId="0" xfId="0" applyNumberFormat="1" applyFont="1" applyFill="1" applyBorder="1" applyAlignment="1">
      <alignment horizontal="right" vertical="center"/>
    </xf>
    <xf numFmtId="176" fontId="32" fillId="24" borderId="0" xfId="0" applyNumberFormat="1" applyFont="1" applyFill="1" applyBorder="1" applyAlignment="1">
      <alignment horizontal="center" vertical="center"/>
    </xf>
    <xf numFmtId="174" fontId="35" fillId="24" borderId="0" xfId="0" applyNumberFormat="1" applyFont="1" applyFill="1" applyBorder="1" applyAlignment="1">
      <alignment horizontal="center" vertical="center"/>
    </xf>
    <xf numFmtId="176" fontId="32" fillId="24" borderId="43" xfId="0" applyNumberFormat="1" applyFont="1" applyFill="1" applyBorder="1" applyAlignment="1">
      <alignment horizontal="center" vertical="center"/>
    </xf>
    <xf numFmtId="0" fontId="35" fillId="24" borderId="0" xfId="0" applyFont="1" applyFill="1" applyBorder="1" applyAlignment="1">
      <alignment horizontal="center" vertical="center"/>
    </xf>
    <xf numFmtId="0" fontId="23" fillId="24" borderId="0" xfId="0" applyFont="1" applyFill="1" applyAlignment="1">
      <alignment horizontal="center" vertical="center"/>
    </xf>
    <xf numFmtId="0" fontId="31" fillId="24" borderId="0" xfId="0" applyFont="1" applyFill="1" applyAlignment="1">
      <alignment horizontal="right" vertical="center"/>
    </xf>
    <xf numFmtId="174" fontId="31" fillId="24" borderId="0" xfId="0" applyNumberFormat="1" applyFont="1" applyFill="1" applyAlignment="1">
      <alignment horizontal="right" vertical="center"/>
    </xf>
    <xf numFmtId="178" fontId="23" fillId="24" borderId="0" xfId="0" applyNumberFormat="1" applyFont="1" applyFill="1" applyAlignment="1">
      <alignment vertical="center"/>
    </xf>
    <xf numFmtId="0" fontId="23" fillId="24" borderId="0" xfId="0" applyFont="1" applyFill="1" applyAlignment="1">
      <alignment vertical="center"/>
    </xf>
    <xf numFmtId="179" fontId="19" fillId="24" borderId="0" xfId="0" applyNumberFormat="1" applyFont="1" applyFill="1" applyAlignment="1">
      <alignment horizontal="center" vertical="center"/>
    </xf>
    <xf numFmtId="176" fontId="31" fillId="24" borderId="25" xfId="0" applyNumberFormat="1" applyFont="1" applyFill="1" applyBorder="1" applyAlignment="1">
      <alignment horizontal="center" vertical="center"/>
    </xf>
    <xf numFmtId="177" fontId="31" fillId="24" borderId="45" xfId="0" applyNumberFormat="1" applyFont="1" applyFill="1" applyBorder="1" applyAlignment="1">
      <alignment horizontal="center" vertical="center"/>
    </xf>
    <xf numFmtId="0" fontId="37" fillId="24" borderId="0" xfId="0" applyFont="1" applyFill="1" applyAlignment="1">
      <alignment horizontal="left" vertical="center"/>
    </xf>
    <xf numFmtId="0" fontId="36" fillId="24" borderId="40" xfId="0" applyFont="1" applyFill="1" applyBorder="1" applyAlignment="1">
      <alignment horizontal="center" vertical="center"/>
    </xf>
    <xf numFmtId="172" fontId="4" fillId="24" borderId="47" xfId="0" applyNumberFormat="1" applyFont="1" applyFill="1" applyBorder="1" applyAlignment="1">
      <alignment horizontal="center" vertical="center"/>
    </xf>
    <xf numFmtId="175" fontId="4" fillId="24" borderId="0" xfId="0" applyNumberFormat="1" applyFont="1" applyFill="1" applyAlignment="1">
      <alignment horizontal="center" vertical="center"/>
    </xf>
    <xf numFmtId="2" fontId="4" fillId="24" borderId="0" xfId="0" applyNumberFormat="1" applyFont="1" applyFill="1" applyAlignment="1">
      <alignment horizontal="center" vertical="center"/>
    </xf>
    <xf numFmtId="177" fontId="39" fillId="0" borderId="44" xfId="0" applyNumberFormat="1" applyFont="1" applyBorder="1"/>
    <xf numFmtId="178" fontId="57" fillId="24" borderId="0" xfId="0" applyNumberFormat="1" applyFont="1" applyFill="1" applyBorder="1" applyAlignment="1">
      <alignment horizontal="center" vertical="center"/>
    </xf>
    <xf numFmtId="0" fontId="4" fillId="0" borderId="49" xfId="0" applyNumberFormat="1" applyFont="1" applyFill="1" applyBorder="1" applyAlignment="1" applyProtection="1">
      <alignment horizontal="center" vertical="center"/>
      <protection locked="0"/>
    </xf>
    <xf numFmtId="170" fontId="4" fillId="0" borderId="50" xfId="0" applyNumberFormat="1" applyFont="1" applyFill="1" applyBorder="1" applyAlignment="1" applyProtection="1">
      <alignment vertical="center"/>
      <protection locked="0"/>
    </xf>
    <xf numFmtId="0" fontId="4" fillId="0" borderId="32" xfId="0" applyNumberFormat="1" applyFont="1" applyBorder="1" applyAlignment="1" applyProtection="1">
      <alignment horizontal="center" vertical="center"/>
      <protection locked="0"/>
    </xf>
    <xf numFmtId="170" fontId="4" fillId="0" borderId="46" xfId="0" applyNumberFormat="1" applyFont="1" applyFill="1" applyBorder="1" applyAlignment="1" applyProtection="1">
      <alignment horizontal="right" vertical="center"/>
      <protection locked="0"/>
    </xf>
    <xf numFmtId="170" fontId="4" fillId="0" borderId="51" xfId="0" applyNumberFormat="1" applyFont="1" applyFill="1" applyBorder="1" applyAlignment="1" applyProtection="1">
      <alignment vertical="center"/>
      <protection locked="0"/>
    </xf>
    <xf numFmtId="0" fontId="4" fillId="0" borderId="32" xfId="0" applyNumberFormat="1" applyFont="1" applyFill="1" applyBorder="1" applyAlignment="1" applyProtection="1">
      <alignment horizontal="center" vertical="center"/>
      <protection locked="0"/>
    </xf>
    <xf numFmtId="170" fontId="4" fillId="0" borderId="46" xfId="0" applyNumberFormat="1" applyFont="1" applyFill="1" applyBorder="1" applyAlignment="1" applyProtection="1">
      <alignment vertical="center"/>
      <protection locked="0"/>
    </xf>
    <xf numFmtId="172" fontId="4" fillId="0" borderId="52" xfId="0" applyNumberFormat="1" applyFont="1" applyFill="1" applyBorder="1" applyAlignment="1" applyProtection="1">
      <alignment horizontal="center" vertical="center"/>
      <protection locked="0"/>
    </xf>
    <xf numFmtId="170" fontId="4" fillId="0" borderId="52" xfId="0" applyNumberFormat="1" applyFont="1" applyFill="1" applyBorder="1" applyAlignment="1" applyProtection="1">
      <alignment vertical="center"/>
      <protection locked="0"/>
    </xf>
    <xf numFmtId="170" fontId="4" fillId="0" borderId="46" xfId="0" applyNumberFormat="1" applyFont="1" applyBorder="1" applyAlignment="1" applyProtection="1">
      <alignment vertical="center"/>
      <protection locked="0"/>
    </xf>
    <xf numFmtId="1" fontId="4" fillId="0" borderId="32" xfId="0" applyNumberFormat="1" applyFont="1" applyBorder="1" applyAlignment="1" applyProtection="1">
      <alignment horizontal="center" vertical="center"/>
      <protection locked="0"/>
    </xf>
    <xf numFmtId="0" fontId="4" fillId="0" borderId="53" xfId="0" applyNumberFormat="1" applyFont="1" applyFill="1" applyBorder="1" applyAlignment="1" applyProtection="1">
      <alignment horizontal="center" vertical="center"/>
      <protection locked="0"/>
    </xf>
    <xf numFmtId="170" fontId="4" fillId="0" borderId="54" xfId="0" applyNumberFormat="1" applyFont="1" applyFill="1" applyBorder="1" applyAlignment="1" applyProtection="1">
      <alignment vertical="center"/>
      <protection locked="0"/>
    </xf>
    <xf numFmtId="0" fontId="4" fillId="0" borderId="47" xfId="0" applyNumberFormat="1" applyFont="1" applyBorder="1" applyAlignment="1" applyProtection="1">
      <alignment horizontal="center" vertical="center"/>
      <protection locked="0"/>
    </xf>
    <xf numFmtId="170" fontId="4" fillId="0" borderId="48" xfId="0" applyNumberFormat="1" applyFont="1" applyFill="1" applyBorder="1" applyAlignment="1" applyProtection="1">
      <alignment vertical="center"/>
      <protection locked="0"/>
    </xf>
    <xf numFmtId="170" fontId="4" fillId="0" borderId="55" xfId="0" applyNumberFormat="1" applyFont="1" applyFill="1" applyBorder="1" applyAlignment="1" applyProtection="1">
      <alignment vertical="center"/>
      <protection locked="0"/>
    </xf>
    <xf numFmtId="0" fontId="4" fillId="0" borderId="47" xfId="0" applyNumberFormat="1" applyFont="1" applyFill="1" applyBorder="1" applyAlignment="1" applyProtection="1">
      <alignment horizontal="center" vertical="center"/>
      <protection locked="0"/>
    </xf>
    <xf numFmtId="172" fontId="4" fillId="0" borderId="56" xfId="0" applyNumberFormat="1" applyFont="1" applyFill="1" applyBorder="1" applyAlignment="1" applyProtection="1">
      <alignment horizontal="center" vertical="center"/>
      <protection locked="0"/>
    </xf>
    <xf numFmtId="170" fontId="4" fillId="0" borderId="56" xfId="0" applyNumberFormat="1" applyFont="1" applyFill="1" applyBorder="1" applyAlignment="1" applyProtection="1">
      <alignment vertical="center"/>
      <protection locked="0"/>
    </xf>
    <xf numFmtId="170" fontId="4" fillId="0" borderId="48" xfId="0" applyNumberFormat="1" applyFont="1" applyBorder="1" applyAlignment="1" applyProtection="1">
      <alignment vertical="center"/>
      <protection locked="0"/>
    </xf>
    <xf numFmtId="1" fontId="4" fillId="0" borderId="47" xfId="0" applyNumberFormat="1" applyFont="1" applyBorder="1" applyAlignment="1" applyProtection="1">
      <alignment horizontal="center" vertical="center"/>
      <protection locked="0"/>
    </xf>
    <xf numFmtId="1" fontId="4" fillId="0" borderId="47" xfId="0" applyNumberFormat="1" applyFont="1" applyFill="1" applyBorder="1" applyAlignment="1" applyProtection="1">
      <alignment horizontal="center" vertical="center"/>
      <protection locked="0"/>
    </xf>
    <xf numFmtId="0" fontId="4" fillId="24" borderId="32" xfId="0" applyNumberFormat="1" applyFont="1" applyFill="1" applyBorder="1" applyAlignment="1" applyProtection="1">
      <alignment horizontal="center" vertical="center"/>
      <protection locked="0"/>
    </xf>
    <xf numFmtId="171" fontId="4" fillId="0" borderId="50" xfId="0" applyNumberFormat="1" applyFont="1" applyBorder="1" applyAlignment="1" applyProtection="1">
      <alignment horizontal="right" vertical="center"/>
      <protection locked="0"/>
    </xf>
    <xf numFmtId="0" fontId="4" fillId="24" borderId="47" xfId="0" applyNumberFormat="1" applyFont="1" applyFill="1" applyBorder="1" applyAlignment="1" applyProtection="1">
      <alignment horizontal="center" vertical="center"/>
      <protection locked="0"/>
    </xf>
    <xf numFmtId="171" fontId="4" fillId="0" borderId="54" xfId="0" applyNumberFormat="1" applyFont="1" applyBorder="1" applyAlignment="1" applyProtection="1">
      <alignment horizontal="right" vertical="center"/>
      <protection locked="0"/>
    </xf>
    <xf numFmtId="0" fontId="13" fillId="24" borderId="57" xfId="0" applyFont="1" applyFill="1" applyBorder="1" applyAlignment="1" applyProtection="1">
      <alignment horizontal="center" vertical="center"/>
      <protection locked="0"/>
    </xf>
    <xf numFmtId="0" fontId="13" fillId="24" borderId="58" xfId="0" applyFont="1" applyFill="1" applyBorder="1" applyAlignment="1" applyProtection="1">
      <alignment horizontal="center" vertical="center"/>
      <protection locked="0"/>
    </xf>
    <xf numFmtId="0" fontId="31" fillId="28" borderId="59" xfId="0" applyFont="1" applyFill="1" applyBorder="1" applyAlignment="1" applyProtection="1">
      <alignment horizontal="center" vertical="center"/>
      <protection locked="0"/>
    </xf>
    <xf numFmtId="0" fontId="31" fillId="28" borderId="60" xfId="0" applyFont="1" applyFill="1" applyBorder="1" applyAlignment="1" applyProtection="1">
      <alignment horizontal="center" vertical="center"/>
      <protection locked="0"/>
    </xf>
    <xf numFmtId="0" fontId="31" fillId="28" borderId="61" xfId="0" applyFont="1" applyFill="1" applyBorder="1" applyAlignment="1" applyProtection="1">
      <alignment horizontal="center" vertical="center"/>
      <protection locked="0"/>
    </xf>
    <xf numFmtId="0" fontId="31" fillId="24" borderId="0" xfId="0" applyFont="1" applyFill="1" applyBorder="1" applyAlignment="1" applyProtection="1">
      <alignment horizontal="center" vertical="center"/>
      <protection locked="0"/>
    </xf>
    <xf numFmtId="176" fontId="30" fillId="26" borderId="62" xfId="0" applyNumberFormat="1" applyFont="1" applyFill="1" applyBorder="1" applyAlignment="1">
      <alignment horizontal="center" vertical="center"/>
    </xf>
    <xf numFmtId="0" fontId="0" fillId="24" borderId="0" xfId="0" applyFill="1" applyAlignment="1" applyProtection="1">
      <alignment vertical="center"/>
    </xf>
    <xf numFmtId="9" fontId="13" fillId="24" borderId="73" xfId="42" applyFont="1" applyFill="1" applyBorder="1" applyAlignment="1" applyProtection="1">
      <alignment horizontal="center" vertical="center"/>
    </xf>
    <xf numFmtId="9" fontId="13" fillId="24" borderId="74" xfId="42" applyFont="1" applyFill="1" applyBorder="1" applyAlignment="1" applyProtection="1">
      <alignment horizontal="center" vertical="center"/>
    </xf>
    <xf numFmtId="9" fontId="13" fillId="24" borderId="77" xfId="42" applyFont="1" applyFill="1" applyBorder="1" applyAlignment="1" applyProtection="1">
      <alignment horizontal="center" vertical="center"/>
    </xf>
    <xf numFmtId="9" fontId="13" fillId="24" borderId="78" xfId="42" applyFont="1" applyFill="1" applyBorder="1" applyAlignment="1" applyProtection="1">
      <alignment horizontal="center" vertical="center"/>
    </xf>
    <xf numFmtId="164" fontId="14" fillId="24" borderId="79" xfId="0" applyNumberFormat="1" applyFont="1" applyFill="1" applyBorder="1" applyAlignment="1" applyProtection="1">
      <alignment horizontal="center" vertical="center"/>
    </xf>
    <xf numFmtId="0" fontId="0" fillId="24" borderId="79" xfId="0" applyFill="1" applyBorder="1" applyAlignment="1" applyProtection="1">
      <alignment vertical="center"/>
    </xf>
    <xf numFmtId="0" fontId="0" fillId="24" borderId="79" xfId="0" applyFill="1" applyBorder="1" applyAlignment="1" applyProtection="1">
      <alignment horizontal="center" vertical="center"/>
    </xf>
    <xf numFmtId="0" fontId="13" fillId="24" borderId="0" xfId="0" applyFont="1" applyFill="1" applyAlignment="1" applyProtection="1">
      <alignment horizontal="center" vertical="center"/>
    </xf>
    <xf numFmtId="164" fontId="13" fillId="24" borderId="0" xfId="0" applyNumberFormat="1" applyFont="1" applyFill="1" applyBorder="1" applyAlignment="1" applyProtection="1">
      <alignment vertical="center"/>
    </xf>
    <xf numFmtId="0" fontId="13" fillId="24" borderId="0" xfId="0" applyFont="1" applyFill="1" applyAlignment="1" applyProtection="1">
      <alignment vertical="center"/>
    </xf>
    <xf numFmtId="3" fontId="12" fillId="0" borderId="0" xfId="0" applyNumberFormat="1" applyFont="1" applyFill="1" applyBorder="1" applyAlignment="1" applyProtection="1">
      <alignment horizontal="center" vertical="center"/>
    </xf>
    <xf numFmtId="0" fontId="0" fillId="24" borderId="0" xfId="0" applyFill="1" applyAlignment="1" applyProtection="1">
      <alignment horizontal="center" vertical="center"/>
    </xf>
    <xf numFmtId="0" fontId="16" fillId="24" borderId="0" xfId="0" applyFont="1" applyFill="1" applyAlignment="1" applyProtection="1">
      <alignment vertical="center"/>
    </xf>
    <xf numFmtId="0" fontId="14" fillId="24" borderId="0" xfId="0" applyFont="1" applyFill="1" applyAlignment="1" applyProtection="1">
      <alignment vertical="center"/>
    </xf>
    <xf numFmtId="0" fontId="0" fillId="24" borderId="0" xfId="0" applyFill="1" applyBorder="1" applyAlignment="1" applyProtection="1">
      <alignment horizontal="center" vertical="center"/>
    </xf>
    <xf numFmtId="0" fontId="16" fillId="24" borderId="0" xfId="0" applyFont="1" applyFill="1" applyBorder="1" applyAlignment="1" applyProtection="1">
      <alignment vertical="center"/>
    </xf>
    <xf numFmtId="0" fontId="14" fillId="24" borderId="0" xfId="0" applyFont="1" applyFill="1" applyBorder="1" applyAlignment="1" applyProtection="1">
      <alignment vertical="center"/>
    </xf>
    <xf numFmtId="0" fontId="0" fillId="24" borderId="0" xfId="0" applyFill="1" applyBorder="1" applyAlignment="1" applyProtection="1">
      <alignment vertical="center"/>
    </xf>
    <xf numFmtId="176" fontId="30" fillId="26" borderId="80" xfId="0" applyNumberFormat="1" applyFont="1" applyFill="1" applyBorder="1" applyAlignment="1">
      <alignment horizontal="center" vertical="center"/>
    </xf>
    <xf numFmtId="176" fontId="30" fillId="26" borderId="81" xfId="0" applyNumberFormat="1" applyFont="1" applyFill="1" applyBorder="1" applyAlignment="1">
      <alignment horizontal="center" vertical="center"/>
    </xf>
    <xf numFmtId="0" fontId="31" fillId="28" borderId="82" xfId="0" applyFont="1" applyFill="1" applyBorder="1" applyAlignment="1" applyProtection="1">
      <alignment horizontal="center" vertical="center"/>
      <protection locked="0"/>
    </xf>
    <xf numFmtId="176" fontId="19" fillId="27" borderId="83" xfId="0" applyNumberFormat="1" applyFont="1" applyFill="1" applyBorder="1" applyAlignment="1">
      <alignment horizontal="center" vertical="center"/>
    </xf>
    <xf numFmtId="176" fontId="19" fillId="27" borderId="84" xfId="0" applyNumberFormat="1" applyFont="1" applyFill="1" applyBorder="1" applyAlignment="1">
      <alignment horizontal="center" vertical="center"/>
    </xf>
    <xf numFmtId="176" fontId="19" fillId="27" borderId="85" xfId="0" applyNumberFormat="1" applyFont="1" applyFill="1" applyBorder="1" applyAlignment="1" applyProtection="1">
      <alignment horizontal="center" vertical="center"/>
      <protection locked="0"/>
    </xf>
    <xf numFmtId="176" fontId="19" fillId="26" borderId="86" xfId="0" applyNumberFormat="1" applyFont="1" applyFill="1" applyBorder="1" applyAlignment="1" applyProtection="1">
      <alignment horizontal="center" vertical="center"/>
      <protection locked="0"/>
    </xf>
    <xf numFmtId="180" fontId="4" fillId="24" borderId="46" xfId="0" applyNumberFormat="1" applyFont="1" applyFill="1" applyBorder="1" applyAlignment="1">
      <alignment horizontal="center" vertical="center"/>
    </xf>
    <xf numFmtId="180" fontId="4" fillId="24" borderId="48" xfId="0" applyNumberFormat="1" applyFont="1" applyFill="1" applyBorder="1" applyAlignment="1">
      <alignment horizontal="center" vertical="center"/>
    </xf>
    <xf numFmtId="180" fontId="17" fillId="0" borderId="35" xfId="0" applyNumberFormat="1" applyFont="1" applyFill="1" applyBorder="1" applyAlignment="1">
      <alignment horizontal="center" vertical="center"/>
    </xf>
    <xf numFmtId="180" fontId="5" fillId="0" borderId="34" xfId="0" applyNumberFormat="1" applyFont="1" applyFill="1" applyBorder="1" applyAlignment="1">
      <alignment horizontal="center" vertical="center"/>
    </xf>
    <xf numFmtId="180" fontId="4" fillId="24" borderId="0" xfId="0" applyNumberFormat="1" applyFont="1" applyFill="1" applyAlignment="1">
      <alignment horizontal="center" vertical="center"/>
    </xf>
    <xf numFmtId="180" fontId="5" fillId="24" borderId="13" xfId="0" applyNumberFormat="1" applyFont="1" applyFill="1" applyBorder="1" applyAlignment="1">
      <alignment horizontal="center" vertical="center"/>
    </xf>
    <xf numFmtId="0" fontId="61" fillId="31" borderId="13" xfId="43" applyFont="1" applyFill="1" applyBorder="1" applyAlignment="1">
      <alignment vertical="center"/>
    </xf>
    <xf numFmtId="0" fontId="5" fillId="0" borderId="0" xfId="43" applyFont="1" applyAlignment="1">
      <alignment horizontal="center" vertical="center"/>
    </xf>
    <xf numFmtId="0" fontId="4" fillId="0" borderId="0" xfId="43" applyAlignment="1">
      <alignment horizontal="center" vertical="center"/>
    </xf>
    <xf numFmtId="0" fontId="25" fillId="0" borderId="0" xfId="43" applyFont="1" applyAlignment="1">
      <alignment horizontal="center" vertical="center"/>
    </xf>
    <xf numFmtId="3" fontId="58" fillId="30" borderId="87" xfId="43" applyNumberFormat="1" applyFont="1" applyFill="1" applyBorder="1" applyAlignment="1" applyProtection="1">
      <alignment horizontal="center" vertical="center"/>
      <protection locked="0"/>
    </xf>
    <xf numFmtId="3" fontId="58" fillId="34" borderId="87" xfId="43" applyNumberFormat="1" applyFont="1" applyFill="1" applyBorder="1" applyAlignment="1" applyProtection="1">
      <alignment horizontal="center" vertical="center"/>
    </xf>
    <xf numFmtId="3" fontId="64" fillId="32" borderId="87" xfId="44" applyNumberFormat="1" applyFont="1" applyFill="1" applyBorder="1" applyAlignment="1" applyProtection="1">
      <alignment horizontal="center"/>
    </xf>
    <xf numFmtId="3" fontId="58" fillId="33" borderId="87" xfId="43" applyNumberFormat="1" applyFont="1" applyFill="1" applyBorder="1" applyAlignment="1" applyProtection="1">
      <alignment horizontal="center" vertical="center"/>
    </xf>
    <xf numFmtId="0" fontId="4" fillId="29" borderId="0" xfId="43" applyFill="1" applyAlignment="1">
      <alignment horizontal="center" vertical="center"/>
    </xf>
    <xf numFmtId="0" fontId="4" fillId="0" borderId="0" xfId="43" applyNumberFormat="1" applyAlignment="1">
      <alignment horizontal="center" vertical="center"/>
    </xf>
    <xf numFmtId="0" fontId="4" fillId="29" borderId="0" xfId="43" applyNumberFormat="1" applyFill="1" applyAlignment="1">
      <alignment horizontal="center" vertical="center"/>
    </xf>
    <xf numFmtId="3" fontId="58" fillId="30" borderId="118" xfId="43" applyNumberFormat="1" applyFont="1" applyFill="1" applyBorder="1" applyAlignment="1" applyProtection="1">
      <alignment horizontal="center" vertical="center"/>
      <protection locked="0"/>
    </xf>
    <xf numFmtId="3" fontId="58" fillId="34" borderId="118" xfId="43" applyNumberFormat="1" applyFont="1" applyFill="1" applyBorder="1" applyAlignment="1" applyProtection="1">
      <alignment horizontal="center" vertical="center"/>
    </xf>
    <xf numFmtId="3" fontId="64" fillId="32" borderId="118" xfId="44" applyNumberFormat="1" applyFont="1" applyFill="1" applyBorder="1" applyAlignment="1" applyProtection="1">
      <alignment horizontal="center"/>
    </xf>
    <xf numFmtId="3" fontId="58" fillId="33" borderId="118" xfId="43" applyNumberFormat="1" applyFont="1" applyFill="1" applyBorder="1" applyAlignment="1" applyProtection="1">
      <alignment horizontal="center" vertical="center"/>
    </xf>
    <xf numFmtId="3" fontId="58" fillId="30" borderId="117" xfId="43" applyNumberFormat="1" applyFont="1" applyFill="1" applyBorder="1" applyAlignment="1" applyProtection="1">
      <alignment horizontal="center" vertical="center"/>
      <protection locked="0"/>
    </xf>
    <xf numFmtId="3" fontId="58" fillId="34" borderId="117" xfId="43" applyNumberFormat="1" applyFont="1" applyFill="1" applyBorder="1" applyAlignment="1" applyProtection="1">
      <alignment horizontal="center" vertical="center"/>
    </xf>
    <xf numFmtId="14" fontId="60" fillId="30" borderId="13" xfId="43" applyNumberFormat="1" applyFont="1" applyFill="1" applyBorder="1" applyAlignment="1">
      <alignment horizontal="center" vertical="center"/>
    </xf>
    <xf numFmtId="3" fontId="60" fillId="33" borderId="13" xfId="43" applyNumberFormat="1" applyFont="1" applyFill="1" applyBorder="1" applyAlignment="1">
      <alignment horizontal="center" vertical="center"/>
    </xf>
    <xf numFmtId="0" fontId="38" fillId="24" borderId="119" xfId="0" applyFont="1" applyFill="1" applyBorder="1" applyAlignment="1">
      <alignment horizontal="center" vertical="center"/>
    </xf>
    <xf numFmtId="0" fontId="33" fillId="24" borderId="120" xfId="0" applyFont="1" applyFill="1" applyBorder="1" applyAlignment="1">
      <alignment horizontal="left" vertical="center"/>
    </xf>
    <xf numFmtId="0" fontId="34" fillId="24" borderId="121" xfId="0" applyFont="1" applyFill="1" applyBorder="1" applyAlignment="1">
      <alignment horizontal="left" vertical="center"/>
    </xf>
    <xf numFmtId="0" fontId="36" fillId="24" borderId="122" xfId="0" applyFont="1" applyFill="1" applyBorder="1" applyAlignment="1">
      <alignment horizontal="center" vertical="center"/>
    </xf>
    <xf numFmtId="0" fontId="36" fillId="24" borderId="123" xfId="0" applyFont="1" applyFill="1" applyBorder="1" applyAlignment="1">
      <alignment horizontal="center" vertical="center"/>
    </xf>
    <xf numFmtId="0" fontId="36" fillId="24" borderId="124" xfId="0" applyFont="1" applyFill="1" applyBorder="1" applyAlignment="1">
      <alignment horizontal="center" vertical="center"/>
    </xf>
    <xf numFmtId="176" fontId="31" fillId="24" borderId="125" xfId="0" applyNumberFormat="1" applyFont="1" applyFill="1" applyBorder="1" applyAlignment="1">
      <alignment horizontal="center" vertical="center"/>
    </xf>
    <xf numFmtId="176" fontId="31" fillId="24" borderId="126" xfId="0" applyNumberFormat="1" applyFont="1" applyFill="1" applyBorder="1" applyAlignment="1">
      <alignment horizontal="center" vertical="center"/>
    </xf>
    <xf numFmtId="176" fontId="32" fillId="24" borderId="127" xfId="0" applyNumberFormat="1" applyFont="1" applyFill="1" applyBorder="1" applyAlignment="1">
      <alignment horizontal="center" vertical="center"/>
    </xf>
    <xf numFmtId="176" fontId="32" fillId="24" borderId="128" xfId="0" applyNumberFormat="1" applyFont="1" applyFill="1" applyBorder="1" applyAlignment="1">
      <alignment horizontal="center" vertical="center"/>
    </xf>
    <xf numFmtId="176" fontId="32" fillId="24" borderId="129" xfId="0" applyNumberFormat="1" applyFont="1" applyFill="1" applyBorder="1" applyAlignment="1">
      <alignment horizontal="center" vertical="center"/>
    </xf>
    <xf numFmtId="0" fontId="36" fillId="24" borderId="130" xfId="0" applyFont="1" applyFill="1" applyBorder="1" applyAlignment="1">
      <alignment horizontal="center" vertical="center"/>
    </xf>
    <xf numFmtId="172" fontId="4" fillId="0" borderId="131" xfId="0" applyNumberFormat="1" applyFont="1" applyFill="1" applyBorder="1" applyAlignment="1" applyProtection="1">
      <alignment horizontal="center" vertical="center"/>
      <protection locked="0"/>
    </xf>
    <xf numFmtId="170" fontId="4" fillId="0" borderId="132" xfId="0" applyNumberFormat="1" applyFont="1" applyFill="1" applyBorder="1" applyAlignment="1" applyProtection="1">
      <alignment vertical="center"/>
      <protection locked="0"/>
    </xf>
    <xf numFmtId="172" fontId="4" fillId="0" borderId="133" xfId="0" applyNumberFormat="1" applyFont="1" applyFill="1" applyBorder="1" applyAlignment="1" applyProtection="1">
      <alignment horizontal="center" vertical="center"/>
      <protection locked="0"/>
    </xf>
    <xf numFmtId="170" fontId="4" fillId="0" borderId="134" xfId="0" applyNumberFormat="1" applyFont="1" applyFill="1" applyBorder="1" applyAlignment="1" applyProtection="1">
      <alignment vertical="center"/>
      <protection locked="0"/>
    </xf>
    <xf numFmtId="180" fontId="5" fillId="0" borderId="26" xfId="0" applyNumberFormat="1" applyFont="1" applyFill="1" applyBorder="1" applyAlignment="1" applyProtection="1">
      <alignment horizontal="center" vertical="center"/>
    </xf>
    <xf numFmtId="0" fontId="72" fillId="24" borderId="0" xfId="0" applyFont="1" applyFill="1" applyAlignment="1" applyProtection="1">
      <alignment horizontal="center" vertical="center"/>
    </xf>
    <xf numFmtId="0" fontId="80" fillId="0" borderId="0" xfId="0" applyFont="1" applyFill="1" applyBorder="1" applyAlignment="1" applyProtection="1">
      <alignment horizontal="center" vertical="center"/>
    </xf>
    <xf numFmtId="0" fontId="75" fillId="0" borderId="0" xfId="0" applyFont="1" applyFill="1" applyBorder="1" applyAlignment="1" applyProtection="1">
      <alignment horizontal="center" vertical="center"/>
    </xf>
    <xf numFmtId="180" fontId="81" fillId="34" borderId="63" xfId="0" applyNumberFormat="1" applyFont="1" applyFill="1" applyBorder="1" applyAlignment="1" applyProtection="1">
      <alignment horizontal="center" vertical="center"/>
    </xf>
    <xf numFmtId="0" fontId="82" fillId="40" borderId="28" xfId="0" applyFont="1" applyFill="1" applyBorder="1" applyAlignment="1" applyProtection="1">
      <alignment horizontal="center" vertical="center"/>
    </xf>
    <xf numFmtId="180" fontId="81" fillId="40" borderId="63" xfId="0" applyNumberFormat="1" applyFont="1" applyFill="1" applyBorder="1" applyAlignment="1" applyProtection="1">
      <alignment horizontal="center" vertical="center"/>
    </xf>
    <xf numFmtId="0" fontId="75" fillId="39" borderId="13" xfId="0" applyFont="1" applyFill="1" applyBorder="1" applyAlignment="1" applyProtection="1">
      <alignment horizontal="center" vertical="center"/>
    </xf>
    <xf numFmtId="0" fontId="72" fillId="34" borderId="64" xfId="0" applyFont="1" applyFill="1" applyBorder="1" applyAlignment="1" applyProtection="1">
      <alignment horizontal="center" vertical="center"/>
    </xf>
    <xf numFmtId="0" fontId="72" fillId="34" borderId="65" xfId="0" applyFont="1" applyFill="1" applyBorder="1" applyAlignment="1" applyProtection="1">
      <alignment horizontal="center" vertical="center"/>
    </xf>
    <xf numFmtId="0" fontId="72" fillId="34" borderId="66" xfId="0" applyFont="1" applyFill="1" applyBorder="1" applyAlignment="1" applyProtection="1">
      <alignment horizontal="center" vertical="center"/>
    </xf>
    <xf numFmtId="180" fontId="81" fillId="34" borderId="23" xfId="0" applyNumberFormat="1" applyFont="1" applyFill="1" applyBorder="1" applyAlignment="1" applyProtection="1">
      <alignment horizontal="center" vertical="center"/>
    </xf>
    <xf numFmtId="180" fontId="83" fillId="34" borderId="14" xfId="0" applyNumberFormat="1" applyFont="1" applyFill="1" applyBorder="1" applyAlignment="1" applyProtection="1">
      <alignment horizontal="center" vertical="center"/>
    </xf>
    <xf numFmtId="0" fontId="83" fillId="34" borderId="31" xfId="0" applyFont="1" applyFill="1" applyBorder="1" applyAlignment="1" applyProtection="1">
      <alignment horizontal="center" vertical="center"/>
    </xf>
    <xf numFmtId="0" fontId="76" fillId="34" borderId="13" xfId="0" applyFont="1" applyFill="1" applyBorder="1" applyAlignment="1" applyProtection="1">
      <alignment horizontal="center" vertical="center"/>
    </xf>
    <xf numFmtId="1" fontId="84" fillId="34" borderId="13" xfId="0" applyNumberFormat="1" applyFont="1" applyFill="1" applyBorder="1" applyAlignment="1" applyProtection="1">
      <alignment horizontal="center" vertical="center"/>
    </xf>
    <xf numFmtId="180" fontId="84" fillId="34" borderId="13" xfId="0" applyNumberFormat="1" applyFont="1" applyFill="1" applyBorder="1" applyAlignment="1" applyProtection="1">
      <alignment horizontal="center" vertical="center"/>
    </xf>
    <xf numFmtId="0" fontId="73" fillId="34" borderId="13" xfId="0" applyFont="1" applyFill="1" applyBorder="1" applyAlignment="1" applyProtection="1">
      <alignment horizontal="center" vertical="center"/>
    </xf>
    <xf numFmtId="180" fontId="79" fillId="34" borderId="13" xfId="0" applyNumberFormat="1" applyFont="1" applyFill="1" applyBorder="1" applyAlignment="1" applyProtection="1">
      <alignment horizontal="center" vertical="center"/>
    </xf>
    <xf numFmtId="169" fontId="75" fillId="39" borderId="13" xfId="0" applyNumberFormat="1" applyFont="1" applyFill="1" applyBorder="1" applyAlignment="1" applyProtection="1">
      <alignment horizontal="center" vertical="center"/>
    </xf>
    <xf numFmtId="169" fontId="75" fillId="39" borderId="13" xfId="0" applyNumberFormat="1" applyFont="1" applyFill="1" applyBorder="1" applyAlignment="1" applyProtection="1">
      <alignment horizontal="center" vertical="center" wrapText="1"/>
    </xf>
    <xf numFmtId="0" fontId="73" fillId="24" borderId="21" xfId="0" applyFont="1" applyFill="1" applyBorder="1" applyAlignment="1" applyProtection="1">
      <alignment horizontal="center" vertical="center"/>
    </xf>
    <xf numFmtId="0" fontId="73" fillId="24" borderId="30" xfId="0" applyFont="1" applyFill="1" applyBorder="1" applyAlignment="1" applyProtection="1">
      <alignment horizontal="center" vertical="center"/>
    </xf>
    <xf numFmtId="0" fontId="73" fillId="24" borderId="0" xfId="0" applyFont="1" applyFill="1" applyBorder="1" applyAlignment="1" applyProtection="1">
      <alignment horizontal="center" vertical="center"/>
    </xf>
    <xf numFmtId="0" fontId="75" fillId="39" borderId="10" xfId="0" applyFont="1" applyFill="1" applyBorder="1" applyAlignment="1" applyProtection="1">
      <alignment horizontal="center" vertical="center"/>
    </xf>
    <xf numFmtId="0" fontId="75" fillId="39" borderId="11" xfId="0" applyFont="1" applyFill="1" applyBorder="1" applyAlignment="1" applyProtection="1">
      <alignment horizontal="center" vertical="center"/>
    </xf>
    <xf numFmtId="0" fontId="75" fillId="24" borderId="31" xfId="0" applyFont="1" applyFill="1" applyBorder="1" applyAlignment="1" applyProtection="1">
      <alignment horizontal="center" vertical="center"/>
    </xf>
    <xf numFmtId="0" fontId="76" fillId="0" borderId="13" xfId="0" applyFont="1" applyFill="1" applyBorder="1" applyAlignment="1" applyProtection="1">
      <alignment horizontal="center" vertical="center"/>
    </xf>
    <xf numFmtId="0" fontId="76" fillId="24" borderId="0" xfId="0" applyFont="1" applyFill="1" applyBorder="1" applyAlignment="1" applyProtection="1">
      <alignment horizontal="center" vertical="center"/>
    </xf>
    <xf numFmtId="0" fontId="75" fillId="39" borderId="12" xfId="0" applyFont="1" applyFill="1" applyBorder="1" applyAlignment="1" applyProtection="1">
      <alignment horizontal="center" vertical="center"/>
    </xf>
    <xf numFmtId="0" fontId="73" fillId="24" borderId="0" xfId="0" applyFont="1" applyFill="1" applyAlignment="1" applyProtection="1">
      <alignment horizontal="center" vertical="center"/>
    </xf>
    <xf numFmtId="0" fontId="72" fillId="24" borderId="13" xfId="0" applyFont="1" applyFill="1" applyBorder="1" applyAlignment="1" applyProtection="1">
      <alignment horizontal="center" vertical="center"/>
    </xf>
    <xf numFmtId="2" fontId="75" fillId="24" borderId="13" xfId="0" applyNumberFormat="1" applyFont="1" applyFill="1" applyBorder="1" applyAlignment="1" applyProtection="1">
      <alignment horizontal="center" vertical="center"/>
    </xf>
    <xf numFmtId="0" fontId="5" fillId="34" borderId="18" xfId="0" applyFont="1" applyFill="1" applyBorder="1" applyAlignment="1">
      <alignment horizontal="center" vertical="center"/>
    </xf>
    <xf numFmtId="0" fontId="6" fillId="34" borderId="19" xfId="0" applyFont="1" applyFill="1" applyBorder="1" applyAlignment="1">
      <alignment horizontal="center" vertical="center"/>
    </xf>
    <xf numFmtId="0" fontId="5" fillId="34" borderId="19" xfId="0" applyFont="1" applyFill="1" applyBorder="1" applyAlignment="1">
      <alignment horizontal="center" vertical="center"/>
    </xf>
    <xf numFmtId="0" fontId="5" fillId="34" borderId="15" xfId="0" applyFont="1" applyFill="1" applyBorder="1" applyAlignment="1">
      <alignment horizontal="center" vertical="center"/>
    </xf>
    <xf numFmtId="0" fontId="7" fillId="34" borderId="10" xfId="0" applyFont="1" applyFill="1" applyBorder="1" applyAlignment="1">
      <alignment horizontal="center" vertical="center"/>
    </xf>
    <xf numFmtId="0" fontId="7" fillId="34" borderId="20" xfId="0" applyNumberFormat="1" applyFont="1" applyFill="1" applyBorder="1" applyAlignment="1">
      <alignment horizontal="center" vertical="center"/>
    </xf>
    <xf numFmtId="180" fontId="7" fillId="34" borderId="20" xfId="0" applyNumberFormat="1" applyFont="1" applyFill="1" applyBorder="1" applyAlignment="1">
      <alignment horizontal="center" vertical="center"/>
    </xf>
    <xf numFmtId="173" fontId="7" fillId="34" borderId="13" xfId="0" applyNumberFormat="1" applyFont="1" applyFill="1" applyBorder="1" applyAlignment="1">
      <alignment horizontal="center" vertical="center"/>
    </xf>
    <xf numFmtId="180" fontId="7" fillId="34" borderId="13" xfId="0" applyNumberFormat="1" applyFont="1" applyFill="1" applyBorder="1" applyAlignment="1">
      <alignment horizontal="center" vertical="center"/>
    </xf>
    <xf numFmtId="0" fontId="7" fillId="34" borderId="13" xfId="0" applyNumberFormat="1" applyFont="1" applyFill="1" applyBorder="1" applyAlignment="1">
      <alignment horizontal="center" vertical="center"/>
    </xf>
    <xf numFmtId="180" fontId="7" fillId="34" borderId="10" xfId="0" applyNumberFormat="1" applyFont="1" applyFill="1" applyBorder="1" applyAlignment="1">
      <alignment horizontal="center" vertical="center"/>
    </xf>
    <xf numFmtId="172" fontId="7" fillId="34" borderId="13" xfId="0" applyNumberFormat="1" applyFont="1" applyFill="1" applyBorder="1" applyAlignment="1">
      <alignment horizontal="center" vertical="center"/>
    </xf>
    <xf numFmtId="180" fontId="7" fillId="34" borderId="33" xfId="0" applyNumberFormat="1" applyFont="1" applyFill="1" applyBorder="1" applyAlignment="1">
      <alignment horizontal="center" vertical="center"/>
    </xf>
    <xf numFmtId="0" fontId="4" fillId="24" borderId="137" xfId="0" applyNumberFormat="1" applyFont="1" applyFill="1" applyBorder="1" applyAlignment="1" applyProtection="1">
      <alignment horizontal="center" vertical="center"/>
      <protection locked="0"/>
    </xf>
    <xf numFmtId="171" fontId="4" fillId="0" borderId="138" xfId="0" applyNumberFormat="1" applyFont="1" applyBorder="1" applyAlignment="1" applyProtection="1">
      <alignment horizontal="right" vertical="center"/>
      <protection locked="0"/>
    </xf>
    <xf numFmtId="0" fontId="4" fillId="0" borderId="137" xfId="0" applyNumberFormat="1" applyFont="1" applyBorder="1" applyAlignment="1" applyProtection="1">
      <alignment horizontal="center" vertical="center"/>
      <protection locked="0"/>
    </xf>
    <xf numFmtId="170" fontId="4" fillId="0" borderId="139" xfId="0" applyNumberFormat="1" applyFont="1" applyFill="1" applyBorder="1" applyAlignment="1" applyProtection="1">
      <alignment vertical="center"/>
      <protection locked="0"/>
    </xf>
    <xf numFmtId="0" fontId="4" fillId="0" borderId="140" xfId="0" applyNumberFormat="1" applyFont="1" applyFill="1" applyBorder="1" applyAlignment="1" applyProtection="1">
      <alignment horizontal="center" vertical="center"/>
      <protection locked="0"/>
    </xf>
    <xf numFmtId="170" fontId="4" fillId="0" borderId="138" xfId="0" applyNumberFormat="1" applyFont="1" applyFill="1" applyBorder="1" applyAlignment="1" applyProtection="1">
      <alignment vertical="center"/>
      <protection locked="0"/>
    </xf>
    <xf numFmtId="170" fontId="4" fillId="0" borderId="141" xfId="0" applyNumberFormat="1" applyFont="1" applyFill="1" applyBorder="1" applyAlignment="1" applyProtection="1">
      <alignment vertical="center"/>
      <protection locked="0"/>
    </xf>
    <xf numFmtId="0" fontId="4" fillId="0" borderId="137" xfId="0" applyNumberFormat="1" applyFont="1" applyFill="1" applyBorder="1" applyAlignment="1" applyProtection="1">
      <alignment horizontal="center" vertical="center"/>
      <protection locked="0"/>
    </xf>
    <xf numFmtId="172" fontId="4" fillId="0" borderId="142" xfId="0" applyNumberFormat="1" applyFont="1" applyFill="1" applyBorder="1" applyAlignment="1" applyProtection="1">
      <alignment horizontal="center" vertical="center"/>
      <protection locked="0"/>
    </xf>
    <xf numFmtId="170" fontId="4" fillId="0" borderId="143" xfId="0" applyNumberFormat="1" applyFont="1" applyFill="1" applyBorder="1" applyAlignment="1" applyProtection="1">
      <alignment vertical="center"/>
      <protection locked="0"/>
    </xf>
    <xf numFmtId="172" fontId="4" fillId="0" borderId="144" xfId="0" applyNumberFormat="1" applyFont="1" applyFill="1" applyBorder="1" applyAlignment="1" applyProtection="1">
      <alignment horizontal="center" vertical="center"/>
      <protection locked="0"/>
    </xf>
    <xf numFmtId="170" fontId="4" fillId="0" borderId="144" xfId="0" applyNumberFormat="1" applyFont="1" applyFill="1" applyBorder="1" applyAlignment="1" applyProtection="1">
      <alignment vertical="center"/>
      <protection locked="0"/>
    </xf>
    <xf numFmtId="170" fontId="4" fillId="0" borderId="139" xfId="0" applyNumberFormat="1" applyFont="1" applyBorder="1" applyAlignment="1" applyProtection="1">
      <alignment vertical="center"/>
      <protection locked="0"/>
    </xf>
    <xf numFmtId="1" fontId="4" fillId="0" borderId="137" xfId="0" applyNumberFormat="1" applyFont="1" applyBorder="1" applyAlignment="1" applyProtection="1">
      <alignment horizontal="center" vertical="center"/>
      <protection locked="0"/>
    </xf>
    <xf numFmtId="172" fontId="4" fillId="24" borderId="137" xfId="0" applyNumberFormat="1" applyFont="1" applyFill="1" applyBorder="1" applyAlignment="1">
      <alignment horizontal="center" vertical="center"/>
    </xf>
    <xf numFmtId="180" fontId="4" fillId="24" borderId="139" xfId="0" applyNumberFormat="1" applyFont="1" applyFill="1" applyBorder="1" applyAlignment="1">
      <alignment horizontal="center" vertical="center"/>
    </xf>
    <xf numFmtId="0" fontId="3" fillId="34" borderId="67" xfId="0" applyFont="1" applyFill="1" applyBorder="1" applyAlignment="1" applyProtection="1">
      <alignment horizontal="center" vertical="center"/>
    </xf>
    <xf numFmtId="0" fontId="6" fillId="34" borderId="68" xfId="0" applyFont="1" applyFill="1" applyBorder="1" applyAlignment="1" applyProtection="1">
      <alignment horizontal="center" vertical="center"/>
    </xf>
    <xf numFmtId="0" fontId="13" fillId="34" borderId="72" xfId="0" applyFont="1" applyFill="1" applyBorder="1" applyAlignment="1" applyProtection="1">
      <alignment horizontal="center" vertical="center"/>
    </xf>
    <xf numFmtId="9" fontId="13" fillId="34" borderId="76" xfId="0" applyNumberFormat="1" applyFont="1" applyFill="1" applyBorder="1" applyAlignment="1" applyProtection="1">
      <alignment horizontal="center" vertical="center"/>
    </xf>
    <xf numFmtId="1" fontId="13" fillId="34" borderId="76" xfId="0" applyNumberFormat="1" applyFont="1" applyFill="1" applyBorder="1" applyAlignment="1" applyProtection="1">
      <alignment horizontal="center" vertical="center"/>
    </xf>
    <xf numFmtId="0" fontId="5" fillId="37" borderId="69" xfId="0" applyNumberFormat="1" applyFont="1" applyFill="1" applyBorder="1" applyAlignment="1" applyProtection="1">
      <alignment horizontal="center" vertical="center"/>
    </xf>
    <xf numFmtId="16" fontId="5" fillId="37" borderId="14" xfId="0" applyNumberFormat="1" applyFont="1" applyFill="1" applyBorder="1" applyAlignment="1" applyProtection="1">
      <alignment horizontal="center" vertical="center"/>
    </xf>
    <xf numFmtId="0" fontId="5" fillId="37" borderId="14" xfId="0" applyFont="1" applyFill="1" applyBorder="1" applyAlignment="1" applyProtection="1">
      <alignment horizontal="center" vertical="center"/>
    </xf>
    <xf numFmtId="0" fontId="5" fillId="37" borderId="70" xfId="0" applyFont="1" applyFill="1" applyBorder="1" applyAlignment="1" applyProtection="1">
      <alignment horizontal="center" vertical="center"/>
    </xf>
    <xf numFmtId="0" fontId="13" fillId="37" borderId="71" xfId="0" applyFont="1" applyFill="1" applyBorder="1" applyAlignment="1" applyProtection="1">
      <alignment horizontal="center" vertical="center"/>
    </xf>
    <xf numFmtId="9" fontId="13" fillId="37" borderId="75" xfId="42" applyFont="1" applyFill="1" applyBorder="1" applyAlignment="1" applyProtection="1">
      <alignment horizontal="center" vertical="center"/>
    </xf>
    <xf numFmtId="9" fontId="13" fillId="37" borderId="13" xfId="42" applyFont="1" applyFill="1" applyBorder="1" applyAlignment="1" applyProtection="1">
      <alignment horizontal="center" vertical="center"/>
    </xf>
    <xf numFmtId="9" fontId="7" fillId="37" borderId="13" xfId="42" applyFont="1" applyFill="1" applyBorder="1" applyAlignment="1" applyProtection="1">
      <alignment horizontal="center" vertical="center"/>
    </xf>
    <xf numFmtId="0" fontId="5" fillId="34" borderId="69" xfId="0" applyNumberFormat="1" applyFont="1" applyFill="1" applyBorder="1" applyAlignment="1" applyProtection="1">
      <alignment horizontal="center" vertical="center"/>
    </xf>
    <xf numFmtId="16" fontId="5" fillId="34" borderId="14" xfId="0" applyNumberFormat="1" applyFont="1" applyFill="1" applyBorder="1" applyAlignment="1" applyProtection="1">
      <alignment horizontal="center" vertical="center"/>
    </xf>
    <xf numFmtId="0" fontId="5" fillId="34" borderId="14" xfId="0" applyFont="1" applyFill="1" applyBorder="1" applyAlignment="1" applyProtection="1">
      <alignment horizontal="center" vertical="center"/>
    </xf>
    <xf numFmtId="0" fontId="5" fillId="34" borderId="70" xfId="0" applyFont="1" applyFill="1" applyBorder="1" applyAlignment="1" applyProtection="1">
      <alignment horizontal="center" vertical="center"/>
    </xf>
    <xf numFmtId="0" fontId="13" fillId="34" borderId="71" xfId="0" applyFont="1" applyFill="1" applyBorder="1" applyAlignment="1" applyProtection="1">
      <alignment horizontal="center" vertical="center"/>
    </xf>
    <xf numFmtId="9" fontId="13" fillId="34" borderId="75" xfId="42" applyFont="1" applyFill="1" applyBorder="1" applyAlignment="1" applyProtection="1">
      <alignment horizontal="center" vertical="center"/>
    </xf>
    <xf numFmtId="3" fontId="13" fillId="34" borderId="13" xfId="0" applyNumberFormat="1" applyFont="1" applyFill="1" applyBorder="1" applyAlignment="1" applyProtection="1">
      <alignment horizontal="center" vertical="center"/>
    </xf>
    <xf numFmtId="9" fontId="13" fillId="34" borderId="13" xfId="42" applyFont="1" applyFill="1" applyBorder="1" applyAlignment="1" applyProtection="1">
      <alignment horizontal="center" vertical="center"/>
    </xf>
    <xf numFmtId="9" fontId="7" fillId="34" borderId="13" xfId="42" applyFont="1" applyFill="1" applyBorder="1" applyAlignment="1" applyProtection="1">
      <alignment horizontal="center" vertical="center"/>
    </xf>
    <xf numFmtId="9" fontId="13" fillId="37" borderId="13" xfId="42" applyNumberFormat="1" applyFont="1" applyFill="1" applyBorder="1" applyAlignment="1" applyProtection="1">
      <alignment horizontal="center" vertical="center"/>
    </xf>
    <xf numFmtId="3" fontId="58" fillId="36" borderId="118" xfId="43" applyNumberFormat="1" applyFont="1" applyFill="1" applyBorder="1" applyAlignment="1" applyProtection="1">
      <alignment horizontal="center" vertical="center"/>
      <protection locked="0"/>
    </xf>
    <xf numFmtId="3" fontId="58" fillId="36" borderId="87" xfId="43" applyNumberFormat="1" applyFont="1" applyFill="1" applyBorder="1" applyAlignment="1" applyProtection="1">
      <alignment horizontal="center" vertical="center"/>
      <protection locked="0"/>
    </xf>
    <xf numFmtId="3" fontId="58" fillId="36" borderId="117" xfId="43" applyNumberFormat="1" applyFont="1" applyFill="1" applyBorder="1" applyAlignment="1" applyProtection="1">
      <alignment horizontal="center" vertical="center"/>
      <protection locked="0"/>
    </xf>
    <xf numFmtId="3" fontId="60" fillId="36" borderId="13" xfId="43" applyNumberFormat="1" applyFont="1" applyFill="1" applyBorder="1" applyAlignment="1">
      <alignment horizontal="center" vertical="center"/>
    </xf>
    <xf numFmtId="0" fontId="64" fillId="36" borderId="118" xfId="44" applyNumberFormat="1" applyFont="1" applyFill="1" applyBorder="1" applyAlignment="1" applyProtection="1">
      <alignment horizontal="center"/>
    </xf>
    <xf numFmtId="0" fontId="64" fillId="36" borderId="87" xfId="44" applyNumberFormat="1" applyFont="1" applyFill="1" applyBorder="1" applyAlignment="1" applyProtection="1">
      <alignment horizontal="center"/>
    </xf>
    <xf numFmtId="0" fontId="64" fillId="36" borderId="117" xfId="44" applyNumberFormat="1" applyFont="1" applyFill="1" applyBorder="1" applyAlignment="1" applyProtection="1">
      <alignment horizontal="center"/>
    </xf>
    <xf numFmtId="3" fontId="58" fillId="30" borderId="118" xfId="43" applyNumberFormat="1" applyFont="1" applyFill="1" applyBorder="1" applyAlignment="1" applyProtection="1">
      <alignment horizontal="center" vertical="center"/>
    </xf>
    <xf numFmtId="3" fontId="58" fillId="30" borderId="87" xfId="43" applyNumberFormat="1" applyFont="1" applyFill="1" applyBorder="1" applyAlignment="1" applyProtection="1">
      <alignment horizontal="center" vertical="center"/>
    </xf>
    <xf numFmtId="3" fontId="60" fillId="30" borderId="13" xfId="43" applyNumberFormat="1" applyFont="1" applyFill="1" applyBorder="1" applyAlignment="1">
      <alignment horizontal="center" vertical="center"/>
    </xf>
    <xf numFmtId="3" fontId="58" fillId="35" borderId="118" xfId="43" applyNumberFormat="1" applyFont="1" applyFill="1" applyBorder="1" applyAlignment="1" applyProtection="1">
      <alignment horizontal="center" vertical="center"/>
    </xf>
    <xf numFmtId="3" fontId="58" fillId="35" borderId="87" xfId="43" applyNumberFormat="1" applyFont="1" applyFill="1" applyBorder="1" applyAlignment="1" applyProtection="1">
      <alignment horizontal="center" vertical="center"/>
    </xf>
    <xf numFmtId="3" fontId="60" fillId="35" borderId="13" xfId="43" applyNumberFormat="1" applyFont="1" applyFill="1" applyBorder="1" applyAlignment="1">
      <alignment horizontal="center" vertical="center"/>
    </xf>
    <xf numFmtId="3" fontId="58" fillId="41" borderId="118" xfId="43" applyNumberFormat="1" applyFont="1" applyFill="1" applyBorder="1" applyAlignment="1" applyProtection="1">
      <alignment horizontal="center" vertical="center"/>
      <protection locked="0"/>
    </xf>
    <xf numFmtId="3" fontId="58" fillId="41" borderId="87" xfId="43" applyNumberFormat="1" applyFont="1" applyFill="1" applyBorder="1" applyAlignment="1" applyProtection="1">
      <alignment horizontal="center" vertical="center"/>
      <protection locked="0"/>
    </xf>
    <xf numFmtId="3" fontId="58" fillId="41" borderId="117" xfId="43" applyNumberFormat="1" applyFont="1" applyFill="1" applyBorder="1" applyAlignment="1" applyProtection="1">
      <alignment horizontal="center" vertical="center"/>
      <protection locked="0"/>
    </xf>
    <xf numFmtId="9" fontId="58" fillId="34" borderId="118" xfId="45" applyFont="1" applyFill="1" applyBorder="1" applyAlignment="1" applyProtection="1">
      <alignment horizontal="center" vertical="center"/>
    </xf>
    <xf numFmtId="9" fontId="58" fillId="34" borderId="87" xfId="45" applyFont="1" applyFill="1" applyBorder="1" applyAlignment="1" applyProtection="1">
      <alignment horizontal="center" vertical="center"/>
    </xf>
    <xf numFmtId="9" fontId="60" fillId="34" borderId="13" xfId="45" applyFont="1" applyFill="1" applyBorder="1" applyAlignment="1">
      <alignment horizontal="center" vertical="center"/>
    </xf>
    <xf numFmtId="9" fontId="58" fillId="39" borderId="118" xfId="45" applyFont="1" applyFill="1" applyBorder="1" applyAlignment="1" applyProtection="1">
      <alignment horizontal="center" vertical="center"/>
    </xf>
    <xf numFmtId="9" fontId="58" fillId="39" borderId="87" xfId="45" applyFont="1" applyFill="1" applyBorder="1" applyAlignment="1" applyProtection="1">
      <alignment horizontal="center" vertical="center"/>
    </xf>
    <xf numFmtId="9" fontId="60" fillId="39" borderId="13" xfId="45" applyFont="1" applyFill="1" applyBorder="1" applyAlignment="1">
      <alignment horizontal="center" vertical="center"/>
    </xf>
    <xf numFmtId="0" fontId="5" fillId="34" borderId="21" xfId="0" applyFont="1" applyFill="1" applyBorder="1" applyAlignment="1">
      <alignment horizontal="center" vertical="center"/>
    </xf>
    <xf numFmtId="0" fontId="5" fillId="34" borderId="22" xfId="0" applyFont="1" applyFill="1" applyBorder="1" applyAlignment="1">
      <alignment horizontal="center" vertical="center"/>
    </xf>
    <xf numFmtId="0" fontId="5" fillId="34" borderId="31" xfId="0" applyFont="1" applyFill="1" applyBorder="1" applyAlignment="1">
      <alignment horizontal="center" vertical="center"/>
    </xf>
    <xf numFmtId="0" fontId="87" fillId="24" borderId="0" xfId="0" applyFont="1" applyFill="1" applyAlignment="1" applyProtection="1">
      <alignment horizontal="center" vertical="center"/>
    </xf>
    <xf numFmtId="0" fontId="88" fillId="24" borderId="0" xfId="0" applyFont="1" applyFill="1" applyBorder="1" applyAlignment="1">
      <alignment horizontal="center" vertical="center"/>
    </xf>
    <xf numFmtId="176" fontId="88" fillId="24" borderId="0" xfId="0" applyNumberFormat="1" applyFont="1" applyFill="1" applyBorder="1" applyAlignment="1">
      <alignment horizontal="center" vertical="center"/>
    </xf>
    <xf numFmtId="3" fontId="12" fillId="37" borderId="13" xfId="0" applyNumberFormat="1" applyFont="1" applyFill="1" applyBorder="1" applyAlignment="1" applyProtection="1">
      <alignment horizontal="center" vertical="center"/>
    </xf>
    <xf numFmtId="176" fontId="19" fillId="26" borderId="150" xfId="0" applyNumberFormat="1" applyFont="1" applyFill="1" applyBorder="1" applyAlignment="1">
      <alignment horizontal="center" vertical="center"/>
    </xf>
    <xf numFmtId="176" fontId="19" fillId="26" borderId="151" xfId="0" applyNumberFormat="1" applyFont="1" applyFill="1" applyBorder="1" applyAlignment="1">
      <alignment horizontal="center" vertical="center"/>
    </xf>
    <xf numFmtId="176" fontId="19" fillId="26" borderId="152" xfId="0" applyNumberFormat="1" applyFont="1" applyFill="1" applyBorder="1" applyAlignment="1" applyProtection="1">
      <alignment horizontal="center" vertical="center"/>
      <protection locked="0"/>
    </xf>
    <xf numFmtId="181" fontId="5" fillId="37" borderId="87" xfId="0" applyNumberFormat="1" applyFont="1" applyFill="1" applyBorder="1" applyAlignment="1" applyProtection="1">
      <alignment horizontal="center" vertical="center"/>
    </xf>
    <xf numFmtId="181" fontId="5" fillId="37" borderId="136" xfId="0" applyNumberFormat="1" applyFont="1" applyFill="1" applyBorder="1" applyAlignment="1" applyProtection="1">
      <alignment horizontal="center" vertical="center"/>
    </xf>
    <xf numFmtId="14" fontId="58" fillId="30" borderId="118" xfId="43" applyNumberFormat="1" applyFont="1" applyFill="1" applyBorder="1" applyAlignment="1" applyProtection="1">
      <alignment horizontal="center" vertical="center"/>
    </xf>
    <xf numFmtId="0" fontId="75" fillId="39" borderId="15" xfId="0" applyFont="1" applyFill="1" applyBorder="1" applyAlignment="1" applyProtection="1">
      <alignment horizontal="center" vertical="center"/>
    </xf>
    <xf numFmtId="0" fontId="89" fillId="0" borderId="0" xfId="44" applyFont="1" applyProtection="1"/>
    <xf numFmtId="0" fontId="89" fillId="0" borderId="0" xfId="46" applyFont="1" applyFill="1" applyBorder="1" applyProtection="1"/>
    <xf numFmtId="0" fontId="89" fillId="0" borderId="0" xfId="46" applyFont="1" applyProtection="1"/>
    <xf numFmtId="14" fontId="59" fillId="0" borderId="118" xfId="46" applyNumberFormat="1" applyFont="1" applyBorder="1" applyAlignment="1" applyProtection="1">
      <alignment horizontal="center" vertical="center"/>
      <protection locked="0"/>
    </xf>
    <xf numFmtId="20" fontId="59" fillId="0" borderId="118" xfId="46" applyNumberFormat="1" applyFont="1" applyBorder="1" applyAlignment="1" applyProtection="1">
      <alignment horizontal="center" vertical="center"/>
      <protection locked="0"/>
    </xf>
    <xf numFmtId="0" fontId="59" fillId="0" borderId="118" xfId="46" applyFont="1" applyBorder="1" applyAlignment="1" applyProtection="1">
      <alignment horizontal="center" vertical="center"/>
      <protection locked="0"/>
    </xf>
    <xf numFmtId="180" fontId="59" fillId="0" borderId="118" xfId="46" applyNumberFormat="1" applyFont="1" applyBorder="1" applyAlignment="1" applyProtection="1">
      <alignment horizontal="center" vertical="center"/>
      <protection locked="0"/>
    </xf>
    <xf numFmtId="0" fontId="59" fillId="0" borderId="118" xfId="46" applyFont="1" applyBorder="1" applyAlignment="1" applyProtection="1">
      <alignment horizontal="left" vertical="center" indent="1"/>
      <protection locked="0"/>
    </xf>
    <xf numFmtId="14" fontId="59" fillId="0" borderId="87" xfId="46" applyNumberFormat="1" applyFont="1" applyBorder="1" applyAlignment="1" applyProtection="1">
      <alignment horizontal="center" vertical="center"/>
      <protection locked="0"/>
    </xf>
    <xf numFmtId="20" fontId="59" fillId="0" borderId="87" xfId="46" applyNumberFormat="1" applyFont="1" applyBorder="1" applyAlignment="1" applyProtection="1">
      <alignment horizontal="center" vertical="center"/>
      <protection locked="0"/>
    </xf>
    <xf numFmtId="0" fontId="59" fillId="0" borderId="87" xfId="46" applyFont="1" applyBorder="1" applyAlignment="1" applyProtection="1">
      <alignment horizontal="center" vertical="center"/>
      <protection locked="0"/>
    </xf>
    <xf numFmtId="180" fontId="59" fillId="0" borderId="87" xfId="46" applyNumberFormat="1" applyFont="1" applyBorder="1" applyAlignment="1" applyProtection="1">
      <alignment horizontal="center" vertical="center"/>
      <protection locked="0"/>
    </xf>
    <xf numFmtId="0" fontId="59" fillId="0" borderId="87" xfId="46" applyFont="1" applyBorder="1" applyAlignment="1" applyProtection="1">
      <alignment horizontal="left" vertical="center" indent="1"/>
      <protection locked="0"/>
    </xf>
    <xf numFmtId="0" fontId="68" fillId="0" borderId="0" xfId="46" applyFont="1" applyProtection="1"/>
    <xf numFmtId="0" fontId="59" fillId="0" borderId="0" xfId="46" applyFont="1" applyProtection="1"/>
    <xf numFmtId="0" fontId="69" fillId="0" borderId="0" xfId="46" applyFont="1" applyProtection="1"/>
    <xf numFmtId="14" fontId="59" fillId="0" borderId="0" xfId="46" applyNumberFormat="1" applyFont="1" applyProtection="1"/>
    <xf numFmtId="180" fontId="59" fillId="0" borderId="0" xfId="46" applyNumberFormat="1" applyFont="1" applyProtection="1"/>
    <xf numFmtId="0" fontId="59" fillId="0" borderId="0" xfId="46" applyFont="1" applyAlignment="1" applyProtection="1">
      <alignment horizontal="left" indent="1"/>
    </xf>
    <xf numFmtId="0" fontId="69" fillId="39" borderId="13" xfId="46" applyFont="1" applyFill="1" applyBorder="1" applyAlignment="1" applyProtection="1">
      <alignment horizontal="center" vertical="center"/>
    </xf>
    <xf numFmtId="14" fontId="69" fillId="39" borderId="13" xfId="46" applyNumberFormat="1" applyFont="1" applyFill="1" applyBorder="1" applyAlignment="1" applyProtection="1">
      <alignment horizontal="center" vertical="center"/>
    </xf>
    <xf numFmtId="180" fontId="69" fillId="39" borderId="13" xfId="46" applyNumberFormat="1" applyFont="1" applyFill="1" applyBorder="1" applyAlignment="1" applyProtection="1">
      <alignment horizontal="center" vertical="center"/>
    </xf>
    <xf numFmtId="0" fontId="69" fillId="39" borderId="13" xfId="46" applyFont="1" applyFill="1" applyBorder="1" applyAlignment="1" applyProtection="1">
      <alignment horizontal="left" vertical="center" indent="1"/>
    </xf>
    <xf numFmtId="0" fontId="69" fillId="0" borderId="118" xfId="46" applyFont="1" applyBorder="1" applyAlignment="1" applyProtection="1">
      <alignment horizontal="center" vertical="center"/>
    </xf>
    <xf numFmtId="0" fontId="67" fillId="0" borderId="0" xfId="46" applyFont="1" applyProtection="1"/>
    <xf numFmtId="180" fontId="67" fillId="0" borderId="0" xfId="46" applyNumberFormat="1" applyFont="1" applyBorder="1" applyAlignment="1" applyProtection="1">
      <alignment horizontal="center" vertical="center"/>
    </xf>
    <xf numFmtId="0" fontId="69" fillId="0" borderId="87" xfId="46" applyFont="1" applyBorder="1" applyAlignment="1" applyProtection="1">
      <alignment horizontal="center" vertical="center"/>
    </xf>
    <xf numFmtId="0" fontId="67" fillId="29" borderId="0" xfId="46" applyFont="1" applyFill="1" applyBorder="1" applyProtection="1"/>
    <xf numFmtId="0" fontId="68" fillId="29" borderId="0" xfId="46" applyFont="1" applyFill="1" applyBorder="1" applyProtection="1"/>
    <xf numFmtId="0" fontId="72" fillId="24" borderId="0" xfId="0" applyFont="1" applyFill="1" applyAlignment="1" applyProtection="1">
      <alignment horizontal="center" vertical="center"/>
      <protection locked="0"/>
    </xf>
    <xf numFmtId="181" fontId="5" fillId="37" borderId="135" xfId="0" applyNumberFormat="1" applyFont="1" applyFill="1" applyBorder="1" applyAlignment="1" applyProtection="1">
      <alignment horizontal="center" vertical="center"/>
    </xf>
    <xf numFmtId="0" fontId="8" fillId="24" borderId="0" xfId="46" applyFont="1" applyFill="1" applyBorder="1" applyAlignment="1" applyProtection="1">
      <alignment vertical="center"/>
    </xf>
    <xf numFmtId="0" fontId="90" fillId="24" borderId="0" xfId="46" applyFont="1" applyFill="1" applyBorder="1" applyAlignment="1" applyProtection="1">
      <alignment vertical="center"/>
    </xf>
    <xf numFmtId="0" fontId="90" fillId="24" borderId="0" xfId="46" applyFont="1" applyFill="1" applyBorder="1" applyAlignment="1" applyProtection="1">
      <alignment horizontal="left" vertical="center"/>
    </xf>
    <xf numFmtId="0" fontId="90" fillId="24" borderId="0" xfId="46" applyFont="1" applyFill="1" applyBorder="1" applyAlignment="1">
      <alignment horizontal="left" vertical="center"/>
    </xf>
    <xf numFmtId="0" fontId="2" fillId="24" borderId="0" xfId="46" applyFill="1" applyAlignment="1">
      <alignment vertical="center"/>
    </xf>
    <xf numFmtId="0" fontId="2" fillId="0" borderId="0" xfId="46" applyFill="1" applyBorder="1" applyAlignment="1">
      <alignment horizontal="center" vertical="center"/>
    </xf>
    <xf numFmtId="0" fontId="2" fillId="24" borderId="0" xfId="46" applyFill="1" applyAlignment="1">
      <alignment horizontal="center" vertical="center"/>
    </xf>
    <xf numFmtId="0" fontId="9" fillId="0" borderId="0" xfId="46" applyFont="1" applyFill="1" applyBorder="1" applyAlignment="1">
      <alignment horizontal="center" vertical="center"/>
    </xf>
    <xf numFmtId="0" fontId="2" fillId="24" borderId="21" xfId="46" applyFill="1" applyBorder="1" applyAlignment="1">
      <alignment horizontal="center" vertical="center"/>
    </xf>
    <xf numFmtId="0" fontId="2" fillId="24" borderId="0" xfId="46" applyFill="1" applyBorder="1" applyAlignment="1">
      <alignment horizontal="center" vertical="center"/>
    </xf>
    <xf numFmtId="0" fontId="2" fillId="24" borderId="21" xfId="46" applyFill="1" applyBorder="1" applyAlignment="1" applyProtection="1">
      <alignment horizontal="center" vertical="center"/>
    </xf>
    <xf numFmtId="0" fontId="9" fillId="39" borderId="23" xfId="46" applyFont="1" applyFill="1" applyBorder="1" applyAlignment="1">
      <alignment horizontal="center" vertical="center"/>
    </xf>
    <xf numFmtId="0" fontId="9" fillId="37" borderId="24" xfId="46" applyFont="1" applyFill="1" applyBorder="1" applyAlignment="1">
      <alignment horizontal="center" vertical="center"/>
    </xf>
    <xf numFmtId="0" fontId="9" fillId="37" borderId="25" xfId="46" applyFont="1" applyFill="1" applyBorder="1" applyAlignment="1">
      <alignment horizontal="center" vertical="center"/>
    </xf>
    <xf numFmtId="0" fontId="9" fillId="38" borderId="24" xfId="46" applyFont="1" applyFill="1" applyBorder="1" applyAlignment="1">
      <alignment horizontal="center" vertical="center"/>
    </xf>
    <xf numFmtId="0" fontId="9" fillId="38" borderId="25" xfId="46" applyFont="1" applyFill="1" applyBorder="1" applyAlignment="1">
      <alignment horizontal="center" vertical="center"/>
    </xf>
    <xf numFmtId="0" fontId="9" fillId="38" borderId="27" xfId="46" applyFont="1" applyFill="1" applyBorder="1" applyAlignment="1">
      <alignment horizontal="center" vertical="center"/>
    </xf>
    <xf numFmtId="0" fontId="9" fillId="36" borderId="24" xfId="46" applyFont="1" applyFill="1" applyBorder="1" applyAlignment="1">
      <alignment horizontal="center" vertical="center"/>
    </xf>
    <xf numFmtId="0" fontId="9" fillId="39" borderId="24" xfId="46" applyFont="1" applyFill="1" applyBorder="1" applyAlignment="1">
      <alignment horizontal="center" vertical="center"/>
    </xf>
    <xf numFmtId="0" fontId="9" fillId="39" borderId="25" xfId="46" applyFont="1" applyFill="1" applyBorder="1" applyAlignment="1">
      <alignment horizontal="center" vertical="center"/>
    </xf>
    <xf numFmtId="0" fontId="9" fillId="37" borderId="24" xfId="46" applyFont="1" applyFill="1" applyBorder="1" applyAlignment="1" applyProtection="1">
      <alignment horizontal="center" vertical="center"/>
    </xf>
    <xf numFmtId="168" fontId="5" fillId="39" borderId="28" xfId="46" applyNumberFormat="1" applyFont="1" applyFill="1" applyBorder="1" applyAlignment="1">
      <alignment horizontal="center" vertical="center"/>
    </xf>
    <xf numFmtId="0" fontId="5" fillId="37" borderId="24" xfId="46" applyNumberFormat="1" applyFont="1" applyFill="1" applyBorder="1" applyAlignment="1" applyProtection="1">
      <alignment horizontal="center" vertical="center"/>
      <protection locked="0"/>
    </xf>
    <xf numFmtId="0" fontId="5" fillId="37" borderId="25" xfId="46" applyNumberFormat="1" applyFont="1" applyFill="1" applyBorder="1" applyAlignment="1" applyProtection="1">
      <alignment horizontal="center" vertical="center"/>
      <protection locked="0"/>
    </xf>
    <xf numFmtId="0" fontId="5" fillId="37" borderId="28" xfId="46" applyNumberFormat="1" applyFont="1" applyFill="1" applyBorder="1" applyAlignment="1" applyProtection="1">
      <alignment horizontal="center" vertical="center"/>
      <protection locked="0"/>
    </xf>
    <xf numFmtId="0" fontId="5" fillId="38" borderId="24" xfId="46" applyNumberFormat="1" applyFont="1" applyFill="1" applyBorder="1" applyAlignment="1" applyProtection="1">
      <alignment horizontal="center" vertical="center"/>
      <protection locked="0"/>
    </xf>
    <xf numFmtId="0" fontId="5" fillId="38" borderId="25" xfId="46" applyNumberFormat="1" applyFont="1" applyFill="1" applyBorder="1" applyAlignment="1" applyProtection="1">
      <alignment horizontal="center" vertical="center"/>
      <protection locked="0"/>
    </xf>
    <xf numFmtId="0" fontId="5" fillId="38" borderId="27" xfId="46" applyNumberFormat="1" applyFont="1" applyFill="1" applyBorder="1" applyAlignment="1" applyProtection="1">
      <alignment horizontal="center" vertical="center"/>
      <protection locked="0"/>
    </xf>
    <xf numFmtId="0" fontId="5" fillId="36" borderId="24" xfId="46" applyNumberFormat="1" applyFont="1" applyFill="1" applyBorder="1" applyAlignment="1" applyProtection="1">
      <alignment horizontal="center" vertical="center"/>
      <protection locked="0"/>
    </xf>
    <xf numFmtId="0" fontId="5" fillId="39" borderId="24" xfId="46" applyNumberFormat="1" applyFont="1" applyFill="1" applyBorder="1" applyAlignment="1">
      <alignment horizontal="center" vertical="center"/>
    </xf>
    <xf numFmtId="0" fontId="5" fillId="39" borderId="25" xfId="46" applyNumberFormat="1" applyFont="1" applyFill="1" applyBorder="1" applyAlignment="1">
      <alignment horizontal="center" vertical="center"/>
    </xf>
    <xf numFmtId="0" fontId="5" fillId="37" borderId="24" xfId="46" applyNumberFormat="1" applyFont="1" applyFill="1" applyBorder="1" applyAlignment="1" applyProtection="1">
      <alignment horizontal="center" vertical="center"/>
    </xf>
    <xf numFmtId="0" fontId="2" fillId="24" borderId="0" xfId="46" applyFont="1" applyFill="1" applyBorder="1" applyAlignment="1">
      <alignment horizontal="center" vertical="center"/>
    </xf>
    <xf numFmtId="0" fontId="2" fillId="24" borderId="0" xfId="46" applyFont="1" applyFill="1" applyBorder="1" applyAlignment="1" applyProtection="1">
      <alignment horizontal="center" vertical="center"/>
    </xf>
    <xf numFmtId="0" fontId="11" fillId="25" borderId="29" xfId="46" applyFont="1" applyFill="1" applyBorder="1" applyAlignment="1">
      <alignment horizontal="center" vertical="center"/>
    </xf>
    <xf numFmtId="0" fontId="5" fillId="37" borderId="29" xfId="46" applyFont="1" applyFill="1" applyBorder="1" applyAlignment="1">
      <alignment horizontal="center" vertical="center"/>
    </xf>
    <xf numFmtId="0" fontId="5" fillId="37" borderId="29" xfId="46" applyNumberFormat="1" applyFont="1" applyFill="1" applyBorder="1" applyAlignment="1">
      <alignment horizontal="center" vertical="center"/>
    </xf>
    <xf numFmtId="0" fontId="5" fillId="38" borderId="29" xfId="46" applyNumberFormat="1" applyFont="1" applyFill="1" applyBorder="1" applyAlignment="1">
      <alignment horizontal="center" vertical="center"/>
    </xf>
    <xf numFmtId="0" fontId="5" fillId="36" borderId="29" xfId="46" applyNumberFormat="1" applyFont="1" applyFill="1" applyBorder="1" applyAlignment="1">
      <alignment horizontal="center" vertical="center"/>
    </xf>
    <xf numFmtId="0" fontId="5" fillId="39" borderId="29" xfId="46" applyNumberFormat="1" applyFont="1" applyFill="1" applyBorder="1" applyAlignment="1">
      <alignment horizontal="center" vertical="center"/>
    </xf>
    <xf numFmtId="1" fontId="5" fillId="37" borderId="29" xfId="46" applyNumberFormat="1" applyFont="1" applyFill="1" applyBorder="1" applyAlignment="1" applyProtection="1">
      <alignment horizontal="center" vertical="center"/>
    </xf>
    <xf numFmtId="0" fontId="11" fillId="24" borderId="0" xfId="46" applyFont="1" applyFill="1" applyBorder="1" applyAlignment="1">
      <alignment vertical="center"/>
    </xf>
    <xf numFmtId="0" fontId="5" fillId="24" borderId="0" xfId="46" applyFont="1" applyFill="1" applyBorder="1" applyAlignment="1">
      <alignment vertical="center"/>
    </xf>
    <xf numFmtId="0" fontId="2" fillId="24" borderId="0" xfId="46" applyFont="1" applyFill="1" applyBorder="1" applyAlignment="1">
      <alignment vertical="center"/>
    </xf>
    <xf numFmtId="0" fontId="2" fillId="24" borderId="0" xfId="46" applyFill="1" applyBorder="1" applyAlignment="1">
      <alignment vertical="center"/>
    </xf>
    <xf numFmtId="0" fontId="11" fillId="24" borderId="0" xfId="46" applyFont="1" applyFill="1" applyAlignment="1">
      <alignment vertical="center"/>
    </xf>
    <xf numFmtId="0" fontId="9" fillId="37" borderId="89" xfId="46" applyFont="1" applyFill="1" applyBorder="1" applyAlignment="1" applyProtection="1">
      <alignment horizontal="center" vertical="center"/>
    </xf>
    <xf numFmtId="0" fontId="9" fillId="37" borderId="89" xfId="46" applyFont="1" applyFill="1" applyBorder="1" applyAlignment="1">
      <alignment horizontal="center" vertical="center"/>
    </xf>
    <xf numFmtId="0" fontId="9" fillId="36" borderId="89" xfId="46" applyFont="1" applyFill="1" applyBorder="1" applyAlignment="1">
      <alignment horizontal="center" vertical="center"/>
    </xf>
    <xf numFmtId="1" fontId="2" fillId="0" borderId="47" xfId="0" applyNumberFormat="1" applyFont="1" applyBorder="1" applyAlignment="1" applyProtection="1">
      <alignment horizontal="center" vertical="center"/>
      <protection locked="0"/>
    </xf>
    <xf numFmtId="0" fontId="86" fillId="39" borderId="147" xfId="0" applyNumberFormat="1" applyFont="1" applyFill="1" applyBorder="1" applyAlignment="1">
      <alignment horizontal="center" vertical="center" shrinkToFit="1"/>
    </xf>
    <xf numFmtId="0" fontId="86" fillId="39" borderId="148" xfId="0" applyNumberFormat="1" applyFont="1" applyFill="1" applyBorder="1" applyAlignment="1">
      <alignment horizontal="center" vertical="center" shrinkToFit="1"/>
    </xf>
    <xf numFmtId="0" fontId="86" fillId="39" borderId="149" xfId="0" applyNumberFormat="1" applyFont="1" applyFill="1" applyBorder="1" applyAlignment="1">
      <alignment horizontal="center" vertical="center" shrinkToFit="1"/>
    </xf>
    <xf numFmtId="0" fontId="5" fillId="34" borderId="10" xfId="0" applyFont="1" applyFill="1" applyBorder="1" applyAlignment="1">
      <alignment horizontal="center" vertical="center"/>
    </xf>
    <xf numFmtId="0" fontId="5" fillId="34" borderId="11" xfId="0" applyFont="1" applyFill="1" applyBorder="1" applyAlignment="1">
      <alignment horizontal="center" vertical="center"/>
    </xf>
    <xf numFmtId="0" fontId="5" fillId="34" borderId="88" xfId="0" applyFont="1" applyFill="1" applyBorder="1" applyAlignment="1">
      <alignment horizontal="center" vertical="center"/>
    </xf>
    <xf numFmtId="0" fontId="5" fillId="34" borderId="15" xfId="0" applyFont="1" applyFill="1" applyBorder="1" applyAlignment="1">
      <alignment horizontal="center" vertical="center"/>
    </xf>
    <xf numFmtId="166" fontId="7" fillId="34" borderId="89" xfId="0" applyNumberFormat="1" applyFont="1" applyFill="1" applyBorder="1" applyAlignment="1">
      <alignment horizontal="center" vertical="center"/>
    </xf>
    <xf numFmtId="166" fontId="7" fillId="34" borderId="90" xfId="0" applyNumberFormat="1" applyFont="1" applyFill="1" applyBorder="1" applyAlignment="1">
      <alignment horizontal="center" vertical="center"/>
    </xf>
    <xf numFmtId="166" fontId="7" fillId="34" borderId="24" xfId="0" applyNumberFormat="1" applyFont="1" applyFill="1" applyBorder="1" applyAlignment="1">
      <alignment horizontal="center" vertical="center"/>
    </xf>
    <xf numFmtId="166" fontId="7" fillId="34" borderId="25" xfId="0" applyNumberFormat="1" applyFont="1" applyFill="1" applyBorder="1" applyAlignment="1">
      <alignment horizontal="center" vertical="center"/>
    </xf>
    <xf numFmtId="166" fontId="5" fillId="34" borderId="91" xfId="0" applyNumberFormat="1" applyFont="1" applyFill="1" applyBorder="1" applyAlignment="1">
      <alignment horizontal="center" vertical="center"/>
    </xf>
    <xf numFmtId="166" fontId="5" fillId="34" borderId="92" xfId="0" applyNumberFormat="1" applyFont="1" applyFill="1" applyBorder="1" applyAlignment="1">
      <alignment horizontal="center" vertical="center"/>
    </xf>
    <xf numFmtId="0" fontId="5" fillId="34" borderId="31" xfId="0" applyFont="1" applyFill="1" applyBorder="1" applyAlignment="1">
      <alignment horizontal="center" vertical="center"/>
    </xf>
    <xf numFmtId="49" fontId="86" fillId="39" borderId="93" xfId="0" applyNumberFormat="1" applyFont="1" applyFill="1" applyBorder="1" applyAlignment="1">
      <alignment horizontal="center" vertical="center" wrapText="1" shrinkToFit="1"/>
    </xf>
    <xf numFmtId="49" fontId="86" fillId="39" borderId="94" xfId="0" applyNumberFormat="1" applyFont="1" applyFill="1" applyBorder="1" applyAlignment="1">
      <alignment horizontal="center" vertical="center" wrapText="1" shrinkToFit="1"/>
    </xf>
    <xf numFmtId="49" fontId="86" fillId="39" borderId="95" xfId="0" applyNumberFormat="1" applyFont="1" applyFill="1" applyBorder="1" applyAlignment="1">
      <alignment horizontal="center" vertical="center" wrapText="1" shrinkToFit="1"/>
    </xf>
    <xf numFmtId="49" fontId="86" fillId="39" borderId="145" xfId="0" applyNumberFormat="1" applyFont="1" applyFill="1" applyBorder="1" applyAlignment="1">
      <alignment horizontal="center" vertical="center" wrapText="1" shrinkToFit="1"/>
    </xf>
    <xf numFmtId="49" fontId="86" fillId="39" borderId="13" xfId="0" applyNumberFormat="1" applyFont="1" applyFill="1" applyBorder="1" applyAlignment="1">
      <alignment horizontal="center" vertical="center" wrapText="1" shrinkToFit="1"/>
    </xf>
    <xf numFmtId="49" fontId="86" fillId="39" borderId="146" xfId="0" applyNumberFormat="1" applyFont="1" applyFill="1" applyBorder="1" applyAlignment="1">
      <alignment horizontal="center" vertical="center" wrapText="1" shrinkToFit="1"/>
    </xf>
    <xf numFmtId="0" fontId="5" fillId="42" borderId="31" xfId="0" applyFont="1" applyFill="1" applyBorder="1" applyAlignment="1">
      <alignment horizontal="center" vertical="center"/>
    </xf>
    <xf numFmtId="0" fontId="5" fillId="42" borderId="15" xfId="0" applyFont="1" applyFill="1" applyBorder="1" applyAlignment="1">
      <alignment horizontal="center" vertical="center"/>
    </xf>
    <xf numFmtId="0" fontId="5" fillId="34" borderId="0" xfId="0" applyFont="1" applyFill="1" applyBorder="1" applyAlignment="1">
      <alignment horizontal="center" vertical="center" wrapText="1"/>
    </xf>
    <xf numFmtId="0" fontId="5" fillId="34" borderId="22" xfId="0" applyFont="1" applyFill="1" applyBorder="1" applyAlignment="1">
      <alignment horizontal="center" vertical="center" wrapText="1"/>
    </xf>
    <xf numFmtId="0" fontId="5" fillId="34" borderId="30" xfId="0" applyFont="1" applyFill="1" applyBorder="1" applyAlignment="1">
      <alignment horizontal="center" vertical="center" wrapText="1"/>
    </xf>
    <xf numFmtId="0" fontId="5" fillId="34" borderId="19" xfId="0" applyFont="1" applyFill="1" applyBorder="1" applyAlignment="1">
      <alignment horizontal="center" vertical="center" wrapText="1"/>
    </xf>
    <xf numFmtId="0" fontId="5" fillId="34" borderId="21" xfId="0" applyFont="1" applyFill="1" applyBorder="1" applyAlignment="1">
      <alignment horizontal="center" vertical="center"/>
    </xf>
    <xf numFmtId="0" fontId="5" fillId="34" borderId="18" xfId="0" applyFont="1" applyFill="1" applyBorder="1" applyAlignment="1">
      <alignment horizontal="center" vertical="center"/>
    </xf>
    <xf numFmtId="0" fontId="5" fillId="34" borderId="21" xfId="0" applyFont="1" applyFill="1" applyBorder="1" applyAlignment="1">
      <alignment horizontal="center" vertical="center" wrapText="1"/>
    </xf>
    <xf numFmtId="0" fontId="5" fillId="34" borderId="18" xfId="0" applyFont="1" applyFill="1" applyBorder="1" applyAlignment="1">
      <alignment horizontal="center" vertical="center" wrapText="1"/>
    </xf>
    <xf numFmtId="181" fontId="5" fillId="34" borderId="68" xfId="0" applyNumberFormat="1" applyFont="1" applyFill="1" applyBorder="1" applyAlignment="1" applyProtection="1">
      <alignment horizontal="center" vertical="center"/>
    </xf>
    <xf numFmtId="181" fontId="5" fillId="34" borderId="96" xfId="0" applyNumberFormat="1" applyFont="1" applyFill="1" applyBorder="1" applyAlignment="1" applyProtection="1">
      <alignment horizontal="center" vertical="center"/>
    </xf>
    <xf numFmtId="0" fontId="86" fillId="39" borderId="97" xfId="0" applyFont="1" applyFill="1" applyBorder="1" applyAlignment="1" applyProtection="1">
      <alignment horizontal="center" vertical="center"/>
    </xf>
    <xf numFmtId="0" fontId="86" fillId="39" borderId="98" xfId="0" applyFont="1" applyFill="1" applyBorder="1" applyAlignment="1" applyProtection="1">
      <alignment horizontal="center" vertical="center"/>
    </xf>
    <xf numFmtId="0" fontId="86" fillId="39" borderId="99" xfId="0" applyFont="1" applyFill="1" applyBorder="1" applyAlignment="1" applyProtection="1">
      <alignment horizontal="center" vertical="center"/>
    </xf>
    <xf numFmtId="0" fontId="3" fillId="34" borderId="93" xfId="0" applyFont="1" applyFill="1" applyBorder="1" applyAlignment="1" applyProtection="1">
      <alignment horizontal="center" vertical="center"/>
    </xf>
    <xf numFmtId="0" fontId="3" fillId="34" borderId="94" xfId="0" applyFont="1" applyFill="1" applyBorder="1" applyAlignment="1" applyProtection="1">
      <alignment horizontal="center" vertical="center"/>
    </xf>
    <xf numFmtId="0" fontId="3" fillId="34" borderId="95" xfId="0" applyFont="1" applyFill="1" applyBorder="1" applyAlignment="1" applyProtection="1">
      <alignment horizontal="center" vertical="center"/>
    </xf>
    <xf numFmtId="0" fontId="3" fillId="37" borderId="93" xfId="0" applyFont="1" applyFill="1" applyBorder="1" applyAlignment="1" applyProtection="1">
      <alignment horizontal="center" vertical="center"/>
    </xf>
    <xf numFmtId="0" fontId="3" fillId="37" borderId="94" xfId="0" applyFont="1" applyFill="1" applyBorder="1" applyAlignment="1" applyProtection="1">
      <alignment horizontal="center" vertical="center"/>
    </xf>
    <xf numFmtId="0" fontId="3" fillId="37" borderId="95" xfId="0" applyFont="1" applyFill="1" applyBorder="1" applyAlignment="1" applyProtection="1">
      <alignment horizontal="center" vertical="center"/>
    </xf>
    <xf numFmtId="0" fontId="0" fillId="34" borderId="100" xfId="0" applyFill="1" applyBorder="1" applyAlignment="1" applyProtection="1">
      <alignment horizontal="center" vertical="center" wrapText="1"/>
    </xf>
    <xf numFmtId="0" fontId="0" fillId="34" borderId="96" xfId="0" applyFill="1" applyBorder="1" applyAlignment="1" applyProtection="1">
      <alignment horizontal="center" vertical="center" wrapText="1"/>
    </xf>
    <xf numFmtId="0" fontId="15" fillId="34" borderId="14" xfId="0" applyFont="1" applyFill="1" applyBorder="1" applyAlignment="1" applyProtection="1">
      <alignment horizontal="center" vertical="center"/>
    </xf>
    <xf numFmtId="0" fontId="15" fillId="34" borderId="15" xfId="0" applyFont="1" applyFill="1" applyBorder="1" applyAlignment="1" applyProtection="1">
      <alignment horizontal="center" vertical="center"/>
    </xf>
    <xf numFmtId="0" fontId="15" fillId="37" borderId="14" xfId="0" applyFont="1" applyFill="1" applyBorder="1" applyAlignment="1" applyProtection="1">
      <alignment horizontal="center" vertical="center"/>
    </xf>
    <xf numFmtId="0" fontId="15" fillId="37" borderId="15" xfId="0" applyFont="1" applyFill="1" applyBorder="1" applyAlignment="1" applyProtection="1">
      <alignment horizontal="center" vertical="center"/>
    </xf>
    <xf numFmtId="0" fontId="23" fillId="24" borderId="0" xfId="0" applyFont="1" applyFill="1" applyAlignment="1">
      <alignment horizontal="justify" vertical="center" wrapText="1"/>
    </xf>
    <xf numFmtId="181" fontId="29" fillId="24" borderId="109" xfId="0" applyNumberFormat="1" applyFont="1" applyFill="1" applyBorder="1" applyAlignment="1">
      <alignment horizontal="center" vertical="center"/>
    </xf>
    <xf numFmtId="181" fontId="29" fillId="24" borderId="110" xfId="0" applyNumberFormat="1" applyFont="1" applyFill="1" applyBorder="1" applyAlignment="1">
      <alignment horizontal="center" vertical="center"/>
    </xf>
    <xf numFmtId="0" fontId="19" fillId="24" borderId="101" xfId="0" applyFont="1" applyFill="1" applyBorder="1" applyAlignment="1" applyProtection="1">
      <alignment horizontal="center" vertical="center" wrapText="1"/>
      <protection locked="0"/>
    </xf>
    <xf numFmtId="0" fontId="19" fillId="24" borderId="102" xfId="0" applyFont="1" applyFill="1" applyBorder="1" applyAlignment="1" applyProtection="1">
      <alignment horizontal="center" vertical="center" wrapText="1"/>
      <protection locked="0"/>
    </xf>
    <xf numFmtId="0" fontId="26" fillId="24" borderId="0" xfId="0" applyFont="1" applyFill="1" applyAlignment="1">
      <alignment horizontal="center" vertical="center"/>
    </xf>
    <xf numFmtId="0" fontId="26" fillId="24" borderId="111" xfId="0" applyFont="1" applyFill="1" applyBorder="1" applyAlignment="1">
      <alignment horizontal="center" vertical="center"/>
    </xf>
    <xf numFmtId="0" fontId="26" fillId="24" borderId="112" xfId="0" applyFont="1" applyFill="1" applyBorder="1" applyAlignment="1">
      <alignment horizontal="center" vertical="center"/>
    </xf>
    <xf numFmtId="0" fontId="26" fillId="24" borderId="103" xfId="0" applyFont="1" applyFill="1" applyBorder="1" applyAlignment="1">
      <alignment horizontal="center" vertical="center"/>
    </xf>
    <xf numFmtId="0" fontId="26" fillId="24" borderId="104" xfId="0" applyFont="1" applyFill="1" applyBorder="1" applyAlignment="1">
      <alignment horizontal="center" vertical="center"/>
    </xf>
    <xf numFmtId="0" fontId="26" fillId="24" borderId="113" xfId="0" applyFont="1" applyFill="1" applyBorder="1" applyAlignment="1">
      <alignment horizontal="center" vertical="center"/>
    </xf>
    <xf numFmtId="0" fontId="26" fillId="24" borderId="114" xfId="0" applyFont="1" applyFill="1" applyBorder="1" applyAlignment="1">
      <alignment horizontal="center" vertical="center"/>
    </xf>
    <xf numFmtId="178" fontId="26" fillId="24" borderId="0" xfId="0" applyNumberFormat="1" applyFont="1" applyFill="1" applyAlignment="1">
      <alignment horizontal="center" vertical="center"/>
    </xf>
    <xf numFmtId="0" fontId="11" fillId="24" borderId="0" xfId="0" applyFont="1" applyFill="1" applyAlignment="1">
      <alignment horizontal="center" vertical="center"/>
    </xf>
    <xf numFmtId="0" fontId="21" fillId="28" borderId="25" xfId="0" applyFont="1" applyFill="1" applyBorder="1" applyAlignment="1">
      <alignment horizontal="center" vertical="center"/>
    </xf>
    <xf numFmtId="0" fontId="22" fillId="26" borderId="25" xfId="0" applyFont="1" applyFill="1" applyBorder="1" applyAlignment="1">
      <alignment horizontal="center" vertical="center"/>
    </xf>
    <xf numFmtId="0" fontId="25" fillId="24" borderId="101" xfId="0" applyFont="1" applyFill="1" applyBorder="1" applyAlignment="1">
      <alignment horizontal="center" vertical="center"/>
    </xf>
    <xf numFmtId="0" fontId="25" fillId="24" borderId="102" xfId="0" applyFont="1" applyFill="1" applyBorder="1" applyAlignment="1">
      <alignment horizontal="center" vertical="center"/>
    </xf>
    <xf numFmtId="0" fontId="26" fillId="24" borderId="105" xfId="0" applyFont="1" applyFill="1" applyBorder="1" applyAlignment="1">
      <alignment horizontal="center" vertical="center"/>
    </xf>
    <xf numFmtId="0" fontId="26" fillId="24" borderId="106" xfId="0" applyFont="1" applyFill="1" applyBorder="1" applyAlignment="1">
      <alignment horizontal="center" vertical="center"/>
    </xf>
    <xf numFmtId="0" fontId="26" fillId="24" borderId="107" xfId="0" applyFont="1" applyFill="1" applyBorder="1" applyAlignment="1">
      <alignment horizontal="center" vertical="center"/>
    </xf>
    <xf numFmtId="0" fontId="26" fillId="24" borderId="108" xfId="0" applyFont="1" applyFill="1" applyBorder="1" applyAlignment="1">
      <alignment horizontal="center" vertical="center"/>
    </xf>
    <xf numFmtId="0" fontId="9" fillId="39" borderId="89" xfId="46" applyFont="1" applyFill="1" applyBorder="1" applyAlignment="1">
      <alignment horizontal="center" vertical="center"/>
    </xf>
    <xf numFmtId="0" fontId="9" fillId="39" borderId="90" xfId="46" applyFont="1" applyFill="1" applyBorder="1" applyAlignment="1">
      <alignment horizontal="center" vertical="center"/>
    </xf>
    <xf numFmtId="0" fontId="9" fillId="24" borderId="24" xfId="46" applyFont="1" applyFill="1" applyBorder="1" applyAlignment="1">
      <alignment horizontal="center" vertical="center"/>
    </xf>
    <xf numFmtId="0" fontId="9" fillId="24" borderId="25" xfId="46" applyFont="1" applyFill="1" applyBorder="1" applyAlignment="1">
      <alignment horizontal="center" vertical="center"/>
    </xf>
    <xf numFmtId="0" fontId="9" fillId="24" borderId="89" xfId="46" applyFont="1" applyFill="1" applyBorder="1" applyAlignment="1">
      <alignment horizontal="center" vertical="center"/>
    </xf>
    <xf numFmtId="0" fontId="9" fillId="24" borderId="90" xfId="46" applyFont="1" applyFill="1" applyBorder="1" applyAlignment="1">
      <alignment horizontal="center" vertical="center"/>
    </xf>
    <xf numFmtId="0" fontId="9" fillId="24" borderId="27" xfId="46" applyFont="1" applyFill="1" applyBorder="1" applyAlignment="1">
      <alignment horizontal="center" vertical="center"/>
    </xf>
    <xf numFmtId="0" fontId="9" fillId="37" borderId="89" xfId="46" applyFont="1" applyFill="1" applyBorder="1" applyAlignment="1">
      <alignment horizontal="center" vertical="center"/>
    </xf>
    <xf numFmtId="0" fontId="9" fillId="37" borderId="90" xfId="46" applyFont="1" applyFill="1" applyBorder="1" applyAlignment="1">
      <alignment horizontal="center" vertical="center"/>
    </xf>
    <xf numFmtId="0" fontId="9" fillId="37" borderId="115" xfId="46" applyFont="1" applyFill="1" applyBorder="1" applyAlignment="1">
      <alignment horizontal="center" vertical="center"/>
    </xf>
    <xf numFmtId="0" fontId="10" fillId="37" borderId="23" xfId="46" applyFont="1" applyFill="1" applyBorder="1" applyAlignment="1">
      <alignment horizontal="center" vertical="center" wrapText="1"/>
    </xf>
    <xf numFmtId="0" fontId="10" fillId="37" borderId="28" xfId="46" applyFont="1" applyFill="1" applyBorder="1" applyAlignment="1">
      <alignment horizontal="center" vertical="center" wrapText="1"/>
    </xf>
    <xf numFmtId="0" fontId="9" fillId="38" borderId="116" xfId="46" applyFont="1" applyFill="1" applyBorder="1" applyAlignment="1">
      <alignment horizontal="center" vertical="center"/>
    </xf>
    <xf numFmtId="0" fontId="9" fillId="38" borderId="115" xfId="46" applyFont="1" applyFill="1" applyBorder="1" applyAlignment="1">
      <alignment horizontal="center" vertical="center"/>
    </xf>
    <xf numFmtId="0" fontId="9" fillId="38" borderId="90" xfId="46" applyFont="1" applyFill="1" applyBorder="1" applyAlignment="1">
      <alignment horizontal="center" vertical="center"/>
    </xf>
    <xf numFmtId="0" fontId="60" fillId="30" borderId="13" xfId="43" applyFont="1" applyFill="1" applyBorder="1" applyAlignment="1">
      <alignment horizontal="center" vertical="center"/>
    </xf>
    <xf numFmtId="0" fontId="61" fillId="31" borderId="13" xfId="43" applyFont="1" applyFill="1" applyBorder="1" applyAlignment="1">
      <alignment horizontal="center" vertical="center"/>
    </xf>
    <xf numFmtId="0" fontId="62" fillId="32" borderId="14" xfId="44" applyNumberFormat="1" applyFont="1" applyFill="1" applyBorder="1" applyAlignment="1">
      <alignment horizontal="center" vertical="center" wrapText="1"/>
    </xf>
    <xf numFmtId="0" fontId="62" fillId="32" borderId="31" xfId="44" applyNumberFormat="1" applyFont="1" applyFill="1" applyBorder="1" applyAlignment="1">
      <alignment horizontal="center" vertical="center"/>
    </xf>
    <xf numFmtId="0" fontId="62" fillId="32" borderId="15" xfId="44" applyNumberFormat="1" applyFont="1" applyFill="1" applyBorder="1" applyAlignment="1">
      <alignment horizontal="center" vertical="center"/>
    </xf>
    <xf numFmtId="0" fontId="60" fillId="36" borderId="13" xfId="43" applyNumberFormat="1" applyFont="1" applyFill="1" applyBorder="1" applyAlignment="1">
      <alignment horizontal="center" vertical="center" wrapText="1"/>
    </xf>
    <xf numFmtId="0" fontId="60" fillId="30" borderId="13" xfId="43" applyFont="1" applyFill="1" applyBorder="1" applyAlignment="1">
      <alignment horizontal="center" vertical="center" wrapText="1"/>
    </xf>
    <xf numFmtId="0" fontId="60" fillId="35" borderId="13" xfId="43" applyFont="1" applyFill="1" applyBorder="1" applyAlignment="1">
      <alignment horizontal="center" vertical="center" wrapText="1"/>
    </xf>
    <xf numFmtId="0" fontId="60" fillId="34" borderId="13" xfId="43" applyFont="1" applyFill="1" applyBorder="1" applyAlignment="1">
      <alignment horizontal="center" vertical="center" wrapText="1"/>
    </xf>
    <xf numFmtId="0" fontId="60" fillId="39" borderId="13" xfId="43" applyFont="1" applyFill="1" applyBorder="1" applyAlignment="1">
      <alignment horizontal="center" vertical="center" wrapText="1"/>
    </xf>
    <xf numFmtId="0" fontId="63" fillId="36" borderId="13" xfId="43" applyFont="1" applyFill="1" applyBorder="1" applyAlignment="1">
      <alignment horizontal="center" vertical="center" wrapText="1"/>
    </xf>
    <xf numFmtId="0" fontId="63" fillId="41" borderId="13" xfId="43" applyFont="1" applyFill="1" applyBorder="1" applyAlignment="1">
      <alignment horizontal="center" vertical="center" wrapText="1"/>
    </xf>
    <xf numFmtId="0" fontId="63" fillId="30" borderId="13" xfId="43" applyFont="1" applyFill="1" applyBorder="1" applyAlignment="1">
      <alignment horizontal="center" vertical="center" wrapText="1"/>
    </xf>
    <xf numFmtId="0" fontId="63" fillId="34" borderId="13" xfId="43" applyFont="1" applyFill="1" applyBorder="1" applyAlignment="1">
      <alignment horizontal="center" vertical="center" wrapText="1"/>
    </xf>
    <xf numFmtId="0" fontId="60" fillId="33" borderId="13" xfId="43" applyFont="1" applyFill="1" applyBorder="1" applyAlignment="1">
      <alignment horizontal="center" vertical="center" wrapText="1"/>
    </xf>
    <xf numFmtId="0" fontId="72" fillId="24" borderId="30" xfId="0" applyFont="1" applyFill="1" applyBorder="1" applyAlignment="1" applyProtection="1">
      <alignment horizontal="center" vertical="center"/>
    </xf>
    <xf numFmtId="0" fontId="71" fillId="34" borderId="16" xfId="0" applyFont="1" applyFill="1" applyBorder="1" applyAlignment="1" applyProtection="1">
      <alignment horizontal="center" vertical="center"/>
    </xf>
    <xf numFmtId="0" fontId="71" fillId="34" borderId="12" xfId="0" applyFont="1" applyFill="1" applyBorder="1" applyAlignment="1" applyProtection="1">
      <alignment horizontal="center" vertical="center"/>
    </xf>
    <xf numFmtId="0" fontId="71" fillId="34" borderId="17" xfId="0" applyFont="1" applyFill="1" applyBorder="1" applyAlignment="1" applyProtection="1">
      <alignment horizontal="center" vertical="center"/>
    </xf>
    <xf numFmtId="0" fontId="71" fillId="34" borderId="18" xfId="0" applyFont="1" applyFill="1" applyBorder="1" applyAlignment="1" applyProtection="1">
      <alignment horizontal="center" vertical="center"/>
    </xf>
    <xf numFmtId="0" fontId="71" fillId="34" borderId="30" xfId="0" applyFont="1" applyFill="1" applyBorder="1" applyAlignment="1" applyProtection="1">
      <alignment horizontal="center" vertical="center"/>
    </xf>
    <xf numFmtId="0" fontId="71" fillId="34" borderId="19" xfId="0" applyFont="1" applyFill="1" applyBorder="1" applyAlignment="1" applyProtection="1">
      <alignment horizontal="center" vertical="center"/>
    </xf>
    <xf numFmtId="182" fontId="74" fillId="0" borderId="14" xfId="0" applyNumberFormat="1" applyFont="1" applyFill="1" applyBorder="1" applyAlignment="1" applyProtection="1">
      <alignment horizontal="center" vertical="center"/>
    </xf>
    <xf numFmtId="182" fontId="74" fillId="0" borderId="31" xfId="0" applyNumberFormat="1" applyFont="1" applyFill="1" applyBorder="1" applyAlignment="1" applyProtection="1">
      <alignment horizontal="center" vertical="center"/>
    </xf>
    <xf numFmtId="182" fontId="74" fillId="0" borderId="18" xfId="0" applyNumberFormat="1" applyFont="1" applyFill="1" applyBorder="1" applyAlignment="1" applyProtection="1">
      <alignment horizontal="center" vertical="center"/>
    </xf>
    <xf numFmtId="0" fontId="75" fillId="24" borderId="0" xfId="0" applyFont="1" applyFill="1" applyBorder="1" applyAlignment="1" applyProtection="1">
      <alignment horizontal="center" vertical="center" wrapText="1"/>
    </xf>
    <xf numFmtId="0" fontId="75" fillId="24" borderId="0" xfId="0" applyFont="1" applyFill="1" applyBorder="1" applyAlignment="1" applyProtection="1">
      <alignment horizontal="center" vertical="center"/>
    </xf>
    <xf numFmtId="0" fontId="77" fillId="24" borderId="0" xfId="0" applyFont="1" applyFill="1" applyBorder="1" applyAlignment="1" applyProtection="1">
      <alignment horizontal="center" vertical="center"/>
    </xf>
    <xf numFmtId="14" fontId="78" fillId="24" borderId="0" xfId="0" applyNumberFormat="1" applyFont="1" applyFill="1" applyBorder="1" applyAlignment="1" applyProtection="1">
      <alignment horizontal="center" vertical="center"/>
    </xf>
    <xf numFmtId="0" fontId="78" fillId="24" borderId="0" xfId="0" applyFont="1" applyFill="1" applyBorder="1" applyAlignment="1" applyProtection="1">
      <alignment horizontal="center" vertical="center"/>
    </xf>
    <xf numFmtId="0" fontId="75" fillId="39" borderId="14" xfId="0" applyFont="1" applyFill="1" applyBorder="1" applyAlignment="1" applyProtection="1">
      <alignment horizontal="center" vertical="center" wrapText="1"/>
    </xf>
    <xf numFmtId="0" fontId="75" fillId="39" borderId="15" xfId="0" applyFont="1" applyFill="1" applyBorder="1" applyAlignment="1" applyProtection="1">
      <alignment horizontal="center" vertical="center"/>
    </xf>
    <xf numFmtId="0" fontId="77" fillId="0" borderId="14" xfId="0" applyFont="1" applyFill="1" applyBorder="1" applyAlignment="1" applyProtection="1">
      <alignment horizontal="center" vertical="center"/>
    </xf>
    <xf numFmtId="0" fontId="77" fillId="0" borderId="15" xfId="0" applyFont="1" applyFill="1" applyBorder="1" applyAlignment="1" applyProtection="1">
      <alignment horizontal="center" vertical="center"/>
    </xf>
    <xf numFmtId="0" fontId="85" fillId="24" borderId="30" xfId="0" applyNumberFormat="1" applyFont="1" applyFill="1" applyBorder="1" applyAlignment="1" applyProtection="1">
      <alignment horizontal="center" vertical="center"/>
    </xf>
    <xf numFmtId="0" fontId="79" fillId="34" borderId="10" xfId="0" applyFont="1" applyFill="1" applyBorder="1" applyAlignment="1" applyProtection="1">
      <alignment horizontal="center" vertical="center"/>
    </xf>
    <xf numFmtId="0" fontId="79" fillId="34" borderId="11" xfId="0" applyFont="1" applyFill="1" applyBorder="1" applyAlignment="1" applyProtection="1">
      <alignment horizontal="center" vertical="center"/>
    </xf>
    <xf numFmtId="0" fontId="79" fillId="34" borderId="88" xfId="0" applyFont="1" applyFill="1" applyBorder="1" applyAlignment="1" applyProtection="1">
      <alignment horizontal="center" vertical="center"/>
    </xf>
    <xf numFmtId="0" fontId="70" fillId="39" borderId="97" xfId="46" applyFont="1" applyFill="1" applyBorder="1" applyAlignment="1" applyProtection="1">
      <alignment horizontal="center" vertical="center"/>
    </xf>
    <xf numFmtId="0" fontId="70" fillId="39" borderId="98" xfId="46" applyFont="1" applyFill="1" applyBorder="1" applyAlignment="1" applyProtection="1">
      <alignment horizontal="center" vertical="center"/>
    </xf>
    <xf numFmtId="0" fontId="70" fillId="39" borderId="99" xfId="46" applyFont="1" applyFill="1" applyBorder="1" applyAlignment="1" applyProtection="1">
      <alignment horizontal="center" vertical="center"/>
    </xf>
  </cellXfs>
  <cellStyles count="4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rmal 2" xfId="43"/>
    <cellStyle name="Normal 2 2" xfId="46"/>
    <cellStyle name="Normal 3" xfId="44"/>
    <cellStyle name="Note" xfId="37"/>
    <cellStyle name="Output" xfId="38"/>
    <cellStyle name="Percent 2" xfId="45"/>
    <cellStyle name="Title" xfId="39"/>
    <cellStyle name="Total" xfId="40"/>
    <cellStyle name="Warning Text" xfId="41"/>
    <cellStyle name="Yüzde" xfId="4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Tahoma"/>
                <a:ea typeface="Tahoma"/>
                <a:cs typeface="Tahoma"/>
              </a:defRPr>
            </a:pPr>
            <a:r>
              <a:rPr lang="tr-TR"/>
              <a:t>Saatlere Göre Araç Dağılımı Ortalama</a:t>
            </a:r>
          </a:p>
        </c:rich>
      </c:tx>
      <c:layout>
        <c:manualLayout>
          <c:xMode val="edge"/>
          <c:yMode val="edge"/>
          <c:x val="0.3538656253763377"/>
          <c:y val="7.5187969924812026E-3"/>
        </c:manualLayout>
      </c:layout>
      <c:overlay val="0"/>
      <c:spPr>
        <a:noFill/>
        <a:ln w="25400">
          <a:noFill/>
        </a:ln>
      </c:spPr>
    </c:title>
    <c:autoTitleDeleted val="0"/>
    <c:view3D>
      <c:rotX val="28"/>
      <c:hPercent val="39"/>
      <c:rotY val="44"/>
      <c:depthPercent val="100"/>
      <c:rAngAx val="1"/>
    </c:view3D>
    <c:floor>
      <c:thickness val="0"/>
      <c:spPr>
        <a:solidFill>
          <a:srgbClr val="C0C0C0"/>
        </a:solidFill>
        <a:ln w="3175">
          <a:solidFill>
            <a:srgbClr val="C0C0C0"/>
          </a:solidFill>
          <a:prstDash val="solid"/>
        </a:ln>
      </c:spPr>
    </c:floor>
    <c:sideWall>
      <c:thickness val="0"/>
      <c:spPr>
        <a:gradFill rotWithShape="0">
          <a:gsLst>
            <a:gs pos="0">
              <a:srgbClr val="FFFFFF"/>
            </a:gs>
            <a:gs pos="7001">
              <a:srgbClr val="E6E6E6"/>
            </a:gs>
            <a:gs pos="32001">
              <a:srgbClr val="7D8496"/>
            </a:gs>
            <a:gs pos="47000">
              <a:srgbClr val="E6E6E6"/>
            </a:gs>
            <a:gs pos="85001">
              <a:srgbClr val="7D8496"/>
            </a:gs>
            <a:gs pos="100000">
              <a:srgbClr val="E6E6E6"/>
            </a:gs>
          </a:gsLst>
          <a:lin ang="2700000" scaled="1"/>
        </a:gradFill>
        <a:ln w="12700">
          <a:solidFill>
            <a:srgbClr val="808080"/>
          </a:solidFill>
          <a:prstDash val="solid"/>
        </a:ln>
      </c:spPr>
    </c:sideWall>
    <c:backWall>
      <c:thickness val="0"/>
      <c:spPr>
        <a:gradFill rotWithShape="0">
          <a:gsLst>
            <a:gs pos="0">
              <a:srgbClr val="FFFFFF"/>
            </a:gs>
            <a:gs pos="7001">
              <a:srgbClr val="E6E6E6"/>
            </a:gs>
            <a:gs pos="32001">
              <a:srgbClr val="7D8496"/>
            </a:gs>
            <a:gs pos="47000">
              <a:srgbClr val="E6E6E6"/>
            </a:gs>
            <a:gs pos="85001">
              <a:srgbClr val="7D8496"/>
            </a:gs>
            <a:gs pos="100000">
              <a:srgbClr val="E6E6E6"/>
            </a:gs>
          </a:gsLst>
          <a:lin ang="2700000" scaled="1"/>
        </a:gradFill>
        <a:ln w="12700">
          <a:solidFill>
            <a:srgbClr val="808080"/>
          </a:solidFill>
          <a:prstDash val="solid"/>
        </a:ln>
      </c:spPr>
    </c:backWall>
    <c:plotArea>
      <c:layout>
        <c:manualLayout>
          <c:layoutTarget val="inner"/>
          <c:xMode val="edge"/>
          <c:yMode val="edge"/>
          <c:x val="4.8397249296963783E-2"/>
          <c:y val="1.8045112781954888E-2"/>
          <c:w val="0.75612845330191469"/>
          <c:h val="0.90075187969924808"/>
        </c:manualLayout>
      </c:layout>
      <c:bar3DChart>
        <c:barDir val="col"/>
        <c:grouping val="clustered"/>
        <c:varyColors val="0"/>
        <c:ser>
          <c:idx val="0"/>
          <c:order val="0"/>
          <c:tx>
            <c:strRef>
              <c:f>'SAAT BAZLI ARAÇ DAĞILIMI'!$B$2:$L$2</c:f>
              <c:strCache>
                <c:ptCount val="11"/>
                <c:pt idx="0">
                  <c:v>ARAÇ OTOPARKI</c:v>
                </c:pt>
              </c:strCache>
            </c:strRef>
          </c:tx>
          <c:spPr>
            <a:solidFill>
              <a:srgbClr val="FFFF99"/>
            </a:solidFill>
            <a:ln w="12700">
              <a:solidFill>
                <a:srgbClr val="000000"/>
              </a:solidFill>
              <a:prstDash val="solid"/>
            </a:ln>
          </c:spPr>
          <c:invertIfNegative val="0"/>
          <c:dLbls>
            <c:spPr>
              <a:solidFill>
                <a:srgbClr val="FFFFFF"/>
              </a:solidFill>
              <a:ln w="3175">
                <a:solidFill>
                  <a:srgbClr val="000000"/>
                </a:solidFill>
                <a:prstDash val="solid"/>
              </a:ln>
            </c:spPr>
            <c:txPr>
              <a:bodyPr wrap="square" lIns="38100" tIns="19050" rIns="38100" bIns="19050" anchor="ctr">
                <a:spAutoFit/>
              </a:bodyPr>
              <a:lstStyle/>
              <a:p>
                <a:pPr>
                  <a:defRPr sz="1200" b="0" i="0" u="none" strike="noStrike" baseline="0">
                    <a:solidFill>
                      <a:srgbClr val="000000"/>
                    </a:solidFill>
                    <a:latin typeface="Tahoma"/>
                    <a:ea typeface="Tahoma"/>
                    <a:cs typeface="Tahom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'SAAT BAZLI ARAÇ DAĞILIMI'!$B$3:$L$3</c:f>
              <c:strCache>
                <c:ptCount val="11"/>
                <c:pt idx="0">
                  <c:v>0-1 Saat</c:v>
                </c:pt>
                <c:pt idx="1">
                  <c:v>1-3 Saat</c:v>
                </c:pt>
                <c:pt idx="2">
                  <c:v>3-6 Saat</c:v>
                </c:pt>
                <c:pt idx="3">
                  <c:v>6-12 Saat</c:v>
                </c:pt>
                <c:pt idx="4">
                  <c:v>12-24 Saat</c:v>
                </c:pt>
                <c:pt idx="5">
                  <c:v>1 Gün</c:v>
                </c:pt>
                <c:pt idx="6">
                  <c:v>2 Gün</c:v>
                </c:pt>
                <c:pt idx="7">
                  <c:v>3 Gün</c:v>
                </c:pt>
                <c:pt idx="8">
                  <c:v>4 Gün</c:v>
                </c:pt>
                <c:pt idx="9">
                  <c:v>5 Gün (+)</c:v>
                </c:pt>
                <c:pt idx="10">
                  <c:v>Total</c:v>
                </c:pt>
              </c:strCache>
            </c:strRef>
          </c:cat>
          <c:val>
            <c:numRef>
              <c:f>'SAAT BAZLI ARAÇ DAĞILIMI'!$B$70:$L$70</c:f>
              <c:numCache>
                <c:formatCode>#,##0</c:formatCode>
                <c:ptCount val="11"/>
                <c:pt idx="0">
                  <c:v>242.8</c:v>
                </c:pt>
                <c:pt idx="1">
                  <c:v>214.8</c:v>
                </c:pt>
                <c:pt idx="2">
                  <c:v>18.100000000000001</c:v>
                </c:pt>
                <c:pt idx="3">
                  <c:v>14.95</c:v>
                </c:pt>
                <c:pt idx="4">
                  <c:v>10.5</c:v>
                </c:pt>
                <c:pt idx="5">
                  <c:v>0.35</c:v>
                </c:pt>
                <c:pt idx="6">
                  <c:v>22.4</c:v>
                </c:pt>
                <c:pt idx="7">
                  <c:v>55.85</c:v>
                </c:pt>
                <c:pt idx="8">
                  <c:v>58.1</c:v>
                </c:pt>
                <c:pt idx="9">
                  <c:v>80.95</c:v>
                </c:pt>
                <c:pt idx="10">
                  <c:v>718.8</c:v>
                </c:pt>
              </c:numCache>
            </c:numRef>
          </c:val>
          <c:extLst>
            <c:ext xmlns:c16="http://schemas.microsoft.com/office/drawing/2014/chart" uri="{C3380CC4-5D6E-409C-BE32-E72D297353CC}">
              <c16:uniqueId val="{00000000-E42D-414F-B633-5879716B0DED}"/>
            </c:ext>
          </c:extLst>
        </c:ser>
        <c:ser>
          <c:idx val="1"/>
          <c:order val="1"/>
          <c:tx>
            <c:strRef>
              <c:f>'SAAT BAZLI ARAÇ DAĞILIMI'!$M$2:$W$2</c:f>
              <c:strCache>
                <c:ptCount val="11"/>
                <c:pt idx="0">
                  <c:v>OTOBÜS OTOPARKI</c:v>
                </c:pt>
              </c:strCache>
            </c:strRef>
          </c:tx>
          <c:spPr>
            <a:solidFill>
              <a:srgbClr val="9999FF"/>
            </a:solidFill>
            <a:ln w="12700">
              <a:solidFill>
                <a:srgbClr val="000000"/>
              </a:solidFill>
              <a:prstDash val="solid"/>
            </a:ln>
          </c:spPr>
          <c:invertIfNegative val="0"/>
          <c:dLbls>
            <c:spPr>
              <a:solidFill>
                <a:srgbClr val="FFFFFF"/>
              </a:solidFill>
              <a:ln w="3175">
                <a:solidFill>
                  <a:srgbClr val="000000"/>
                </a:solidFill>
                <a:prstDash val="solid"/>
              </a:ln>
            </c:spPr>
            <c:txPr>
              <a:bodyPr wrap="square" lIns="38100" tIns="19050" rIns="38100" bIns="19050" anchor="ctr">
                <a:spAutoFit/>
              </a:bodyPr>
              <a:lstStyle/>
              <a:p>
                <a:pPr>
                  <a:defRPr sz="1200" b="0" i="0" u="none" strike="noStrike" baseline="0">
                    <a:solidFill>
                      <a:srgbClr val="000000"/>
                    </a:solidFill>
                    <a:latin typeface="Tahoma"/>
                    <a:ea typeface="Tahoma"/>
                    <a:cs typeface="Tahom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'SAAT BAZLI ARAÇ DAĞILIMI'!$B$3:$L$3</c:f>
              <c:strCache>
                <c:ptCount val="11"/>
                <c:pt idx="0">
                  <c:v>0-1 Saat</c:v>
                </c:pt>
                <c:pt idx="1">
                  <c:v>1-3 Saat</c:v>
                </c:pt>
                <c:pt idx="2">
                  <c:v>3-6 Saat</c:v>
                </c:pt>
                <c:pt idx="3">
                  <c:v>6-12 Saat</c:v>
                </c:pt>
                <c:pt idx="4">
                  <c:v>12-24 Saat</c:v>
                </c:pt>
                <c:pt idx="5">
                  <c:v>1 Gün</c:v>
                </c:pt>
                <c:pt idx="6">
                  <c:v>2 Gün</c:v>
                </c:pt>
                <c:pt idx="7">
                  <c:v>3 Gün</c:v>
                </c:pt>
                <c:pt idx="8">
                  <c:v>4 Gün</c:v>
                </c:pt>
                <c:pt idx="9">
                  <c:v>5 Gün (+)</c:v>
                </c:pt>
                <c:pt idx="10">
                  <c:v>Total</c:v>
                </c:pt>
              </c:strCache>
            </c:strRef>
          </c:cat>
          <c:val>
            <c:numRef>
              <c:f>'SAAT BAZLI ARAÇ DAĞILIMI'!$M$70:$W$70</c:f>
              <c:numCache>
                <c:formatCode>#,##0</c:formatCode>
                <c:ptCount val="11"/>
                <c:pt idx="0">
                  <c:v>177.15</c:v>
                </c:pt>
                <c:pt idx="1">
                  <c:v>85.65</c:v>
                </c:pt>
                <c:pt idx="2">
                  <c:v>14.2</c:v>
                </c:pt>
                <c:pt idx="3">
                  <c:v>1.85</c:v>
                </c:pt>
                <c:pt idx="4">
                  <c:v>0.45</c:v>
                </c:pt>
                <c:pt idx="5">
                  <c:v>0</c:v>
                </c:pt>
                <c:pt idx="6">
                  <c:v>0.15</c:v>
                </c:pt>
                <c:pt idx="7">
                  <c:v>1.2</c:v>
                </c:pt>
                <c:pt idx="8">
                  <c:v>0.7</c:v>
                </c:pt>
                <c:pt idx="9">
                  <c:v>1</c:v>
                </c:pt>
                <c:pt idx="10">
                  <c:v>282.35000000000002</c:v>
                </c:pt>
              </c:numCache>
            </c:numRef>
          </c:val>
          <c:extLst>
            <c:ext xmlns:c16="http://schemas.microsoft.com/office/drawing/2014/chart" uri="{C3380CC4-5D6E-409C-BE32-E72D297353CC}">
              <c16:uniqueId val="{00000001-E42D-414F-B633-5879716B0DED}"/>
            </c:ext>
          </c:extLst>
        </c:ser>
        <c:dLbls>
          <c:showLegendKey val="0"/>
          <c:showVal val="0"/>
          <c:showCatName val="0"/>
          <c:showSerName val="0"/>
          <c:showPercent val="0"/>
          <c:showBubbleSize val="0"/>
        </c:dLbls>
        <c:gapWidth val="150"/>
        <c:shape val="cylinder"/>
        <c:axId val="-661908336"/>
        <c:axId val="-661916496"/>
        <c:axId val="0"/>
      </c:bar3DChart>
      <c:catAx>
        <c:axId val="-66190833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661916496"/>
        <c:crosses val="autoZero"/>
        <c:auto val="1"/>
        <c:lblAlgn val="ctr"/>
        <c:lblOffset val="100"/>
        <c:tickLblSkip val="1"/>
        <c:tickMarkSkip val="1"/>
        <c:noMultiLvlLbl val="0"/>
      </c:catAx>
      <c:valAx>
        <c:axId val="-661916496"/>
        <c:scaling>
          <c:orientation val="minMax"/>
        </c:scaling>
        <c:delete val="0"/>
        <c:axPos val="l"/>
        <c:majorGridlines>
          <c:spPr>
            <a:ln w="3175">
              <a:solidFill>
                <a:srgbClr val="000000"/>
              </a:solidFill>
              <a:prstDash val="solid"/>
            </a:ln>
          </c:spPr>
        </c:majorGridlines>
        <c:title>
          <c:tx>
            <c:rich>
              <a:bodyPr rot="0" vert="horz"/>
              <a:lstStyle/>
              <a:p>
                <a:pPr algn="ctr">
                  <a:defRPr sz="1200" b="0" i="0" u="none" strike="noStrike" baseline="0">
                    <a:solidFill>
                      <a:srgbClr val="000000"/>
                    </a:solidFill>
                    <a:latin typeface="Tahoma"/>
                    <a:ea typeface="Tahoma"/>
                    <a:cs typeface="Tahoma"/>
                  </a:defRPr>
                </a:pPr>
                <a:r>
                  <a:rPr lang="tr-TR"/>
                  <a:t>Araç
Sayısı</a:t>
                </a:r>
              </a:p>
            </c:rich>
          </c:tx>
          <c:layout>
            <c:manualLayout>
              <c:xMode val="edge"/>
              <c:yMode val="edge"/>
              <c:x val="2.2197894653488866E-2"/>
              <c:y val="0.5331160973299390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661908336"/>
        <c:crosses val="autoZero"/>
        <c:crossBetween val="between"/>
      </c:valAx>
      <c:spPr>
        <a:noFill/>
        <a:ln w="25400">
          <a:noFill/>
        </a:ln>
      </c:spPr>
    </c:plotArea>
    <c:legend>
      <c:legendPos val="r"/>
      <c:layout>
        <c:manualLayout>
          <c:xMode val="edge"/>
          <c:yMode val="edge"/>
          <c:x val="0.82212471398334797"/>
          <c:y val="0.10827067669172932"/>
          <c:w val="0.14079202073342334"/>
          <c:h val="0.13533834586466165"/>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ahoma"/>
          <a:ea typeface="Tahoma"/>
          <a:cs typeface="Tahoma"/>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Tahoma"/>
                <a:ea typeface="Tahoma"/>
                <a:cs typeface="Tahoma"/>
              </a:defRPr>
            </a:pPr>
            <a:r>
              <a:rPr lang="tr-TR"/>
              <a:t>Saatlere Göre Araç Dağılımı
</a:t>
            </a:r>
          </a:p>
        </c:rich>
      </c:tx>
      <c:layout>
        <c:manualLayout>
          <c:xMode val="edge"/>
          <c:yMode val="edge"/>
          <c:x val="0.37067337948395218"/>
          <c:y val="7.5187969924812026E-3"/>
        </c:manualLayout>
      </c:layout>
      <c:overlay val="0"/>
      <c:spPr>
        <a:noFill/>
        <a:ln w="25400">
          <a:noFill/>
        </a:ln>
      </c:spPr>
    </c:title>
    <c:autoTitleDeleted val="0"/>
    <c:view3D>
      <c:rotX val="28"/>
      <c:hPercent val="39"/>
      <c:rotY val="44"/>
      <c:depthPercent val="100"/>
      <c:rAngAx val="1"/>
    </c:view3D>
    <c:floor>
      <c:thickness val="0"/>
      <c:spPr>
        <a:solidFill>
          <a:srgbClr val="C0C0C0"/>
        </a:solidFill>
        <a:ln w="3175">
          <a:solidFill>
            <a:srgbClr val="C0C0C0"/>
          </a:solidFill>
          <a:prstDash val="solid"/>
        </a:ln>
      </c:spPr>
    </c:floor>
    <c:sideWall>
      <c:thickness val="0"/>
      <c:spPr>
        <a:gradFill rotWithShape="0">
          <a:gsLst>
            <a:gs pos="0">
              <a:srgbClr val="FFFFFF"/>
            </a:gs>
            <a:gs pos="7001">
              <a:srgbClr val="E6E6E6"/>
            </a:gs>
            <a:gs pos="32001">
              <a:srgbClr val="7D8496"/>
            </a:gs>
            <a:gs pos="47000">
              <a:srgbClr val="E6E6E6"/>
            </a:gs>
            <a:gs pos="85001">
              <a:srgbClr val="7D8496"/>
            </a:gs>
            <a:gs pos="100000">
              <a:srgbClr val="E6E6E6"/>
            </a:gs>
          </a:gsLst>
          <a:lin ang="2700000" scaled="1"/>
        </a:gradFill>
        <a:ln w="12700">
          <a:solidFill>
            <a:srgbClr val="808080"/>
          </a:solidFill>
          <a:prstDash val="solid"/>
        </a:ln>
      </c:spPr>
    </c:sideWall>
    <c:backWall>
      <c:thickness val="0"/>
      <c:spPr>
        <a:gradFill rotWithShape="0">
          <a:gsLst>
            <a:gs pos="0">
              <a:srgbClr val="FFFFFF"/>
            </a:gs>
            <a:gs pos="7001">
              <a:srgbClr val="E6E6E6"/>
            </a:gs>
            <a:gs pos="32001">
              <a:srgbClr val="7D8496"/>
            </a:gs>
            <a:gs pos="47000">
              <a:srgbClr val="E6E6E6"/>
            </a:gs>
            <a:gs pos="85001">
              <a:srgbClr val="7D8496"/>
            </a:gs>
            <a:gs pos="100000">
              <a:srgbClr val="E6E6E6"/>
            </a:gs>
          </a:gsLst>
          <a:lin ang="2700000" scaled="1"/>
        </a:gradFill>
        <a:ln w="12700">
          <a:solidFill>
            <a:srgbClr val="808080"/>
          </a:solidFill>
          <a:prstDash val="solid"/>
        </a:ln>
      </c:spPr>
    </c:backWall>
    <c:plotArea>
      <c:layout>
        <c:manualLayout>
          <c:layoutTarget val="inner"/>
          <c:xMode val="edge"/>
          <c:yMode val="edge"/>
          <c:x val="4.8458149779735685E-2"/>
          <c:y val="1.8045112781954888E-2"/>
          <c:w val="0.75707992448080552"/>
          <c:h val="0.90075187969924808"/>
        </c:manualLayout>
      </c:layout>
      <c:bar3DChart>
        <c:barDir val="col"/>
        <c:grouping val="clustered"/>
        <c:varyColors val="0"/>
        <c:ser>
          <c:idx val="0"/>
          <c:order val="0"/>
          <c:tx>
            <c:strRef>
              <c:f>'SAAT BAZLI ARAÇ DAĞILIMI'!$B$2:$L$2</c:f>
              <c:strCache>
                <c:ptCount val="11"/>
                <c:pt idx="0">
                  <c:v>ARAÇ OTOPARKI</c:v>
                </c:pt>
              </c:strCache>
            </c:strRef>
          </c:tx>
          <c:spPr>
            <a:solidFill>
              <a:srgbClr val="FFFF99"/>
            </a:solidFill>
            <a:ln w="12700">
              <a:solidFill>
                <a:srgbClr val="000000"/>
              </a:solidFill>
              <a:prstDash val="solid"/>
            </a:ln>
          </c:spPr>
          <c:invertIfNegative val="0"/>
          <c:dLbls>
            <c:spPr>
              <a:solidFill>
                <a:srgbClr val="FFFFFF"/>
              </a:solidFill>
              <a:ln w="3175">
                <a:solidFill>
                  <a:srgbClr val="000000"/>
                </a:solidFill>
                <a:prstDash val="solid"/>
              </a:ln>
            </c:spPr>
            <c:txPr>
              <a:bodyPr wrap="square" lIns="38100" tIns="19050" rIns="38100" bIns="19050" anchor="ctr">
                <a:spAutoFit/>
              </a:bodyPr>
              <a:lstStyle/>
              <a:p>
                <a:pPr>
                  <a:defRPr sz="1200" b="0" i="0" u="none" strike="noStrike" baseline="0">
                    <a:solidFill>
                      <a:srgbClr val="000000"/>
                    </a:solidFill>
                    <a:latin typeface="Tahoma"/>
                    <a:ea typeface="Tahoma"/>
                    <a:cs typeface="Tahom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'SAAT BAZLI ARAÇ DAĞILIMI'!$B$3:$L$3</c:f>
              <c:strCache>
                <c:ptCount val="11"/>
                <c:pt idx="0">
                  <c:v>0-1 Saat</c:v>
                </c:pt>
                <c:pt idx="1">
                  <c:v>1-3 Saat</c:v>
                </c:pt>
                <c:pt idx="2">
                  <c:v>3-6 Saat</c:v>
                </c:pt>
                <c:pt idx="3">
                  <c:v>6-12 Saat</c:v>
                </c:pt>
                <c:pt idx="4">
                  <c:v>12-24 Saat</c:v>
                </c:pt>
                <c:pt idx="5">
                  <c:v>1 Gün</c:v>
                </c:pt>
                <c:pt idx="6">
                  <c:v>2 Gün</c:v>
                </c:pt>
                <c:pt idx="7">
                  <c:v>3 Gün</c:v>
                </c:pt>
                <c:pt idx="8">
                  <c:v>4 Gün</c:v>
                </c:pt>
                <c:pt idx="9">
                  <c:v>5 Gün (+)</c:v>
                </c:pt>
                <c:pt idx="10">
                  <c:v>Total</c:v>
                </c:pt>
              </c:strCache>
            </c:strRef>
          </c:cat>
          <c:val>
            <c:numRef>
              <c:f>'SAAT BAZLI ARAÇ DAĞILIMI'!$B$67:$L$67</c:f>
              <c:numCache>
                <c:formatCode>#,##0</c:formatCode>
                <c:ptCount val="11"/>
                <c:pt idx="0">
                  <c:v>4856</c:v>
                </c:pt>
                <c:pt idx="1">
                  <c:v>4296</c:v>
                </c:pt>
                <c:pt idx="2">
                  <c:v>362</c:v>
                </c:pt>
                <c:pt idx="3">
                  <c:v>299</c:v>
                </c:pt>
                <c:pt idx="4">
                  <c:v>210</c:v>
                </c:pt>
                <c:pt idx="5">
                  <c:v>7</c:v>
                </c:pt>
                <c:pt idx="6">
                  <c:v>448</c:v>
                </c:pt>
                <c:pt idx="7">
                  <c:v>1117</c:v>
                </c:pt>
                <c:pt idx="8">
                  <c:v>1162</c:v>
                </c:pt>
                <c:pt idx="9">
                  <c:v>1619</c:v>
                </c:pt>
                <c:pt idx="10">
                  <c:v>14376</c:v>
                </c:pt>
              </c:numCache>
            </c:numRef>
          </c:val>
          <c:extLst>
            <c:ext xmlns:c16="http://schemas.microsoft.com/office/drawing/2014/chart" uri="{C3380CC4-5D6E-409C-BE32-E72D297353CC}">
              <c16:uniqueId val="{00000000-2B1A-47C0-B01A-0F6EDA52FD58}"/>
            </c:ext>
          </c:extLst>
        </c:ser>
        <c:ser>
          <c:idx val="1"/>
          <c:order val="1"/>
          <c:tx>
            <c:strRef>
              <c:f>'SAAT BAZLI ARAÇ DAĞILIMI'!$M$2:$W$2</c:f>
              <c:strCache>
                <c:ptCount val="11"/>
                <c:pt idx="0">
                  <c:v>OTOBÜS OTOPARKI</c:v>
                </c:pt>
              </c:strCache>
            </c:strRef>
          </c:tx>
          <c:spPr>
            <a:solidFill>
              <a:srgbClr val="9999FF"/>
            </a:solidFill>
            <a:ln w="12700">
              <a:solidFill>
                <a:srgbClr val="000000"/>
              </a:solidFill>
              <a:prstDash val="solid"/>
            </a:ln>
          </c:spPr>
          <c:invertIfNegative val="0"/>
          <c:dLbls>
            <c:spPr>
              <a:solidFill>
                <a:srgbClr val="FFFFFF"/>
              </a:solidFill>
              <a:ln w="3175">
                <a:solidFill>
                  <a:srgbClr val="000000"/>
                </a:solidFill>
                <a:prstDash val="solid"/>
              </a:ln>
            </c:spPr>
            <c:txPr>
              <a:bodyPr wrap="square" lIns="38100" tIns="19050" rIns="38100" bIns="19050" anchor="ctr">
                <a:spAutoFit/>
              </a:bodyPr>
              <a:lstStyle/>
              <a:p>
                <a:pPr>
                  <a:defRPr sz="1200" b="0" i="0" u="none" strike="noStrike" baseline="0">
                    <a:solidFill>
                      <a:srgbClr val="000000"/>
                    </a:solidFill>
                    <a:latin typeface="Tahoma"/>
                    <a:ea typeface="Tahoma"/>
                    <a:cs typeface="Tahom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'SAAT BAZLI ARAÇ DAĞILIMI'!$B$3:$L$3</c:f>
              <c:strCache>
                <c:ptCount val="11"/>
                <c:pt idx="0">
                  <c:v>0-1 Saat</c:v>
                </c:pt>
                <c:pt idx="1">
                  <c:v>1-3 Saat</c:v>
                </c:pt>
                <c:pt idx="2">
                  <c:v>3-6 Saat</c:v>
                </c:pt>
                <c:pt idx="3">
                  <c:v>6-12 Saat</c:v>
                </c:pt>
                <c:pt idx="4">
                  <c:v>12-24 Saat</c:v>
                </c:pt>
                <c:pt idx="5">
                  <c:v>1 Gün</c:v>
                </c:pt>
                <c:pt idx="6">
                  <c:v>2 Gün</c:v>
                </c:pt>
                <c:pt idx="7">
                  <c:v>3 Gün</c:v>
                </c:pt>
                <c:pt idx="8">
                  <c:v>4 Gün</c:v>
                </c:pt>
                <c:pt idx="9">
                  <c:v>5 Gün (+)</c:v>
                </c:pt>
                <c:pt idx="10">
                  <c:v>Total</c:v>
                </c:pt>
              </c:strCache>
            </c:strRef>
          </c:cat>
          <c:val>
            <c:numRef>
              <c:f>'SAAT BAZLI ARAÇ DAĞILIMI'!$M$67:$W$67</c:f>
              <c:numCache>
                <c:formatCode>#,##0</c:formatCode>
                <c:ptCount val="11"/>
                <c:pt idx="0">
                  <c:v>3543</c:v>
                </c:pt>
                <c:pt idx="1">
                  <c:v>1713</c:v>
                </c:pt>
                <c:pt idx="2">
                  <c:v>284</c:v>
                </c:pt>
                <c:pt idx="3">
                  <c:v>37</c:v>
                </c:pt>
                <c:pt idx="4">
                  <c:v>9</c:v>
                </c:pt>
                <c:pt idx="5">
                  <c:v>0</c:v>
                </c:pt>
                <c:pt idx="6">
                  <c:v>3</c:v>
                </c:pt>
                <c:pt idx="7">
                  <c:v>24</c:v>
                </c:pt>
                <c:pt idx="8">
                  <c:v>14</c:v>
                </c:pt>
                <c:pt idx="9">
                  <c:v>20</c:v>
                </c:pt>
                <c:pt idx="10">
                  <c:v>5647</c:v>
                </c:pt>
              </c:numCache>
            </c:numRef>
          </c:val>
          <c:extLst>
            <c:ext xmlns:c16="http://schemas.microsoft.com/office/drawing/2014/chart" uri="{C3380CC4-5D6E-409C-BE32-E72D297353CC}">
              <c16:uniqueId val="{00000001-2B1A-47C0-B01A-0F6EDA52FD58}"/>
            </c:ext>
          </c:extLst>
        </c:ser>
        <c:dLbls>
          <c:showLegendKey val="0"/>
          <c:showVal val="0"/>
          <c:showCatName val="0"/>
          <c:showSerName val="0"/>
          <c:showPercent val="0"/>
          <c:showBubbleSize val="0"/>
        </c:dLbls>
        <c:gapWidth val="150"/>
        <c:shape val="cylinder"/>
        <c:axId val="-661909424"/>
        <c:axId val="-661920304"/>
        <c:axId val="0"/>
      </c:bar3DChart>
      <c:catAx>
        <c:axId val="-6619094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661920304"/>
        <c:crosses val="autoZero"/>
        <c:auto val="1"/>
        <c:lblAlgn val="ctr"/>
        <c:lblOffset val="100"/>
        <c:tickLblSkip val="1"/>
        <c:tickMarkSkip val="1"/>
        <c:noMultiLvlLbl val="0"/>
      </c:catAx>
      <c:valAx>
        <c:axId val="-661920304"/>
        <c:scaling>
          <c:orientation val="minMax"/>
        </c:scaling>
        <c:delete val="0"/>
        <c:axPos val="l"/>
        <c:majorGridlines>
          <c:spPr>
            <a:ln w="3175">
              <a:solidFill>
                <a:srgbClr val="000000"/>
              </a:solidFill>
              <a:prstDash val="solid"/>
            </a:ln>
          </c:spPr>
        </c:majorGridlines>
        <c:title>
          <c:tx>
            <c:rich>
              <a:bodyPr rot="0" vert="horz"/>
              <a:lstStyle/>
              <a:p>
                <a:pPr algn="ctr">
                  <a:defRPr sz="1200" b="0" i="0" u="none" strike="noStrike" baseline="0">
                    <a:solidFill>
                      <a:srgbClr val="000000"/>
                    </a:solidFill>
                    <a:latin typeface="Tahoma"/>
                    <a:ea typeface="Tahoma"/>
                    <a:cs typeface="Tahoma"/>
                  </a:defRPr>
                </a:pPr>
                <a:r>
                  <a:rPr lang="tr-TR"/>
                  <a:t>Araç
Sayısı</a:t>
                </a:r>
              </a:p>
            </c:rich>
          </c:tx>
          <c:layout>
            <c:manualLayout>
              <c:xMode val="edge"/>
              <c:yMode val="edge"/>
              <c:x val="2.2197886057194392E-2"/>
              <c:y val="0.5331160973299390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661909424"/>
        <c:crosses val="autoZero"/>
        <c:crossBetween val="between"/>
      </c:valAx>
      <c:spPr>
        <a:noFill/>
        <a:ln w="25400">
          <a:noFill/>
        </a:ln>
      </c:spPr>
    </c:plotArea>
    <c:legend>
      <c:legendPos val="r"/>
      <c:layout>
        <c:manualLayout>
          <c:xMode val="edge"/>
          <c:yMode val="edge"/>
          <c:x val="0.82190056639395848"/>
          <c:y val="0.10827067669172932"/>
          <c:w val="0.1409691629955947"/>
          <c:h val="0.13533834586466165"/>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ahoma"/>
          <a:ea typeface="Tahoma"/>
          <a:cs typeface="Tahom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106</xdr:row>
      <xdr:rowOff>142875</xdr:rowOff>
    </xdr:from>
    <xdr:to>
      <xdr:col>22</xdr:col>
      <xdr:colOff>0</xdr:colOff>
      <xdr:row>140</xdr:row>
      <xdr:rowOff>0</xdr:rowOff>
    </xdr:to>
    <xdr:graphicFrame macro="">
      <xdr:nvGraphicFramePr>
        <xdr:cNvPr id="63553" name="Grafik 1">
          <a:extLst>
            <a:ext uri="{FF2B5EF4-FFF2-40B4-BE49-F238E27FC236}">
              <a16:creationId xmlns:a16="http://schemas.microsoft.com/office/drawing/2014/main" id="{00000000-0008-0000-0100-000041F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72</xdr:row>
      <xdr:rowOff>0</xdr:rowOff>
    </xdr:from>
    <xdr:to>
      <xdr:col>21</xdr:col>
      <xdr:colOff>723900</xdr:colOff>
      <xdr:row>105</xdr:row>
      <xdr:rowOff>47625</xdr:rowOff>
    </xdr:to>
    <xdr:graphicFrame macro="">
      <xdr:nvGraphicFramePr>
        <xdr:cNvPr id="63554" name="Grafik 2">
          <a:extLst>
            <a:ext uri="{FF2B5EF4-FFF2-40B4-BE49-F238E27FC236}">
              <a16:creationId xmlns:a16="http://schemas.microsoft.com/office/drawing/2014/main" id="{00000000-0008-0000-0100-000042F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xdr:colOff>
      <xdr:row>5</xdr:row>
      <xdr:rowOff>9525</xdr:rowOff>
    </xdr:from>
    <xdr:to>
      <xdr:col>7</xdr:col>
      <xdr:colOff>1095375</xdr:colOff>
      <xdr:row>5</xdr:row>
      <xdr:rowOff>9525</xdr:rowOff>
    </xdr:to>
    <xdr:sp macro="" textlink="">
      <xdr:nvSpPr>
        <xdr:cNvPr id="11321" name="Line 1">
          <a:extLst>
            <a:ext uri="{FF2B5EF4-FFF2-40B4-BE49-F238E27FC236}">
              <a16:creationId xmlns:a16="http://schemas.microsoft.com/office/drawing/2014/main" id="{00000000-0008-0000-0500-0000392C0000}"/>
            </a:ext>
          </a:extLst>
        </xdr:cNvPr>
        <xdr:cNvSpPr>
          <a:spLocks noChangeShapeType="1"/>
        </xdr:cNvSpPr>
      </xdr:nvSpPr>
      <xdr:spPr bwMode="auto">
        <a:xfrm flipV="1">
          <a:off x="7924800" y="933450"/>
          <a:ext cx="1066800" cy="0"/>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POR/OTOPARK%202023/TAV%20EGE%20ICHAT/UPDATE%202023/IC_KASIM_UPDATE%20TAV%20EG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POR/OTOPARK%202024/TAV%20EGE%20DISHAT/ABONE%202024/DIS%20ABONE%20TAV%20EGE%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L HASILAT"/>
      <sheetName val="SAAT BAZLI ARAÇ DAĞILIMI"/>
      <sheetName val="ÜCRET GRUP ANALİZİ"/>
      <sheetName val="OTOPARK GİRİŞ-ÇIKIŞ"/>
      <sheetName val="ARAÇ SAYISI"/>
      <sheetName val="ABONE DURUMU"/>
      <sheetName val="KAYIP-ZORUNLU"/>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AK 2024"/>
      <sheetName val="ŞUBAT 2024"/>
      <sheetName val="MART 2024"/>
      <sheetName val="NİSAN 2024"/>
      <sheetName val="MAYIS 2024"/>
      <sheetName val="HAZİRAN 2024"/>
      <sheetName val="TEMMUZ 2024"/>
      <sheetName val="AĞUSTOS 2024"/>
      <sheetName val="EYLÜL 2024"/>
      <sheetName val="EKİM 2024"/>
      <sheetName val="KASIM 2024"/>
      <sheetName val="ARALIK 2024"/>
    </sheetNames>
    <sheetDataSet>
      <sheetData sheetId="0">
        <row r="38">
          <cell r="P38">
            <v>922</v>
          </cell>
        </row>
      </sheetData>
      <sheetData sheetId="1">
        <row r="38">
          <cell r="P38">
            <v>812</v>
          </cell>
        </row>
      </sheetData>
      <sheetData sheetId="2">
        <row r="38">
          <cell r="P38">
            <v>853</v>
          </cell>
        </row>
      </sheetData>
      <sheetData sheetId="3">
        <row r="38">
          <cell r="P38">
            <v>1030</v>
          </cell>
        </row>
      </sheetData>
      <sheetData sheetId="4">
        <row r="38">
          <cell r="P38">
            <v>1202</v>
          </cell>
        </row>
      </sheetData>
      <sheetData sheetId="5">
        <row r="38">
          <cell r="P38">
            <v>1767</v>
          </cell>
        </row>
      </sheetData>
      <sheetData sheetId="6">
        <row r="38">
          <cell r="P38">
            <v>1417</v>
          </cell>
        </row>
      </sheetData>
      <sheetData sheetId="7">
        <row r="38">
          <cell r="P38">
            <v>1343</v>
          </cell>
        </row>
      </sheetData>
      <sheetData sheetId="8">
        <row r="38">
          <cell r="P38">
            <v>1233</v>
          </cell>
        </row>
      </sheetData>
      <sheetData sheetId="9">
        <row r="36">
          <cell r="B36">
            <v>48</v>
          </cell>
          <cell r="C36">
            <v>96</v>
          </cell>
          <cell r="D36">
            <v>0</v>
          </cell>
          <cell r="E36">
            <v>240</v>
          </cell>
          <cell r="F36">
            <v>226</v>
          </cell>
          <cell r="G36">
            <v>66</v>
          </cell>
          <cell r="H36">
            <v>100</v>
          </cell>
          <cell r="I36">
            <v>0</v>
          </cell>
          <cell r="J36">
            <v>21</v>
          </cell>
          <cell r="K36">
            <v>0</v>
          </cell>
          <cell r="L36">
            <v>0</v>
          </cell>
          <cell r="M36">
            <v>0</v>
          </cell>
          <cell r="N36">
            <v>3042935</v>
          </cell>
          <cell r="O36">
            <v>57920</v>
          </cell>
        </row>
        <row r="38">
          <cell r="P38">
            <v>797</v>
          </cell>
        </row>
      </sheetData>
      <sheetData sheetId="10">
        <row r="38">
          <cell r="P38">
            <v>0</v>
          </cell>
        </row>
      </sheetData>
      <sheetData sheetId="11">
        <row r="38">
          <cell r="P38">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tabColor indexed="15"/>
  </sheetPr>
  <dimension ref="A1:AI102"/>
  <sheetViews>
    <sheetView zoomScale="77" zoomScaleNormal="77" workbookViewId="0">
      <pane xSplit="1" ySplit="6" topLeftCell="B7" activePane="bottomRight" state="frozenSplit"/>
      <selection activeCell="A7" sqref="A7:A37"/>
      <selection pane="topRight" activeCell="A7" sqref="A7:A37"/>
      <selection pane="bottomLeft" activeCell="A7" sqref="A7:A37"/>
      <selection pane="bottomRight" activeCell="B27" sqref="B27"/>
    </sheetView>
  </sheetViews>
  <sheetFormatPr defaultRowHeight="15" customHeight="1" x14ac:dyDescent="0.2"/>
  <cols>
    <col min="1" max="1" width="14.7109375" style="1" bestFit="1" customWidth="1"/>
    <col min="2" max="2" width="6.7109375" style="1" customWidth="1"/>
    <col min="3" max="3" width="16" style="1" customWidth="1"/>
    <col min="4" max="4" width="6.7109375" style="1" customWidth="1"/>
    <col min="5" max="5" width="16" style="1" customWidth="1"/>
    <col min="6" max="6" width="6.7109375" style="1" customWidth="1"/>
    <col min="7" max="7" width="16" style="1" customWidth="1"/>
    <col min="8" max="8" width="6.7109375" style="1" customWidth="1"/>
    <col min="9" max="9" width="16" style="1" customWidth="1"/>
    <col min="10" max="10" width="6.7109375" style="1" customWidth="1"/>
    <col min="11" max="11" width="16" style="1" customWidth="1"/>
    <col min="12" max="12" width="6.7109375" style="1" customWidth="1"/>
    <col min="13" max="13" width="16" style="1" customWidth="1"/>
    <col min="14" max="14" width="11.42578125" style="1" customWidth="1"/>
    <col min="15" max="15" width="16" style="1" customWidth="1"/>
    <col min="16" max="16" width="6.7109375" style="1" customWidth="1"/>
    <col min="17" max="17" width="16" style="1" customWidth="1"/>
    <col min="18" max="18" width="6.7109375" style="1" customWidth="1"/>
    <col min="19" max="19" width="16" style="1" customWidth="1"/>
    <col min="20" max="20" width="6.7109375" style="1" customWidth="1"/>
    <col min="21" max="21" width="16" style="1" customWidth="1"/>
    <col min="22" max="22" width="6.7109375" style="1" customWidth="1"/>
    <col min="23" max="23" width="16" style="1" customWidth="1"/>
    <col min="24" max="24" width="6.7109375" style="1" customWidth="1"/>
    <col min="25" max="25" width="16" style="1" customWidth="1"/>
    <col min="26" max="26" width="16.42578125" style="1" bestFit="1" customWidth="1"/>
    <col min="27" max="27" width="6.7109375" style="1" customWidth="1"/>
    <col min="28" max="28" width="16" style="1" customWidth="1"/>
    <col min="29" max="29" width="7" style="1" bestFit="1" customWidth="1"/>
    <col min="30" max="30" width="16" style="1" customWidth="1"/>
    <col min="31" max="31" width="6.28515625" style="1" customWidth="1"/>
    <col min="32" max="16384" width="9.140625" style="1"/>
  </cols>
  <sheetData>
    <row r="1" spans="1:33" ht="15" customHeight="1" x14ac:dyDescent="0.2">
      <c r="A1" s="385" t="s">
        <v>0</v>
      </c>
      <c r="B1" s="386"/>
      <c r="C1" s="386"/>
      <c r="D1" s="386"/>
      <c r="E1" s="386"/>
      <c r="F1" s="386"/>
      <c r="G1" s="386"/>
      <c r="H1" s="386"/>
      <c r="I1" s="386"/>
      <c r="J1" s="386"/>
      <c r="K1" s="386"/>
      <c r="L1" s="386"/>
      <c r="M1" s="386"/>
      <c r="N1" s="386"/>
      <c r="O1" s="386"/>
      <c r="P1" s="386"/>
      <c r="Q1" s="386"/>
      <c r="R1" s="386"/>
      <c r="S1" s="386"/>
      <c r="T1" s="386"/>
      <c r="U1" s="386"/>
      <c r="V1" s="386"/>
      <c r="W1" s="386"/>
      <c r="X1" s="386"/>
      <c r="Y1" s="386"/>
      <c r="Z1" s="386"/>
      <c r="AA1" s="386"/>
      <c r="AB1" s="386"/>
      <c r="AC1" s="386"/>
      <c r="AD1" s="386"/>
      <c r="AE1" s="387"/>
    </row>
    <row r="2" spans="1:33" ht="11.25" customHeight="1" x14ac:dyDescent="0.2">
      <c r="A2" s="388"/>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90"/>
    </row>
    <row r="3" spans="1:33" ht="24" customHeight="1" thickBot="1" x14ac:dyDescent="0.25">
      <c r="A3" s="371" t="str">
        <f>UPPER(TEXT(A7,"AAAA YYYY"))</f>
        <v>EKİM 2024</v>
      </c>
      <c r="B3" s="372"/>
      <c r="C3" s="372"/>
      <c r="D3" s="372"/>
      <c r="E3" s="372"/>
      <c r="F3" s="372"/>
      <c r="G3" s="372"/>
      <c r="H3" s="372"/>
      <c r="I3" s="372"/>
      <c r="J3" s="372"/>
      <c r="K3" s="372"/>
      <c r="L3" s="372"/>
      <c r="M3" s="372"/>
      <c r="N3" s="372"/>
      <c r="O3" s="372"/>
      <c r="P3" s="372"/>
      <c r="Q3" s="372"/>
      <c r="R3" s="372"/>
      <c r="S3" s="372"/>
      <c r="T3" s="372"/>
      <c r="U3" s="372"/>
      <c r="V3" s="372"/>
      <c r="W3" s="372"/>
      <c r="X3" s="372"/>
      <c r="Y3" s="372"/>
      <c r="Z3" s="372"/>
      <c r="AA3" s="372"/>
      <c r="AB3" s="372"/>
      <c r="AC3" s="372"/>
      <c r="AD3" s="372"/>
      <c r="AE3" s="373"/>
    </row>
    <row r="4" spans="1:33" ht="15" customHeight="1" x14ac:dyDescent="0.2">
      <c r="A4" s="384" t="s">
        <v>1</v>
      </c>
      <c r="B4" s="384" t="s">
        <v>2</v>
      </c>
      <c r="C4" s="384"/>
      <c r="D4" s="391" t="s">
        <v>80</v>
      </c>
      <c r="E4" s="391"/>
      <c r="F4" s="384" t="s">
        <v>3</v>
      </c>
      <c r="G4" s="384"/>
      <c r="H4" s="384" t="s">
        <v>4</v>
      </c>
      <c r="I4" s="384"/>
      <c r="J4" s="384" t="s">
        <v>158</v>
      </c>
      <c r="K4" s="384"/>
      <c r="L4" s="384" t="s">
        <v>5</v>
      </c>
      <c r="M4" s="384"/>
      <c r="N4" s="384" t="s">
        <v>148</v>
      </c>
      <c r="O4" s="384"/>
      <c r="P4" s="384" t="s">
        <v>51</v>
      </c>
      <c r="Q4" s="397"/>
      <c r="R4" s="399" t="s">
        <v>54</v>
      </c>
      <c r="S4" s="394"/>
      <c r="T4" s="399" t="s">
        <v>127</v>
      </c>
      <c r="U4" s="394"/>
      <c r="V4" s="393" t="s">
        <v>72</v>
      </c>
      <c r="W4" s="394"/>
      <c r="X4" s="393" t="s">
        <v>138</v>
      </c>
      <c r="Y4" s="394"/>
      <c r="Z4" s="2"/>
      <c r="AA4" s="276"/>
      <c r="AB4" s="277" t="s">
        <v>6</v>
      </c>
      <c r="AC4" s="277"/>
      <c r="AD4" s="278" t="s">
        <v>7</v>
      </c>
      <c r="AE4" s="2"/>
      <c r="AF4" s="3"/>
      <c r="AG4" s="4"/>
    </row>
    <row r="5" spans="1:33" ht="15" customHeight="1" x14ac:dyDescent="0.2">
      <c r="A5" s="377"/>
      <c r="B5" s="377" t="s">
        <v>8</v>
      </c>
      <c r="C5" s="377"/>
      <c r="D5" s="392" t="s">
        <v>81</v>
      </c>
      <c r="E5" s="392"/>
      <c r="F5" s="377" t="s">
        <v>9</v>
      </c>
      <c r="G5" s="377"/>
      <c r="H5" s="377" t="s">
        <v>9</v>
      </c>
      <c r="I5" s="377"/>
      <c r="J5" s="377" t="s">
        <v>9</v>
      </c>
      <c r="K5" s="377"/>
      <c r="L5" s="377" t="s">
        <v>9</v>
      </c>
      <c r="M5" s="377"/>
      <c r="N5" s="377" t="s">
        <v>9</v>
      </c>
      <c r="O5" s="377"/>
      <c r="P5" s="377" t="s">
        <v>52</v>
      </c>
      <c r="Q5" s="398"/>
      <c r="R5" s="400"/>
      <c r="S5" s="396"/>
      <c r="T5" s="400"/>
      <c r="U5" s="396"/>
      <c r="V5" s="395"/>
      <c r="W5" s="396"/>
      <c r="X5" s="395"/>
      <c r="Y5" s="396"/>
      <c r="Z5" s="2"/>
      <c r="AA5" s="202"/>
      <c r="AB5" s="203" t="s">
        <v>59</v>
      </c>
      <c r="AC5" s="204"/>
      <c r="AD5" s="205" t="s">
        <v>58</v>
      </c>
      <c r="AE5" s="2"/>
      <c r="AF5" s="2"/>
      <c r="AG5" s="2"/>
    </row>
    <row r="6" spans="1:33" ht="1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spans="1:33" ht="18" customHeight="1" x14ac:dyDescent="0.2">
      <c r="A7" s="320">
        <v>45566</v>
      </c>
      <c r="B7" s="91">
        <v>25</v>
      </c>
      <c r="C7" s="92">
        <v>51055</v>
      </c>
      <c r="D7" s="91">
        <v>0</v>
      </c>
      <c r="E7" s="92">
        <v>0</v>
      </c>
      <c r="F7" s="71">
        <v>759</v>
      </c>
      <c r="G7" s="75">
        <v>177625</v>
      </c>
      <c r="H7" s="69">
        <v>0</v>
      </c>
      <c r="I7" s="70">
        <v>0</v>
      </c>
      <c r="J7" s="71">
        <v>167</v>
      </c>
      <c r="K7" s="72">
        <v>16375</v>
      </c>
      <c r="L7" s="71">
        <v>47</v>
      </c>
      <c r="M7" s="72">
        <v>5310</v>
      </c>
      <c r="N7" s="69">
        <v>6</v>
      </c>
      <c r="O7" s="73">
        <v>410</v>
      </c>
      <c r="P7" s="74">
        <v>0</v>
      </c>
      <c r="Q7" s="75">
        <v>0</v>
      </c>
      <c r="R7" s="165">
        <v>1</v>
      </c>
      <c r="S7" s="166">
        <v>29193.75</v>
      </c>
      <c r="T7" s="76">
        <v>9</v>
      </c>
      <c r="U7" s="77">
        <v>817480</v>
      </c>
      <c r="V7" s="71">
        <v>15</v>
      </c>
      <c r="W7" s="78">
        <v>32245</v>
      </c>
      <c r="X7" s="79">
        <v>432</v>
      </c>
      <c r="Y7" s="78">
        <v>128930</v>
      </c>
      <c r="Z7" s="2"/>
      <c r="AA7" s="16">
        <f>+B7+F7+H7+N7+P7+R7+L7+J7+T7</f>
        <v>1014</v>
      </c>
      <c r="AB7" s="128">
        <f>+S7+Q7+O7+M7+I7+G7+C7+K7+U7</f>
        <v>1097448.75</v>
      </c>
      <c r="AC7" s="16">
        <f>+AA7-B7-P7-R7-D7</f>
        <v>988</v>
      </c>
      <c r="AD7" s="128">
        <f>+AB7-C7-Q7-S7-E7-U7</f>
        <v>199720</v>
      </c>
      <c r="AE7" s="2"/>
      <c r="AF7" s="3"/>
      <c r="AG7" s="4"/>
    </row>
    <row r="8" spans="1:33" ht="18" customHeight="1" x14ac:dyDescent="0.2">
      <c r="A8" s="286">
        <f>A7+1</f>
        <v>45567</v>
      </c>
      <c r="B8" s="93">
        <v>26</v>
      </c>
      <c r="C8" s="94">
        <v>57678.75</v>
      </c>
      <c r="D8" s="93">
        <v>0</v>
      </c>
      <c r="E8" s="94">
        <v>0</v>
      </c>
      <c r="F8" s="82">
        <v>652</v>
      </c>
      <c r="G8" s="83">
        <v>137850</v>
      </c>
      <c r="H8" s="80">
        <v>0</v>
      </c>
      <c r="I8" s="81">
        <v>0</v>
      </c>
      <c r="J8" s="82">
        <v>114</v>
      </c>
      <c r="K8" s="83">
        <v>10670</v>
      </c>
      <c r="L8" s="82">
        <v>33</v>
      </c>
      <c r="M8" s="83">
        <v>2985</v>
      </c>
      <c r="N8" s="80">
        <v>6</v>
      </c>
      <c r="O8" s="84">
        <v>435</v>
      </c>
      <c r="P8" s="85">
        <v>0</v>
      </c>
      <c r="Q8" s="83">
        <v>0</v>
      </c>
      <c r="R8" s="167">
        <v>0</v>
      </c>
      <c r="S8" s="168">
        <v>0</v>
      </c>
      <c r="T8" s="86">
        <v>0</v>
      </c>
      <c r="U8" s="87">
        <v>0</v>
      </c>
      <c r="V8" s="82">
        <v>18</v>
      </c>
      <c r="W8" s="88">
        <v>48708.75</v>
      </c>
      <c r="X8" s="89">
        <v>330</v>
      </c>
      <c r="Y8" s="88">
        <v>99605</v>
      </c>
      <c r="Z8" s="2"/>
      <c r="AA8" s="64">
        <f t="shared" ref="AA8:AA34" si="0">+B8+F8+H8+N8+P8+R8+L8+J8+T8</f>
        <v>831</v>
      </c>
      <c r="AB8" s="129">
        <f t="shared" ref="AB8:AB33" si="1">+S8+Q8+O8+M8+I8+G8+C8+K8+U8</f>
        <v>209618.75</v>
      </c>
      <c r="AC8" s="64">
        <f>+AA8-B8-P8-R8-D8</f>
        <v>805</v>
      </c>
      <c r="AD8" s="129">
        <f>+AB8-C8-Q8-S8-E8-U8</f>
        <v>151940</v>
      </c>
      <c r="AE8" s="2"/>
      <c r="AF8" s="2"/>
      <c r="AG8" s="2"/>
    </row>
    <row r="9" spans="1:33" ht="18" customHeight="1" x14ac:dyDescent="0.2">
      <c r="A9" s="286">
        <f t="shared" ref="A9:A34" si="2">A8+1</f>
        <v>45568</v>
      </c>
      <c r="B9" s="93">
        <v>28</v>
      </c>
      <c r="C9" s="94">
        <v>39717.5</v>
      </c>
      <c r="D9" s="93">
        <v>0</v>
      </c>
      <c r="E9" s="94">
        <v>0</v>
      </c>
      <c r="F9" s="82">
        <v>649</v>
      </c>
      <c r="G9" s="83">
        <v>152725</v>
      </c>
      <c r="H9" s="80">
        <v>0</v>
      </c>
      <c r="I9" s="81">
        <v>0</v>
      </c>
      <c r="J9" s="82">
        <v>122</v>
      </c>
      <c r="K9" s="83">
        <v>11975</v>
      </c>
      <c r="L9" s="82">
        <v>47</v>
      </c>
      <c r="M9" s="83">
        <v>4605</v>
      </c>
      <c r="N9" s="80">
        <v>8</v>
      </c>
      <c r="O9" s="84">
        <v>1595</v>
      </c>
      <c r="P9" s="85">
        <v>0</v>
      </c>
      <c r="Q9" s="83">
        <v>0</v>
      </c>
      <c r="R9" s="167">
        <v>2</v>
      </c>
      <c r="S9" s="168">
        <v>10400</v>
      </c>
      <c r="T9" s="86">
        <v>0</v>
      </c>
      <c r="U9" s="87">
        <v>0</v>
      </c>
      <c r="V9" s="82">
        <v>22</v>
      </c>
      <c r="W9" s="88">
        <v>34867.5</v>
      </c>
      <c r="X9" s="89">
        <v>376</v>
      </c>
      <c r="Y9" s="88">
        <v>119445</v>
      </c>
      <c r="Z9" s="2"/>
      <c r="AA9" s="64">
        <f t="shared" si="0"/>
        <v>856</v>
      </c>
      <c r="AB9" s="129">
        <f t="shared" si="1"/>
        <v>221017.5</v>
      </c>
      <c r="AC9" s="64">
        <f t="shared" ref="AC9:AC34" si="3">+AA9-B9-P9-R9-D9</f>
        <v>826</v>
      </c>
      <c r="AD9" s="129">
        <f t="shared" ref="AD9:AD34" si="4">+AB9-C9-Q9-S9-E9-U9</f>
        <v>170900</v>
      </c>
      <c r="AE9" s="2"/>
      <c r="AF9" s="3"/>
      <c r="AG9" s="4"/>
    </row>
    <row r="10" spans="1:33" ht="18" customHeight="1" x14ac:dyDescent="0.2">
      <c r="A10" s="286">
        <f t="shared" si="2"/>
        <v>45569</v>
      </c>
      <c r="B10" s="93">
        <v>31</v>
      </c>
      <c r="C10" s="94">
        <v>42228.75</v>
      </c>
      <c r="D10" s="93">
        <v>0</v>
      </c>
      <c r="E10" s="94">
        <v>0</v>
      </c>
      <c r="F10" s="82">
        <v>531</v>
      </c>
      <c r="G10" s="83">
        <v>139540</v>
      </c>
      <c r="H10" s="80">
        <v>0</v>
      </c>
      <c r="I10" s="81">
        <v>0</v>
      </c>
      <c r="J10" s="82">
        <v>154</v>
      </c>
      <c r="K10" s="83">
        <v>15235</v>
      </c>
      <c r="L10" s="82">
        <v>22</v>
      </c>
      <c r="M10" s="83">
        <v>2095</v>
      </c>
      <c r="N10" s="80">
        <v>12</v>
      </c>
      <c r="O10" s="84">
        <v>1475</v>
      </c>
      <c r="P10" s="85">
        <v>0</v>
      </c>
      <c r="Q10" s="83">
        <v>0</v>
      </c>
      <c r="R10" s="167">
        <v>0</v>
      </c>
      <c r="S10" s="168">
        <v>0</v>
      </c>
      <c r="T10" s="86">
        <v>0</v>
      </c>
      <c r="U10" s="87">
        <v>0</v>
      </c>
      <c r="V10" s="82">
        <v>26</v>
      </c>
      <c r="W10" s="88">
        <v>37413.75</v>
      </c>
      <c r="X10" s="89">
        <f>253+8+69</f>
        <v>330</v>
      </c>
      <c r="Y10" s="88">
        <f>6765+785+104055</f>
        <v>111605</v>
      </c>
      <c r="Z10" s="2"/>
      <c r="AA10" s="64">
        <f t="shared" si="0"/>
        <v>750</v>
      </c>
      <c r="AB10" s="129">
        <f t="shared" si="1"/>
        <v>200573.75</v>
      </c>
      <c r="AC10" s="64">
        <f t="shared" si="3"/>
        <v>719</v>
      </c>
      <c r="AD10" s="129">
        <f t="shared" si="4"/>
        <v>158345</v>
      </c>
      <c r="AE10" s="2"/>
      <c r="AF10" s="2"/>
      <c r="AG10" s="2"/>
    </row>
    <row r="11" spans="1:33" ht="18" customHeight="1" x14ac:dyDescent="0.2">
      <c r="A11" s="286">
        <f t="shared" si="2"/>
        <v>45570</v>
      </c>
      <c r="B11" s="93">
        <v>30</v>
      </c>
      <c r="C11" s="94">
        <v>51763.75</v>
      </c>
      <c r="D11" s="93">
        <v>0</v>
      </c>
      <c r="E11" s="94">
        <v>0</v>
      </c>
      <c r="F11" s="82">
        <v>685</v>
      </c>
      <c r="G11" s="83">
        <v>192025</v>
      </c>
      <c r="H11" s="80">
        <v>0</v>
      </c>
      <c r="I11" s="81">
        <v>0</v>
      </c>
      <c r="J11" s="82">
        <v>178</v>
      </c>
      <c r="K11" s="83">
        <v>16715</v>
      </c>
      <c r="L11" s="82">
        <v>69</v>
      </c>
      <c r="M11" s="83">
        <v>11005</v>
      </c>
      <c r="N11" s="80">
        <v>3</v>
      </c>
      <c r="O11" s="84">
        <v>1060</v>
      </c>
      <c r="P11" s="85">
        <v>0</v>
      </c>
      <c r="Q11" s="83">
        <v>0</v>
      </c>
      <c r="R11" s="167">
        <v>2</v>
      </c>
      <c r="S11" s="168">
        <v>1740</v>
      </c>
      <c r="T11" s="86">
        <v>0</v>
      </c>
      <c r="U11" s="87">
        <v>0</v>
      </c>
      <c r="V11" s="82">
        <v>23</v>
      </c>
      <c r="W11" s="88">
        <v>43513.75</v>
      </c>
      <c r="X11" s="89">
        <v>410</v>
      </c>
      <c r="Y11" s="88">
        <v>156300</v>
      </c>
      <c r="Z11" s="2"/>
      <c r="AA11" s="64">
        <f t="shared" si="0"/>
        <v>967</v>
      </c>
      <c r="AB11" s="129">
        <f t="shared" si="1"/>
        <v>274308.75</v>
      </c>
      <c r="AC11" s="64">
        <f t="shared" si="3"/>
        <v>935</v>
      </c>
      <c r="AD11" s="129">
        <f t="shared" si="4"/>
        <v>220805</v>
      </c>
      <c r="AE11" s="2"/>
      <c r="AF11" s="3"/>
      <c r="AG11" s="4"/>
    </row>
    <row r="12" spans="1:33" ht="18" customHeight="1" x14ac:dyDescent="0.2">
      <c r="A12" s="286">
        <f t="shared" si="2"/>
        <v>45571</v>
      </c>
      <c r="B12" s="93">
        <v>16</v>
      </c>
      <c r="C12" s="94">
        <v>40966.25</v>
      </c>
      <c r="D12" s="93">
        <v>0</v>
      </c>
      <c r="E12" s="94">
        <v>0</v>
      </c>
      <c r="F12" s="82">
        <v>860</v>
      </c>
      <c r="G12" s="83">
        <v>329055</v>
      </c>
      <c r="H12" s="80">
        <v>0</v>
      </c>
      <c r="I12" s="81">
        <v>0</v>
      </c>
      <c r="J12" s="82">
        <v>195</v>
      </c>
      <c r="K12" s="83">
        <v>26135</v>
      </c>
      <c r="L12" s="82">
        <v>41</v>
      </c>
      <c r="M12" s="83">
        <v>3970</v>
      </c>
      <c r="N12" s="80">
        <v>5</v>
      </c>
      <c r="O12" s="84">
        <v>2240</v>
      </c>
      <c r="P12" s="85">
        <v>0</v>
      </c>
      <c r="Q12" s="83">
        <v>0</v>
      </c>
      <c r="R12" s="167">
        <v>0</v>
      </c>
      <c r="S12" s="168">
        <v>0</v>
      </c>
      <c r="T12" s="86">
        <v>0</v>
      </c>
      <c r="U12" s="87">
        <v>0</v>
      </c>
      <c r="V12" s="82">
        <v>13</v>
      </c>
      <c r="W12" s="88">
        <v>37766.25</v>
      </c>
      <c r="X12" s="89">
        <f>461+96+11</f>
        <v>568</v>
      </c>
      <c r="Y12" s="88">
        <f>254000+17140+1000</f>
        <v>272140</v>
      </c>
      <c r="Z12" s="2"/>
      <c r="AA12" s="64">
        <f t="shared" si="0"/>
        <v>1117</v>
      </c>
      <c r="AB12" s="129">
        <f t="shared" si="1"/>
        <v>402366.25</v>
      </c>
      <c r="AC12" s="64">
        <f t="shared" si="3"/>
        <v>1101</v>
      </c>
      <c r="AD12" s="129">
        <f t="shared" si="4"/>
        <v>361400</v>
      </c>
      <c r="AE12" s="2"/>
      <c r="AF12" s="2"/>
      <c r="AG12" s="2"/>
    </row>
    <row r="13" spans="1:33" ht="18" customHeight="1" x14ac:dyDescent="0.2">
      <c r="A13" s="286">
        <f t="shared" si="2"/>
        <v>45572</v>
      </c>
      <c r="B13" s="93">
        <v>24</v>
      </c>
      <c r="C13" s="94">
        <v>39880</v>
      </c>
      <c r="D13" s="93">
        <v>0</v>
      </c>
      <c r="E13" s="94">
        <v>0</v>
      </c>
      <c r="F13" s="82">
        <v>686</v>
      </c>
      <c r="G13" s="83">
        <v>230880</v>
      </c>
      <c r="H13" s="80">
        <v>0</v>
      </c>
      <c r="I13" s="81">
        <v>0</v>
      </c>
      <c r="J13" s="82">
        <v>141</v>
      </c>
      <c r="K13" s="83">
        <v>23720</v>
      </c>
      <c r="L13" s="82">
        <v>66</v>
      </c>
      <c r="M13" s="83">
        <v>6975</v>
      </c>
      <c r="N13" s="80">
        <v>4</v>
      </c>
      <c r="O13" s="84">
        <v>1085</v>
      </c>
      <c r="P13" s="85">
        <v>1</v>
      </c>
      <c r="Q13" s="83">
        <v>525</v>
      </c>
      <c r="R13" s="167">
        <v>1</v>
      </c>
      <c r="S13" s="168">
        <v>3200</v>
      </c>
      <c r="T13" s="86">
        <v>0</v>
      </c>
      <c r="U13" s="87">
        <v>0</v>
      </c>
      <c r="V13" s="82">
        <v>19</v>
      </c>
      <c r="W13" s="88">
        <v>38255</v>
      </c>
      <c r="X13" s="89">
        <f>348+19+73</f>
        <v>440</v>
      </c>
      <c r="Y13" s="88">
        <f>16535+2390+163360</f>
        <v>182285</v>
      </c>
      <c r="Z13" s="2"/>
      <c r="AA13" s="64">
        <f t="shared" si="0"/>
        <v>923</v>
      </c>
      <c r="AB13" s="129">
        <f t="shared" si="1"/>
        <v>306265</v>
      </c>
      <c r="AC13" s="64">
        <f t="shared" si="3"/>
        <v>897</v>
      </c>
      <c r="AD13" s="129">
        <f t="shared" si="4"/>
        <v>262660</v>
      </c>
      <c r="AE13" s="2"/>
      <c r="AF13" s="3"/>
      <c r="AG13" s="4"/>
    </row>
    <row r="14" spans="1:33" ht="18" customHeight="1" x14ac:dyDescent="0.2">
      <c r="A14" s="286">
        <f t="shared" si="2"/>
        <v>45573</v>
      </c>
      <c r="B14" s="93">
        <v>12</v>
      </c>
      <c r="C14" s="94">
        <v>21777.5</v>
      </c>
      <c r="D14" s="93">
        <v>0</v>
      </c>
      <c r="E14" s="94">
        <v>0</v>
      </c>
      <c r="F14" s="82">
        <v>605</v>
      </c>
      <c r="G14" s="83">
        <v>173900</v>
      </c>
      <c r="H14" s="80">
        <v>0</v>
      </c>
      <c r="I14" s="81">
        <v>0</v>
      </c>
      <c r="J14" s="82">
        <v>158</v>
      </c>
      <c r="K14" s="83">
        <v>15295</v>
      </c>
      <c r="L14" s="82">
        <v>44</v>
      </c>
      <c r="M14" s="83">
        <v>4130</v>
      </c>
      <c r="N14" s="80">
        <v>4</v>
      </c>
      <c r="O14" s="84">
        <v>1645</v>
      </c>
      <c r="P14" s="85">
        <v>0</v>
      </c>
      <c r="Q14" s="83">
        <v>0</v>
      </c>
      <c r="R14" s="167">
        <v>1</v>
      </c>
      <c r="S14" s="168">
        <v>3918.75</v>
      </c>
      <c r="T14" s="86">
        <v>0</v>
      </c>
      <c r="U14" s="87">
        <v>0</v>
      </c>
      <c r="V14" s="82">
        <v>8</v>
      </c>
      <c r="W14" s="88">
        <v>18552.5</v>
      </c>
      <c r="X14" s="89">
        <v>384</v>
      </c>
      <c r="Y14" s="88">
        <v>143435</v>
      </c>
      <c r="Z14" s="2"/>
      <c r="AA14" s="64">
        <f t="shared" si="0"/>
        <v>824</v>
      </c>
      <c r="AB14" s="129">
        <f t="shared" si="1"/>
        <v>220666.25</v>
      </c>
      <c r="AC14" s="64">
        <f t="shared" si="3"/>
        <v>811</v>
      </c>
      <c r="AD14" s="129">
        <f t="shared" si="4"/>
        <v>194970</v>
      </c>
      <c r="AE14" s="2"/>
      <c r="AF14" s="2"/>
      <c r="AG14" s="2"/>
    </row>
    <row r="15" spans="1:33" ht="18" customHeight="1" x14ac:dyDescent="0.2">
      <c r="A15" s="286">
        <f t="shared" si="2"/>
        <v>45574</v>
      </c>
      <c r="B15" s="93">
        <v>28</v>
      </c>
      <c r="C15" s="94">
        <v>53360</v>
      </c>
      <c r="D15" s="93">
        <v>0</v>
      </c>
      <c r="E15" s="94">
        <v>0</v>
      </c>
      <c r="F15" s="82">
        <v>599</v>
      </c>
      <c r="G15" s="83">
        <v>163780</v>
      </c>
      <c r="H15" s="80">
        <v>0</v>
      </c>
      <c r="I15" s="81">
        <v>0</v>
      </c>
      <c r="J15" s="82">
        <v>105</v>
      </c>
      <c r="K15" s="83">
        <v>10060</v>
      </c>
      <c r="L15" s="82">
        <v>56</v>
      </c>
      <c r="M15" s="83">
        <v>5350</v>
      </c>
      <c r="N15" s="80">
        <v>11</v>
      </c>
      <c r="O15" s="84">
        <v>1930</v>
      </c>
      <c r="P15" s="85">
        <v>0</v>
      </c>
      <c r="Q15" s="83">
        <v>0</v>
      </c>
      <c r="R15" s="167">
        <v>0</v>
      </c>
      <c r="S15" s="168">
        <v>0</v>
      </c>
      <c r="T15" s="86">
        <v>0</v>
      </c>
      <c r="U15" s="87">
        <v>0</v>
      </c>
      <c r="V15" s="82">
        <v>23</v>
      </c>
      <c r="W15" s="88">
        <v>46960</v>
      </c>
      <c r="X15" s="89">
        <v>359</v>
      </c>
      <c r="Y15" s="88">
        <v>128735</v>
      </c>
      <c r="Z15" s="2"/>
      <c r="AA15" s="64">
        <f t="shared" si="0"/>
        <v>799</v>
      </c>
      <c r="AB15" s="129">
        <f t="shared" si="1"/>
        <v>234480</v>
      </c>
      <c r="AC15" s="64">
        <f t="shared" si="3"/>
        <v>771</v>
      </c>
      <c r="AD15" s="129">
        <f t="shared" si="4"/>
        <v>181120</v>
      </c>
      <c r="AE15" s="2"/>
      <c r="AF15" s="3"/>
      <c r="AG15" s="4"/>
    </row>
    <row r="16" spans="1:33" ht="18" customHeight="1" x14ac:dyDescent="0.2">
      <c r="A16" s="286">
        <f t="shared" si="2"/>
        <v>45575</v>
      </c>
      <c r="B16" s="93">
        <v>30</v>
      </c>
      <c r="C16" s="94">
        <v>40855</v>
      </c>
      <c r="D16" s="93">
        <v>0</v>
      </c>
      <c r="E16" s="94">
        <v>0</v>
      </c>
      <c r="F16" s="82">
        <v>647</v>
      </c>
      <c r="G16" s="83">
        <v>177120</v>
      </c>
      <c r="H16" s="80">
        <v>0</v>
      </c>
      <c r="I16" s="81">
        <v>0</v>
      </c>
      <c r="J16" s="82">
        <v>102</v>
      </c>
      <c r="K16" s="83">
        <v>8805</v>
      </c>
      <c r="L16" s="82">
        <v>56</v>
      </c>
      <c r="M16" s="83">
        <v>6820</v>
      </c>
      <c r="N16" s="80">
        <v>7</v>
      </c>
      <c r="O16" s="84">
        <v>3825</v>
      </c>
      <c r="P16" s="85">
        <v>0</v>
      </c>
      <c r="Q16" s="83">
        <v>0</v>
      </c>
      <c r="R16" s="167">
        <v>2</v>
      </c>
      <c r="S16" s="168">
        <v>1340</v>
      </c>
      <c r="T16" s="86">
        <v>0</v>
      </c>
      <c r="U16" s="87">
        <v>0</v>
      </c>
      <c r="V16" s="82">
        <v>27</v>
      </c>
      <c r="W16" s="88">
        <v>38617.5</v>
      </c>
      <c r="X16" s="89">
        <v>343</v>
      </c>
      <c r="Y16" s="88">
        <v>132340</v>
      </c>
      <c r="Z16" s="2"/>
      <c r="AA16" s="64">
        <f t="shared" si="0"/>
        <v>844</v>
      </c>
      <c r="AB16" s="129">
        <f t="shared" si="1"/>
        <v>238765</v>
      </c>
      <c r="AC16" s="64">
        <f t="shared" si="3"/>
        <v>812</v>
      </c>
      <c r="AD16" s="129">
        <f t="shared" si="4"/>
        <v>196570</v>
      </c>
      <c r="AE16" s="2"/>
      <c r="AF16" s="2"/>
      <c r="AG16" s="2"/>
    </row>
    <row r="17" spans="1:33" ht="18" customHeight="1" x14ac:dyDescent="0.2">
      <c r="A17" s="286">
        <f t="shared" si="2"/>
        <v>45576</v>
      </c>
      <c r="B17" s="93">
        <v>25</v>
      </c>
      <c r="C17" s="94">
        <v>45077.5</v>
      </c>
      <c r="D17" s="93">
        <v>0</v>
      </c>
      <c r="E17" s="94">
        <v>0</v>
      </c>
      <c r="F17" s="82">
        <v>566</v>
      </c>
      <c r="G17" s="83">
        <v>199680</v>
      </c>
      <c r="H17" s="80">
        <v>0</v>
      </c>
      <c r="I17" s="81">
        <v>0</v>
      </c>
      <c r="J17" s="82">
        <v>157</v>
      </c>
      <c r="K17" s="83">
        <v>14600</v>
      </c>
      <c r="L17" s="82">
        <v>36</v>
      </c>
      <c r="M17" s="83">
        <v>3460</v>
      </c>
      <c r="N17" s="80">
        <v>1</v>
      </c>
      <c r="O17" s="84">
        <v>60</v>
      </c>
      <c r="P17" s="85">
        <v>0</v>
      </c>
      <c r="Q17" s="83">
        <v>0</v>
      </c>
      <c r="R17" s="167">
        <v>0</v>
      </c>
      <c r="S17" s="168">
        <v>0</v>
      </c>
      <c r="T17" s="86">
        <v>0</v>
      </c>
      <c r="U17" s="87">
        <v>0</v>
      </c>
      <c r="V17" s="82">
        <v>19</v>
      </c>
      <c r="W17" s="88">
        <v>38398.75</v>
      </c>
      <c r="X17" s="89">
        <v>362</v>
      </c>
      <c r="Y17" s="88">
        <v>162275</v>
      </c>
      <c r="Z17" s="2"/>
      <c r="AA17" s="64">
        <f t="shared" si="0"/>
        <v>785</v>
      </c>
      <c r="AB17" s="129">
        <f t="shared" si="1"/>
        <v>262877.5</v>
      </c>
      <c r="AC17" s="64">
        <f t="shared" si="3"/>
        <v>760</v>
      </c>
      <c r="AD17" s="129">
        <f t="shared" si="4"/>
        <v>217800</v>
      </c>
      <c r="AE17" s="2"/>
      <c r="AF17" s="3"/>
      <c r="AG17" s="4"/>
    </row>
    <row r="18" spans="1:33" ht="18" customHeight="1" x14ac:dyDescent="0.2">
      <c r="A18" s="286">
        <f t="shared" si="2"/>
        <v>45577</v>
      </c>
      <c r="B18" s="93">
        <v>28</v>
      </c>
      <c r="C18" s="94">
        <v>40417.5</v>
      </c>
      <c r="D18" s="93">
        <v>0</v>
      </c>
      <c r="E18" s="94">
        <v>0</v>
      </c>
      <c r="F18" s="82">
        <v>649</v>
      </c>
      <c r="G18" s="83">
        <v>181280</v>
      </c>
      <c r="H18" s="80">
        <v>0</v>
      </c>
      <c r="I18" s="81">
        <v>0</v>
      </c>
      <c r="J18" s="82">
        <v>186</v>
      </c>
      <c r="K18" s="83">
        <v>16905</v>
      </c>
      <c r="L18" s="82">
        <v>62</v>
      </c>
      <c r="M18" s="83">
        <v>6640</v>
      </c>
      <c r="N18" s="80">
        <v>7</v>
      </c>
      <c r="O18" s="84">
        <v>2315</v>
      </c>
      <c r="P18" s="85">
        <v>0</v>
      </c>
      <c r="Q18" s="83">
        <v>0</v>
      </c>
      <c r="R18" s="167">
        <v>2</v>
      </c>
      <c r="S18" s="168">
        <v>3200</v>
      </c>
      <c r="T18" s="86">
        <v>0</v>
      </c>
      <c r="U18" s="87">
        <v>0</v>
      </c>
      <c r="V18" s="82">
        <v>22</v>
      </c>
      <c r="W18" s="88">
        <v>35620</v>
      </c>
      <c r="X18" s="89">
        <f>299+20+99</f>
        <v>418</v>
      </c>
      <c r="Y18" s="88">
        <f>9325+1795+132500</f>
        <v>143620</v>
      </c>
      <c r="Z18" s="2"/>
      <c r="AA18" s="64">
        <f t="shared" si="0"/>
        <v>934</v>
      </c>
      <c r="AB18" s="129">
        <f t="shared" si="1"/>
        <v>250757.5</v>
      </c>
      <c r="AC18" s="64">
        <f t="shared" si="3"/>
        <v>904</v>
      </c>
      <c r="AD18" s="129">
        <f t="shared" si="4"/>
        <v>207140</v>
      </c>
      <c r="AE18" s="2"/>
      <c r="AF18" s="2"/>
      <c r="AG18" s="2"/>
    </row>
    <row r="19" spans="1:33" ht="18" customHeight="1" x14ac:dyDescent="0.2">
      <c r="A19" s="286">
        <f t="shared" si="2"/>
        <v>45578</v>
      </c>
      <c r="B19" s="93">
        <v>18</v>
      </c>
      <c r="C19" s="94">
        <v>26237.5</v>
      </c>
      <c r="D19" s="93">
        <v>0</v>
      </c>
      <c r="E19" s="94">
        <v>0</v>
      </c>
      <c r="F19" s="82">
        <v>727</v>
      </c>
      <c r="G19" s="83">
        <v>260545</v>
      </c>
      <c r="H19" s="80">
        <v>52</v>
      </c>
      <c r="I19" s="81">
        <v>21565</v>
      </c>
      <c r="J19" s="82">
        <v>166</v>
      </c>
      <c r="K19" s="83">
        <v>16950</v>
      </c>
      <c r="L19" s="82">
        <v>33</v>
      </c>
      <c r="M19" s="83">
        <v>3675</v>
      </c>
      <c r="N19" s="80">
        <v>9</v>
      </c>
      <c r="O19" s="84">
        <v>2720</v>
      </c>
      <c r="P19" s="85">
        <v>0</v>
      </c>
      <c r="Q19" s="83">
        <v>0</v>
      </c>
      <c r="R19" s="167">
        <v>0</v>
      </c>
      <c r="S19" s="168">
        <v>0</v>
      </c>
      <c r="T19" s="86">
        <v>1</v>
      </c>
      <c r="U19" s="87">
        <v>3200</v>
      </c>
      <c r="V19" s="82">
        <v>14</v>
      </c>
      <c r="W19" s="88">
        <v>21432.5</v>
      </c>
      <c r="X19" s="89">
        <f>364+35+11+82</f>
        <v>492</v>
      </c>
      <c r="Y19" s="88">
        <f>8770+1710+17510+192535</f>
        <v>220525</v>
      </c>
      <c r="Z19" s="2"/>
      <c r="AA19" s="64">
        <f t="shared" si="0"/>
        <v>1006</v>
      </c>
      <c r="AB19" s="129">
        <f t="shared" si="1"/>
        <v>334892.5</v>
      </c>
      <c r="AC19" s="64">
        <f t="shared" si="3"/>
        <v>988</v>
      </c>
      <c r="AD19" s="129">
        <f t="shared" si="4"/>
        <v>305455</v>
      </c>
      <c r="AE19" s="2"/>
      <c r="AF19" s="3"/>
      <c r="AG19" s="4"/>
    </row>
    <row r="20" spans="1:33" ht="18" customHeight="1" x14ac:dyDescent="0.2">
      <c r="A20" s="286">
        <f t="shared" si="2"/>
        <v>45579</v>
      </c>
      <c r="B20" s="93">
        <v>46</v>
      </c>
      <c r="C20" s="94">
        <v>89983.75</v>
      </c>
      <c r="D20" s="93">
        <v>0</v>
      </c>
      <c r="E20" s="94">
        <v>0</v>
      </c>
      <c r="F20" s="82">
        <v>715</v>
      </c>
      <c r="G20" s="83">
        <v>248375</v>
      </c>
      <c r="H20" s="80">
        <v>0</v>
      </c>
      <c r="I20" s="81">
        <v>0</v>
      </c>
      <c r="J20" s="82">
        <v>174</v>
      </c>
      <c r="K20" s="83">
        <v>19010</v>
      </c>
      <c r="L20" s="82">
        <v>67</v>
      </c>
      <c r="M20" s="83">
        <v>7155</v>
      </c>
      <c r="N20" s="80">
        <v>8</v>
      </c>
      <c r="O20" s="84">
        <v>3610</v>
      </c>
      <c r="P20" s="85">
        <v>0</v>
      </c>
      <c r="Q20" s="83">
        <v>0</v>
      </c>
      <c r="R20" s="167">
        <v>2</v>
      </c>
      <c r="S20" s="168">
        <v>977.5</v>
      </c>
      <c r="T20" s="86">
        <v>0</v>
      </c>
      <c r="U20" s="87">
        <v>0</v>
      </c>
      <c r="V20" s="82">
        <v>32</v>
      </c>
      <c r="W20" s="88">
        <v>76498.75</v>
      </c>
      <c r="X20" s="370">
        <f>382+90</f>
        <v>472</v>
      </c>
      <c r="Y20" s="88">
        <f>176730+2530+9480</f>
        <v>188740</v>
      </c>
      <c r="Z20" s="2"/>
      <c r="AA20" s="64">
        <f t="shared" si="0"/>
        <v>1012</v>
      </c>
      <c r="AB20" s="129">
        <f t="shared" si="1"/>
        <v>369111.25</v>
      </c>
      <c r="AC20" s="64">
        <f t="shared" si="3"/>
        <v>964</v>
      </c>
      <c r="AD20" s="129">
        <f t="shared" si="4"/>
        <v>278150</v>
      </c>
      <c r="AE20" s="2"/>
      <c r="AF20" s="2"/>
      <c r="AG20" s="2"/>
    </row>
    <row r="21" spans="1:33" ht="18" customHeight="1" x14ac:dyDescent="0.2">
      <c r="A21" s="286">
        <f t="shared" si="2"/>
        <v>45580</v>
      </c>
      <c r="B21" s="93">
        <v>26</v>
      </c>
      <c r="C21" s="94">
        <f>50725</f>
        <v>50725</v>
      </c>
      <c r="D21" s="93">
        <v>0</v>
      </c>
      <c r="E21" s="94">
        <v>0</v>
      </c>
      <c r="F21" s="82">
        <v>571</v>
      </c>
      <c r="G21" s="83">
        <v>156345</v>
      </c>
      <c r="H21" s="80">
        <v>0</v>
      </c>
      <c r="I21" s="81">
        <v>0</v>
      </c>
      <c r="J21" s="82">
        <v>129</v>
      </c>
      <c r="K21" s="83">
        <v>12130</v>
      </c>
      <c r="L21" s="82">
        <v>38</v>
      </c>
      <c r="M21" s="83">
        <v>3645</v>
      </c>
      <c r="N21" s="80">
        <v>8</v>
      </c>
      <c r="O21" s="84">
        <v>5605</v>
      </c>
      <c r="P21" s="85">
        <v>0</v>
      </c>
      <c r="Q21" s="83">
        <v>0</v>
      </c>
      <c r="R21" s="167">
        <v>2</v>
      </c>
      <c r="S21" s="168">
        <v>4718.75</v>
      </c>
      <c r="T21" s="86">
        <v>0</v>
      </c>
      <c r="U21" s="87">
        <v>0</v>
      </c>
      <c r="V21" s="82">
        <v>21</v>
      </c>
      <c r="W21" s="88">
        <v>42631.25</v>
      </c>
      <c r="X21" s="89">
        <f>274+13+69</f>
        <v>356</v>
      </c>
      <c r="Y21" s="88">
        <f>6385+1270+115730</f>
        <v>123385</v>
      </c>
      <c r="Z21" s="2"/>
      <c r="AA21" s="64">
        <f t="shared" si="0"/>
        <v>774</v>
      </c>
      <c r="AB21" s="129">
        <f t="shared" si="1"/>
        <v>233168.75</v>
      </c>
      <c r="AC21" s="64">
        <f t="shared" si="3"/>
        <v>746</v>
      </c>
      <c r="AD21" s="129">
        <f t="shared" si="4"/>
        <v>177725</v>
      </c>
      <c r="AE21" s="2"/>
      <c r="AF21" s="3"/>
      <c r="AG21" s="4"/>
    </row>
    <row r="22" spans="1:33" ht="18" customHeight="1" x14ac:dyDescent="0.2">
      <c r="A22" s="286">
        <f t="shared" si="2"/>
        <v>45581</v>
      </c>
      <c r="B22" s="93">
        <v>22</v>
      </c>
      <c r="C22" s="94">
        <v>49571.25</v>
      </c>
      <c r="D22" s="93">
        <v>0</v>
      </c>
      <c r="E22" s="94">
        <v>0</v>
      </c>
      <c r="F22" s="82">
        <v>575</v>
      </c>
      <c r="G22" s="83">
        <v>142740</v>
      </c>
      <c r="H22" s="80">
        <v>0</v>
      </c>
      <c r="I22" s="81">
        <v>0</v>
      </c>
      <c r="J22" s="82">
        <v>136</v>
      </c>
      <c r="K22" s="83">
        <v>12725</v>
      </c>
      <c r="L22" s="82">
        <v>49</v>
      </c>
      <c r="M22" s="83">
        <v>4500</v>
      </c>
      <c r="N22" s="80">
        <v>4</v>
      </c>
      <c r="O22" s="84">
        <v>3200</v>
      </c>
      <c r="P22" s="85">
        <v>0</v>
      </c>
      <c r="Q22" s="83">
        <v>0</v>
      </c>
      <c r="R22" s="167">
        <v>0</v>
      </c>
      <c r="S22" s="168">
        <v>0</v>
      </c>
      <c r="T22" s="86">
        <v>0</v>
      </c>
      <c r="U22" s="87">
        <v>0</v>
      </c>
      <c r="V22" s="82">
        <v>16</v>
      </c>
      <c r="W22" s="88">
        <v>42811.25</v>
      </c>
      <c r="X22" s="89">
        <f>73+20+256</f>
        <v>349</v>
      </c>
      <c r="Y22" s="88">
        <f>99660+1885+6685</f>
        <v>108230</v>
      </c>
      <c r="Z22" s="2"/>
      <c r="AA22" s="64">
        <f t="shared" si="0"/>
        <v>786</v>
      </c>
      <c r="AB22" s="129">
        <f t="shared" si="1"/>
        <v>212736.25</v>
      </c>
      <c r="AC22" s="64">
        <f t="shared" si="3"/>
        <v>764</v>
      </c>
      <c r="AD22" s="129">
        <f t="shared" si="4"/>
        <v>163165</v>
      </c>
      <c r="AE22" s="2"/>
      <c r="AF22" s="2"/>
      <c r="AG22" s="2"/>
    </row>
    <row r="23" spans="1:33" ht="18" customHeight="1" x14ac:dyDescent="0.2">
      <c r="A23" s="286">
        <f t="shared" si="2"/>
        <v>45582</v>
      </c>
      <c r="B23" s="93">
        <v>27</v>
      </c>
      <c r="C23" s="94">
        <v>56820</v>
      </c>
      <c r="D23" s="93">
        <v>0</v>
      </c>
      <c r="E23" s="94">
        <v>0</v>
      </c>
      <c r="F23" s="82">
        <v>574</v>
      </c>
      <c r="G23" s="83">
        <v>158750</v>
      </c>
      <c r="H23" s="80">
        <v>0</v>
      </c>
      <c r="I23" s="81">
        <v>0</v>
      </c>
      <c r="J23" s="82">
        <v>104</v>
      </c>
      <c r="K23" s="83">
        <v>9275</v>
      </c>
      <c r="L23" s="82">
        <v>52</v>
      </c>
      <c r="M23" s="83">
        <v>5365</v>
      </c>
      <c r="N23" s="80">
        <v>4</v>
      </c>
      <c r="O23" s="84">
        <v>1920</v>
      </c>
      <c r="P23" s="85">
        <v>0</v>
      </c>
      <c r="Q23" s="83">
        <v>0</v>
      </c>
      <c r="R23" s="167">
        <v>2</v>
      </c>
      <c r="S23" s="168">
        <v>9460</v>
      </c>
      <c r="T23" s="86">
        <v>0</v>
      </c>
      <c r="U23" s="87">
        <v>0</v>
      </c>
      <c r="V23" s="82">
        <v>20</v>
      </c>
      <c r="W23" s="88">
        <v>54260</v>
      </c>
      <c r="X23" s="89">
        <v>315</v>
      </c>
      <c r="Y23" s="88">
        <v>117790</v>
      </c>
      <c r="Z23" s="2" t="s">
        <v>56</v>
      </c>
      <c r="AA23" s="64">
        <f t="shared" si="0"/>
        <v>763</v>
      </c>
      <c r="AB23" s="129">
        <f t="shared" si="1"/>
        <v>241590</v>
      </c>
      <c r="AC23" s="64">
        <f t="shared" si="3"/>
        <v>734</v>
      </c>
      <c r="AD23" s="129">
        <f t="shared" si="4"/>
        <v>175310</v>
      </c>
      <c r="AE23" s="2"/>
      <c r="AF23" s="3"/>
      <c r="AG23" s="4"/>
    </row>
    <row r="24" spans="1:33" ht="18" customHeight="1" x14ac:dyDescent="0.2">
      <c r="A24" s="286">
        <f t="shared" si="2"/>
        <v>45583</v>
      </c>
      <c r="B24" s="93">
        <v>31</v>
      </c>
      <c r="C24" s="94">
        <v>50608.75</v>
      </c>
      <c r="D24" s="93">
        <v>0</v>
      </c>
      <c r="E24" s="94">
        <v>0</v>
      </c>
      <c r="F24" s="82">
        <v>576</v>
      </c>
      <c r="G24" s="83">
        <v>172475</v>
      </c>
      <c r="H24" s="80">
        <v>0</v>
      </c>
      <c r="I24" s="81">
        <v>0</v>
      </c>
      <c r="J24" s="82">
        <v>102</v>
      </c>
      <c r="K24" s="83">
        <v>10130</v>
      </c>
      <c r="L24" s="82">
        <v>49</v>
      </c>
      <c r="M24" s="83">
        <v>4795</v>
      </c>
      <c r="N24" s="80">
        <v>7</v>
      </c>
      <c r="O24" s="84">
        <v>1840</v>
      </c>
      <c r="P24" s="85">
        <v>0</v>
      </c>
      <c r="Q24" s="83">
        <v>0</v>
      </c>
      <c r="R24" s="167">
        <v>2</v>
      </c>
      <c r="S24" s="168">
        <v>2400</v>
      </c>
      <c r="T24" s="86">
        <v>0</v>
      </c>
      <c r="U24" s="87">
        <v>0</v>
      </c>
      <c r="V24" s="82">
        <v>21</v>
      </c>
      <c r="W24" s="88">
        <v>37511.25</v>
      </c>
      <c r="X24" s="89">
        <v>356</v>
      </c>
      <c r="Y24" s="88">
        <v>123965</v>
      </c>
      <c r="Z24" s="2"/>
      <c r="AA24" s="64">
        <f t="shared" si="0"/>
        <v>767</v>
      </c>
      <c r="AB24" s="129">
        <f t="shared" si="1"/>
        <v>242248.75</v>
      </c>
      <c r="AC24" s="64">
        <f t="shared" si="3"/>
        <v>734</v>
      </c>
      <c r="AD24" s="129">
        <f t="shared" si="4"/>
        <v>189240</v>
      </c>
      <c r="AE24" s="2"/>
      <c r="AF24" s="2"/>
      <c r="AG24" s="2"/>
    </row>
    <row r="25" spans="1:33" ht="18" customHeight="1" x14ac:dyDescent="0.2">
      <c r="A25" s="286">
        <f t="shared" si="2"/>
        <v>45584</v>
      </c>
      <c r="B25" s="93">
        <v>25</v>
      </c>
      <c r="C25" s="94">
        <v>42301.25</v>
      </c>
      <c r="D25" s="93">
        <v>0</v>
      </c>
      <c r="E25" s="94">
        <v>0</v>
      </c>
      <c r="F25" s="82">
        <v>590</v>
      </c>
      <c r="G25" s="83">
        <v>172800</v>
      </c>
      <c r="H25" s="80">
        <v>0</v>
      </c>
      <c r="I25" s="81">
        <v>0</v>
      </c>
      <c r="J25" s="82">
        <v>158</v>
      </c>
      <c r="K25" s="83">
        <v>13920</v>
      </c>
      <c r="L25" s="82">
        <v>62</v>
      </c>
      <c r="M25" s="83">
        <v>5680</v>
      </c>
      <c r="N25" s="80">
        <v>5</v>
      </c>
      <c r="O25" s="84">
        <v>1605</v>
      </c>
      <c r="P25" s="85">
        <v>0</v>
      </c>
      <c r="Q25" s="83">
        <v>0</v>
      </c>
      <c r="R25" s="167">
        <v>0</v>
      </c>
      <c r="S25" s="168">
        <v>0</v>
      </c>
      <c r="T25" s="86">
        <v>1</v>
      </c>
      <c r="U25" s="87">
        <v>637.5</v>
      </c>
      <c r="V25" s="82">
        <v>22</v>
      </c>
      <c r="W25" s="88">
        <v>39426.25</v>
      </c>
      <c r="X25" s="89">
        <v>361</v>
      </c>
      <c r="Y25" s="88">
        <v>134380</v>
      </c>
      <c r="Z25" s="2"/>
      <c r="AA25" s="64">
        <f t="shared" si="0"/>
        <v>841</v>
      </c>
      <c r="AB25" s="129">
        <f t="shared" si="1"/>
        <v>236943.75</v>
      </c>
      <c r="AC25" s="64">
        <f t="shared" si="3"/>
        <v>816</v>
      </c>
      <c r="AD25" s="129">
        <f t="shared" si="4"/>
        <v>194005</v>
      </c>
      <c r="AE25" s="2"/>
      <c r="AF25" s="3"/>
      <c r="AG25" s="4"/>
    </row>
    <row r="26" spans="1:33" ht="18" customHeight="1" x14ac:dyDescent="0.2">
      <c r="A26" s="286">
        <f t="shared" si="2"/>
        <v>45585</v>
      </c>
      <c r="B26" s="93">
        <v>19</v>
      </c>
      <c r="C26" s="94">
        <v>32307.5</v>
      </c>
      <c r="D26" s="93">
        <v>0</v>
      </c>
      <c r="E26" s="94">
        <v>0</v>
      </c>
      <c r="F26" s="82">
        <v>772</v>
      </c>
      <c r="G26" s="83">
        <v>301360</v>
      </c>
      <c r="H26" s="80">
        <v>0</v>
      </c>
      <c r="I26" s="81">
        <v>0</v>
      </c>
      <c r="J26" s="82">
        <v>143</v>
      </c>
      <c r="K26" s="83">
        <v>18815</v>
      </c>
      <c r="L26" s="82">
        <v>42</v>
      </c>
      <c r="M26" s="83">
        <v>3790</v>
      </c>
      <c r="N26" s="80">
        <v>13</v>
      </c>
      <c r="O26" s="84">
        <v>3260</v>
      </c>
      <c r="P26" s="85">
        <v>0</v>
      </c>
      <c r="Q26" s="83">
        <v>0</v>
      </c>
      <c r="R26" s="167">
        <v>0</v>
      </c>
      <c r="S26" s="168">
        <v>0</v>
      </c>
      <c r="T26" s="86">
        <v>0</v>
      </c>
      <c r="U26" s="87">
        <v>0</v>
      </c>
      <c r="V26" s="85">
        <v>17</v>
      </c>
      <c r="W26" s="83">
        <v>28147.5</v>
      </c>
      <c r="X26" s="90">
        <f>431+13+79</f>
        <v>523</v>
      </c>
      <c r="Y26" s="83">
        <f>12470+1230+231505</f>
        <v>245205</v>
      </c>
      <c r="Z26" s="2"/>
      <c r="AA26" s="64">
        <f t="shared" si="0"/>
        <v>989</v>
      </c>
      <c r="AB26" s="129">
        <f t="shared" si="1"/>
        <v>359532.5</v>
      </c>
      <c r="AC26" s="64">
        <f t="shared" si="3"/>
        <v>970</v>
      </c>
      <c r="AD26" s="129">
        <f t="shared" si="4"/>
        <v>327225</v>
      </c>
      <c r="AE26" s="2"/>
      <c r="AF26" s="2"/>
      <c r="AG26" s="2"/>
    </row>
    <row r="27" spans="1:33" ht="18" customHeight="1" x14ac:dyDescent="0.2">
      <c r="A27" s="286">
        <f t="shared" si="2"/>
        <v>45586</v>
      </c>
      <c r="B27" s="93"/>
      <c r="C27" s="94"/>
      <c r="D27" s="93"/>
      <c r="E27" s="94"/>
      <c r="F27" s="82"/>
      <c r="G27" s="83"/>
      <c r="H27" s="80"/>
      <c r="I27" s="81"/>
      <c r="J27" s="82"/>
      <c r="K27" s="83"/>
      <c r="L27" s="82"/>
      <c r="M27" s="83"/>
      <c r="N27" s="80"/>
      <c r="O27" s="84"/>
      <c r="P27" s="85"/>
      <c r="Q27" s="83"/>
      <c r="R27" s="167"/>
      <c r="S27" s="168"/>
      <c r="T27" s="86"/>
      <c r="U27" s="87"/>
      <c r="V27" s="82"/>
      <c r="W27" s="88"/>
      <c r="X27" s="89"/>
      <c r="Y27" s="88"/>
      <c r="Z27" s="2"/>
      <c r="AA27" s="64">
        <f t="shared" si="0"/>
        <v>0</v>
      </c>
      <c r="AB27" s="129">
        <f t="shared" si="1"/>
        <v>0</v>
      </c>
      <c r="AC27" s="64">
        <f t="shared" si="3"/>
        <v>0</v>
      </c>
      <c r="AD27" s="129">
        <f t="shared" si="4"/>
        <v>0</v>
      </c>
      <c r="AE27" s="2"/>
      <c r="AF27" s="3"/>
      <c r="AG27" s="4"/>
    </row>
    <row r="28" spans="1:33" ht="18" customHeight="1" x14ac:dyDescent="0.2">
      <c r="A28" s="286">
        <f t="shared" si="2"/>
        <v>45587</v>
      </c>
      <c r="B28" s="93"/>
      <c r="C28" s="94"/>
      <c r="D28" s="93"/>
      <c r="E28" s="94"/>
      <c r="F28" s="93"/>
      <c r="G28" s="83"/>
      <c r="H28" s="80"/>
      <c r="I28" s="81"/>
      <c r="J28" s="82"/>
      <c r="K28" s="83"/>
      <c r="L28" s="82"/>
      <c r="M28" s="83"/>
      <c r="N28" s="80"/>
      <c r="O28" s="84"/>
      <c r="P28" s="85"/>
      <c r="Q28" s="83"/>
      <c r="R28" s="167"/>
      <c r="S28" s="168"/>
      <c r="T28" s="86"/>
      <c r="U28" s="87"/>
      <c r="V28" s="82"/>
      <c r="W28" s="88"/>
      <c r="X28" s="89"/>
      <c r="Y28" s="88"/>
      <c r="Z28" s="2"/>
      <c r="AA28" s="64">
        <f t="shared" si="0"/>
        <v>0</v>
      </c>
      <c r="AB28" s="129">
        <f t="shared" si="1"/>
        <v>0</v>
      </c>
      <c r="AC28" s="64">
        <f t="shared" si="3"/>
        <v>0</v>
      </c>
      <c r="AD28" s="129">
        <f t="shared" si="4"/>
        <v>0</v>
      </c>
      <c r="AE28" s="2"/>
      <c r="AF28" s="2"/>
      <c r="AG28" s="2"/>
    </row>
    <row r="29" spans="1:33" ht="18" customHeight="1" x14ac:dyDescent="0.2">
      <c r="A29" s="286">
        <f t="shared" si="2"/>
        <v>45588</v>
      </c>
      <c r="B29" s="93"/>
      <c r="C29" s="94"/>
      <c r="D29" s="93"/>
      <c r="E29" s="94"/>
      <c r="F29" s="82"/>
      <c r="G29" s="83"/>
      <c r="H29" s="80"/>
      <c r="I29" s="81"/>
      <c r="J29" s="82"/>
      <c r="K29" s="83"/>
      <c r="L29" s="82"/>
      <c r="M29" s="83"/>
      <c r="N29" s="80"/>
      <c r="O29" s="84"/>
      <c r="P29" s="85"/>
      <c r="Q29" s="83"/>
      <c r="R29" s="167"/>
      <c r="S29" s="168"/>
      <c r="T29" s="86"/>
      <c r="U29" s="87"/>
      <c r="V29" s="82"/>
      <c r="W29" s="88"/>
      <c r="X29" s="89"/>
      <c r="Y29" s="88"/>
      <c r="Z29" s="2"/>
      <c r="AA29" s="64">
        <f t="shared" si="0"/>
        <v>0</v>
      </c>
      <c r="AB29" s="129">
        <f t="shared" si="1"/>
        <v>0</v>
      </c>
      <c r="AC29" s="64">
        <f t="shared" si="3"/>
        <v>0</v>
      </c>
      <c r="AD29" s="129">
        <f t="shared" si="4"/>
        <v>0</v>
      </c>
      <c r="AE29" s="2"/>
      <c r="AF29" s="3"/>
      <c r="AG29" s="4"/>
    </row>
    <row r="30" spans="1:33" ht="18" customHeight="1" x14ac:dyDescent="0.2">
      <c r="A30" s="286">
        <f t="shared" si="2"/>
        <v>45589</v>
      </c>
      <c r="B30" s="93"/>
      <c r="C30" s="94"/>
      <c r="D30" s="93"/>
      <c r="E30" s="94"/>
      <c r="F30" s="82"/>
      <c r="G30" s="83"/>
      <c r="H30" s="80"/>
      <c r="I30" s="81"/>
      <c r="J30" s="82"/>
      <c r="K30" s="83"/>
      <c r="L30" s="82"/>
      <c r="M30" s="83"/>
      <c r="N30" s="80"/>
      <c r="O30" s="84"/>
      <c r="P30" s="85"/>
      <c r="Q30" s="83"/>
      <c r="R30" s="167"/>
      <c r="S30" s="168"/>
      <c r="T30" s="86"/>
      <c r="U30" s="87"/>
      <c r="V30" s="82"/>
      <c r="W30" s="88"/>
      <c r="X30" s="89"/>
      <c r="Y30" s="88"/>
      <c r="Z30" s="2"/>
      <c r="AA30" s="64">
        <f t="shared" si="0"/>
        <v>0</v>
      </c>
      <c r="AB30" s="129">
        <f t="shared" si="1"/>
        <v>0</v>
      </c>
      <c r="AC30" s="64">
        <f t="shared" si="3"/>
        <v>0</v>
      </c>
      <c r="AD30" s="129">
        <f t="shared" si="4"/>
        <v>0</v>
      </c>
      <c r="AE30" s="2"/>
      <c r="AF30" s="2"/>
      <c r="AG30" s="2"/>
    </row>
    <row r="31" spans="1:33" ht="18" customHeight="1" x14ac:dyDescent="0.2">
      <c r="A31" s="286">
        <f t="shared" si="2"/>
        <v>45590</v>
      </c>
      <c r="B31" s="93"/>
      <c r="C31" s="94"/>
      <c r="D31" s="93"/>
      <c r="E31" s="94"/>
      <c r="F31" s="82"/>
      <c r="G31" s="83"/>
      <c r="H31" s="80"/>
      <c r="I31" s="81"/>
      <c r="J31" s="82"/>
      <c r="K31" s="83"/>
      <c r="L31" s="82"/>
      <c r="M31" s="83"/>
      <c r="N31" s="80"/>
      <c r="O31" s="84"/>
      <c r="P31" s="85"/>
      <c r="Q31" s="83"/>
      <c r="R31" s="167"/>
      <c r="S31" s="168"/>
      <c r="T31" s="86"/>
      <c r="U31" s="87"/>
      <c r="V31" s="82"/>
      <c r="W31" s="88"/>
      <c r="X31" s="89"/>
      <c r="Y31" s="88"/>
      <c r="Z31" s="2"/>
      <c r="AA31" s="64">
        <f t="shared" si="0"/>
        <v>0</v>
      </c>
      <c r="AB31" s="129">
        <f t="shared" si="1"/>
        <v>0</v>
      </c>
      <c r="AC31" s="64">
        <f t="shared" si="3"/>
        <v>0</v>
      </c>
      <c r="AD31" s="129">
        <f t="shared" si="4"/>
        <v>0</v>
      </c>
      <c r="AE31" s="2"/>
      <c r="AF31" s="3"/>
      <c r="AG31" s="4"/>
    </row>
    <row r="32" spans="1:33" ht="18" customHeight="1" x14ac:dyDescent="0.2">
      <c r="A32" s="286">
        <f t="shared" si="2"/>
        <v>45591</v>
      </c>
      <c r="B32" s="93"/>
      <c r="C32" s="94"/>
      <c r="D32" s="93"/>
      <c r="E32" s="94"/>
      <c r="F32" s="82"/>
      <c r="G32" s="83"/>
      <c r="H32" s="80"/>
      <c r="I32" s="81"/>
      <c r="J32" s="82"/>
      <c r="K32" s="83"/>
      <c r="L32" s="82"/>
      <c r="M32" s="83"/>
      <c r="N32" s="80"/>
      <c r="O32" s="84"/>
      <c r="P32" s="85"/>
      <c r="Q32" s="83"/>
      <c r="R32" s="167"/>
      <c r="S32" s="168"/>
      <c r="T32" s="86"/>
      <c r="U32" s="87"/>
      <c r="V32" s="82"/>
      <c r="W32" s="88"/>
      <c r="X32" s="89"/>
      <c r="Y32" s="88"/>
      <c r="Z32" s="2"/>
      <c r="AA32" s="64">
        <f t="shared" si="0"/>
        <v>0</v>
      </c>
      <c r="AB32" s="129">
        <f t="shared" si="1"/>
        <v>0</v>
      </c>
      <c r="AC32" s="64">
        <f t="shared" si="3"/>
        <v>0</v>
      </c>
      <c r="AD32" s="129">
        <f t="shared" si="4"/>
        <v>0</v>
      </c>
      <c r="AE32" s="2"/>
      <c r="AF32" s="2"/>
      <c r="AG32" s="2"/>
    </row>
    <row r="33" spans="1:35" ht="18" customHeight="1" x14ac:dyDescent="0.2">
      <c r="A33" s="286">
        <f t="shared" si="2"/>
        <v>45592</v>
      </c>
      <c r="B33" s="93"/>
      <c r="C33" s="94"/>
      <c r="D33" s="93"/>
      <c r="E33" s="94"/>
      <c r="F33" s="82"/>
      <c r="G33" s="83"/>
      <c r="H33" s="80"/>
      <c r="I33" s="81"/>
      <c r="J33" s="82"/>
      <c r="K33" s="83"/>
      <c r="L33" s="82"/>
      <c r="M33" s="83"/>
      <c r="N33" s="80"/>
      <c r="O33" s="84"/>
      <c r="P33" s="85"/>
      <c r="Q33" s="83"/>
      <c r="R33" s="167"/>
      <c r="S33" s="168"/>
      <c r="T33" s="86"/>
      <c r="U33" s="87"/>
      <c r="V33" s="82"/>
      <c r="W33" s="88"/>
      <c r="X33" s="89"/>
      <c r="Y33" s="88"/>
      <c r="Z33" s="2"/>
      <c r="AA33" s="64">
        <f t="shared" si="0"/>
        <v>0</v>
      </c>
      <c r="AB33" s="129">
        <f t="shared" si="1"/>
        <v>0</v>
      </c>
      <c r="AC33" s="64">
        <f t="shared" si="3"/>
        <v>0</v>
      </c>
      <c r="AD33" s="129">
        <f t="shared" si="4"/>
        <v>0</v>
      </c>
      <c r="AE33" s="2"/>
      <c r="AF33" s="2"/>
      <c r="AG33" s="2"/>
    </row>
    <row r="34" spans="1:35" ht="18" customHeight="1" x14ac:dyDescent="0.2">
      <c r="A34" s="286">
        <f t="shared" si="2"/>
        <v>45593</v>
      </c>
      <c r="B34" s="93"/>
      <c r="C34" s="94"/>
      <c r="D34" s="93"/>
      <c r="E34" s="94"/>
      <c r="F34" s="82"/>
      <c r="G34" s="83"/>
      <c r="H34" s="80"/>
      <c r="I34" s="81"/>
      <c r="J34" s="82"/>
      <c r="K34" s="83"/>
      <c r="L34" s="82"/>
      <c r="M34" s="83"/>
      <c r="N34" s="80"/>
      <c r="O34" s="84"/>
      <c r="P34" s="85"/>
      <c r="Q34" s="83"/>
      <c r="R34" s="167"/>
      <c r="S34" s="168"/>
      <c r="T34" s="86"/>
      <c r="U34" s="87"/>
      <c r="V34" s="82"/>
      <c r="W34" s="88"/>
      <c r="X34" s="89"/>
      <c r="Y34" s="88"/>
      <c r="Z34" s="2"/>
      <c r="AA34" s="64">
        <f t="shared" si="0"/>
        <v>0</v>
      </c>
      <c r="AB34" s="129">
        <f>+S34+Q34+O34+M34+I34+G34+C34+K34+U34</f>
        <v>0</v>
      </c>
      <c r="AC34" s="64">
        <f t="shared" si="3"/>
        <v>0</v>
      </c>
      <c r="AD34" s="129">
        <f t="shared" si="4"/>
        <v>0</v>
      </c>
      <c r="AE34" s="2"/>
      <c r="AF34" s="2"/>
      <c r="AG34" s="2"/>
    </row>
    <row r="35" spans="1:35" ht="18" customHeight="1" x14ac:dyDescent="0.2">
      <c r="A35" s="286">
        <f>IF(TEXT(A34+1,"G")&lt;"29","",VALUE(A34)+1)</f>
        <v>45594</v>
      </c>
      <c r="B35" s="93"/>
      <c r="C35" s="94"/>
      <c r="D35" s="93"/>
      <c r="E35" s="94"/>
      <c r="F35" s="82"/>
      <c r="G35" s="83"/>
      <c r="H35" s="80"/>
      <c r="I35" s="81"/>
      <c r="J35" s="82"/>
      <c r="K35" s="83"/>
      <c r="L35" s="82"/>
      <c r="M35" s="83"/>
      <c r="N35" s="80"/>
      <c r="O35" s="84"/>
      <c r="P35" s="85"/>
      <c r="Q35" s="83"/>
      <c r="R35" s="167"/>
      <c r="S35" s="168"/>
      <c r="T35" s="86"/>
      <c r="U35" s="87"/>
      <c r="V35" s="82"/>
      <c r="W35" s="88"/>
      <c r="X35" s="89"/>
      <c r="Y35" s="88"/>
      <c r="Z35" s="2"/>
      <c r="AA35" s="64">
        <f>IF(A35&lt;&gt;"",+B35+F35+H35+N35+P35+R35+L35+J35+T35,"")</f>
        <v>0</v>
      </c>
      <c r="AB35" s="129">
        <f>IF(A35&lt;&gt;"",+S35+Q35+O35+M35+I35+G35+C35+K35+U35,"")</f>
        <v>0</v>
      </c>
      <c r="AC35" s="64">
        <f>IF(A35&lt;&gt;"",+AA35-B35-P35-R35-D35,"")</f>
        <v>0</v>
      </c>
      <c r="AD35" s="129">
        <f>IF(A35&lt;&gt;"",+AB35-C35-Q35-S35-E35-U35,"")</f>
        <v>0</v>
      </c>
      <c r="AE35" s="2"/>
      <c r="AF35" s="2"/>
      <c r="AG35" s="2"/>
    </row>
    <row r="36" spans="1:35" ht="18" customHeight="1" x14ac:dyDescent="0.2">
      <c r="A36" s="286">
        <f>IF(A35="","",IF(TEXT(A35+1,"G")&lt;"30","",VALUE(A35)+1))</f>
        <v>45595</v>
      </c>
      <c r="B36" s="93"/>
      <c r="C36" s="94"/>
      <c r="D36" s="93"/>
      <c r="E36" s="94"/>
      <c r="F36" s="82"/>
      <c r="G36" s="83"/>
      <c r="H36" s="80"/>
      <c r="I36" s="81"/>
      <c r="J36" s="82"/>
      <c r="K36" s="83"/>
      <c r="L36" s="82"/>
      <c r="M36" s="83"/>
      <c r="N36" s="80"/>
      <c r="O36" s="84"/>
      <c r="P36" s="85"/>
      <c r="Q36" s="83"/>
      <c r="R36" s="167"/>
      <c r="S36" s="168"/>
      <c r="T36" s="86"/>
      <c r="U36" s="87"/>
      <c r="V36" s="82"/>
      <c r="W36" s="88"/>
      <c r="X36" s="89"/>
      <c r="Y36" s="88"/>
      <c r="Z36" s="2"/>
      <c r="AA36" s="64">
        <f>IF(A36&lt;&gt;"",+B36+F36+H36+N36+P36+R36+L36+J36+T36,"")</f>
        <v>0</v>
      </c>
      <c r="AB36" s="129">
        <f>IF(A36&lt;&gt;"",+S36+Q36+O36+M36+I36+G36+C36+K36+U36,"")</f>
        <v>0</v>
      </c>
      <c r="AC36" s="64">
        <f>IF(A36&lt;&gt;"",+AA36-B36-P36-R36-D36,"")</f>
        <v>0</v>
      </c>
      <c r="AD36" s="129">
        <f>IF(A36&lt;&gt;"",+AB36-C36-Q36-S36-E36-U36,"")</f>
        <v>0</v>
      </c>
      <c r="AE36" s="2"/>
      <c r="AF36" s="2"/>
      <c r="AG36" s="2"/>
    </row>
    <row r="37" spans="1:35" ht="18" customHeight="1" x14ac:dyDescent="0.2">
      <c r="A37" s="287">
        <f>IF(A36="","",IF(TEXT(A36+1,"G")&lt;"31","",VALUE(A36)+1))</f>
        <v>45596</v>
      </c>
      <c r="B37" s="215"/>
      <c r="C37" s="216"/>
      <c r="D37" s="215"/>
      <c r="E37" s="216"/>
      <c r="F37" s="217"/>
      <c r="G37" s="218"/>
      <c r="H37" s="219"/>
      <c r="I37" s="220"/>
      <c r="J37" s="217"/>
      <c r="K37" s="218"/>
      <c r="L37" s="217"/>
      <c r="M37" s="218"/>
      <c r="N37" s="219"/>
      <c r="O37" s="221"/>
      <c r="P37" s="222"/>
      <c r="Q37" s="218"/>
      <c r="R37" s="223"/>
      <c r="S37" s="224"/>
      <c r="T37" s="225"/>
      <c r="U37" s="226"/>
      <c r="V37" s="217"/>
      <c r="W37" s="227"/>
      <c r="X37" s="228"/>
      <c r="Y37" s="227"/>
      <c r="Z37" s="2"/>
      <c r="AA37" s="229">
        <f>IF(A37&lt;&gt;"",+B37+F37+H37+N37+P37+R37+L37+J37+T37,"")</f>
        <v>0</v>
      </c>
      <c r="AB37" s="230">
        <f>IF(A37&lt;&gt;"",+S37+Q37+O37+M37+I37+G37+C37+K37+U37,"")</f>
        <v>0</v>
      </c>
      <c r="AC37" s="229">
        <f>IF(A37&lt;&gt;"",+AA37-B37-P37-R37-D37,"")</f>
        <v>0</v>
      </c>
      <c r="AD37" s="230">
        <f>IF(A37&lt;&gt;"",+AB37-C37-Q37-S37-E37-U37,"")</f>
        <v>0</v>
      </c>
      <c r="AE37" s="2"/>
      <c r="AF37" s="2"/>
      <c r="AG37" s="2"/>
    </row>
    <row r="38" spans="1:35" ht="18" customHeight="1" x14ac:dyDescent="0.2">
      <c r="A38" s="5"/>
      <c r="B38" s="6"/>
      <c r="C38" s="5"/>
      <c r="D38" s="6"/>
      <c r="E38" s="5"/>
      <c r="F38" s="7"/>
      <c r="G38" s="5"/>
      <c r="H38" s="7"/>
      <c r="I38" s="5"/>
      <c r="J38" s="7"/>
      <c r="K38" s="5"/>
      <c r="L38" s="7"/>
      <c r="M38" s="5"/>
      <c r="N38" s="7"/>
      <c r="O38" s="5"/>
      <c r="P38" s="5"/>
      <c r="Q38" s="5"/>
      <c r="R38" s="5"/>
      <c r="S38" s="5"/>
      <c r="T38" s="5"/>
      <c r="U38" s="5"/>
      <c r="V38" s="7"/>
      <c r="W38" s="5"/>
      <c r="X38" s="5"/>
      <c r="Y38" s="5"/>
      <c r="Z38" s="2"/>
      <c r="AA38" s="7"/>
      <c r="AB38" s="5"/>
      <c r="AC38" s="7"/>
      <c r="AD38" s="5"/>
      <c r="AE38" s="2"/>
      <c r="AF38" s="2"/>
      <c r="AG38" s="2"/>
      <c r="AH38" s="2"/>
      <c r="AI38" s="2"/>
    </row>
    <row r="39" spans="1:35" ht="18" customHeight="1" x14ac:dyDescent="0.2">
      <c r="A39" s="206" t="s">
        <v>6</v>
      </c>
      <c r="B39" s="207">
        <f t="shared" ref="B39:Y39" si="5">SUM(B7:B37)</f>
        <v>517</v>
      </c>
      <c r="C39" s="208">
        <f t="shared" si="5"/>
        <v>923332.5</v>
      </c>
      <c r="D39" s="207">
        <f t="shared" si="5"/>
        <v>0</v>
      </c>
      <c r="E39" s="208">
        <f t="shared" si="5"/>
        <v>0</v>
      </c>
      <c r="F39" s="207">
        <f t="shared" si="5"/>
        <v>12988</v>
      </c>
      <c r="G39" s="208">
        <f t="shared" si="5"/>
        <v>3868850</v>
      </c>
      <c r="H39" s="207">
        <f t="shared" si="5"/>
        <v>52</v>
      </c>
      <c r="I39" s="208">
        <f t="shared" si="5"/>
        <v>21565</v>
      </c>
      <c r="J39" s="207">
        <f t="shared" si="5"/>
        <v>2891</v>
      </c>
      <c r="K39" s="208">
        <f t="shared" si="5"/>
        <v>299445</v>
      </c>
      <c r="L39" s="207">
        <f t="shared" ref="L39:M39" si="6">SUM(L7:L37)</f>
        <v>971</v>
      </c>
      <c r="M39" s="208">
        <f t="shared" si="6"/>
        <v>101950</v>
      </c>
      <c r="N39" s="207">
        <f t="shared" si="5"/>
        <v>132</v>
      </c>
      <c r="O39" s="208">
        <f t="shared" si="5"/>
        <v>41835</v>
      </c>
      <c r="P39" s="209">
        <f t="shared" si="5"/>
        <v>1</v>
      </c>
      <c r="Q39" s="210">
        <f t="shared" si="5"/>
        <v>525</v>
      </c>
      <c r="R39" s="209">
        <f t="shared" si="5"/>
        <v>19</v>
      </c>
      <c r="S39" s="208">
        <f t="shared" si="5"/>
        <v>70548.75</v>
      </c>
      <c r="T39" s="209">
        <f t="shared" ref="T39:U39" si="7">SUM(T7:T37)</f>
        <v>11</v>
      </c>
      <c r="U39" s="208">
        <f t="shared" si="7"/>
        <v>821317.5</v>
      </c>
      <c r="V39" s="211">
        <f t="shared" si="5"/>
        <v>398</v>
      </c>
      <c r="W39" s="212">
        <f t="shared" si="5"/>
        <v>793637.5</v>
      </c>
      <c r="X39" s="213">
        <f t="shared" si="5"/>
        <v>7976</v>
      </c>
      <c r="Y39" s="210">
        <f t="shared" si="5"/>
        <v>3042935</v>
      </c>
      <c r="Z39" s="2"/>
      <c r="AA39" s="207">
        <f>SUM(AA7:AA37)</f>
        <v>17582</v>
      </c>
      <c r="AB39" s="214">
        <f>SUM(AB7:AB37)</f>
        <v>6149368.75</v>
      </c>
      <c r="AC39" s="207">
        <f>SUM(AC7:AC37)</f>
        <v>17045</v>
      </c>
      <c r="AD39" s="214">
        <f>SUM(AD7:AD37)</f>
        <v>4333645</v>
      </c>
      <c r="AE39" s="8"/>
      <c r="AF39" s="3"/>
      <c r="AG39" s="2"/>
    </row>
    <row r="40" spans="1:35" ht="15" customHeight="1" x14ac:dyDescent="0.2">
      <c r="B40" s="9"/>
      <c r="C40" s="10"/>
      <c r="D40" s="10"/>
      <c r="E40" s="10"/>
      <c r="F40" s="10"/>
      <c r="G40" s="10"/>
      <c r="H40" s="10"/>
      <c r="I40" s="10"/>
      <c r="J40" s="10"/>
      <c r="K40" s="10"/>
      <c r="L40" s="10"/>
      <c r="M40" s="10"/>
      <c r="N40" s="10"/>
      <c r="O40" s="10"/>
      <c r="P40" s="10"/>
      <c r="Q40" s="10"/>
      <c r="R40" s="10"/>
      <c r="S40" s="10"/>
      <c r="T40" s="10"/>
      <c r="U40" s="10"/>
      <c r="V40" s="10"/>
      <c r="W40" s="10"/>
      <c r="X40" s="2"/>
      <c r="Y40" s="10"/>
      <c r="Z40" s="10"/>
      <c r="AA40" s="10"/>
      <c r="AB40" s="10"/>
      <c r="AE40" s="10"/>
    </row>
    <row r="41" spans="1:35" ht="15" customHeight="1" x14ac:dyDescent="0.2">
      <c r="X41" s="2"/>
      <c r="Z41" s="65"/>
    </row>
    <row r="42" spans="1:35" ht="15" customHeight="1" x14ac:dyDescent="0.2">
      <c r="X42" s="2"/>
      <c r="Z42" s="66"/>
    </row>
    <row r="43" spans="1:35" ht="15" customHeight="1" x14ac:dyDescent="0.2">
      <c r="B43" s="9"/>
      <c r="C43" s="11"/>
      <c r="D43" s="11"/>
      <c r="E43" s="5"/>
      <c r="F43" s="10"/>
      <c r="G43" s="10"/>
      <c r="H43" s="10"/>
      <c r="I43" s="10"/>
      <c r="J43" s="10"/>
      <c r="K43" s="10"/>
      <c r="L43" s="10"/>
      <c r="M43" s="10"/>
      <c r="N43" s="10"/>
      <c r="O43" s="10"/>
      <c r="P43" s="10"/>
      <c r="Q43" s="10"/>
      <c r="R43" s="10"/>
      <c r="S43" s="10"/>
      <c r="T43" s="10"/>
      <c r="U43" s="10"/>
      <c r="V43" s="10"/>
      <c r="W43" s="10"/>
      <c r="X43" s="10"/>
      <c r="Y43" s="10"/>
      <c r="Z43" s="10"/>
      <c r="AA43" s="10"/>
      <c r="AB43" s="10"/>
      <c r="AE43" s="10"/>
    </row>
    <row r="44" spans="1:35" ht="15" customHeight="1" x14ac:dyDescent="0.2">
      <c r="B44" s="9"/>
      <c r="C44" s="11"/>
      <c r="D44" s="11"/>
      <c r="E44" s="5"/>
      <c r="F44" s="10"/>
      <c r="G44" s="10"/>
      <c r="H44" s="10"/>
      <c r="I44" s="10"/>
      <c r="J44" s="10"/>
      <c r="K44" s="10"/>
      <c r="L44" s="10"/>
      <c r="M44" s="10"/>
      <c r="N44" s="10"/>
      <c r="O44" s="10"/>
      <c r="P44" s="10"/>
      <c r="Q44" s="10"/>
      <c r="R44" s="10"/>
      <c r="S44" s="10"/>
      <c r="T44" s="10"/>
      <c r="U44" s="10"/>
      <c r="V44" s="10"/>
      <c r="W44" s="10"/>
      <c r="X44" s="10"/>
      <c r="Y44" s="10"/>
      <c r="Z44" s="10"/>
      <c r="AA44" s="10"/>
      <c r="AB44" s="10"/>
      <c r="AE44" s="10"/>
    </row>
    <row r="45" spans="1:35" ht="15" customHeight="1" x14ac:dyDescent="0.2">
      <c r="B45" s="6"/>
      <c r="C45" s="12"/>
      <c r="D45" s="12"/>
      <c r="E45" s="13"/>
      <c r="F45" s="10"/>
      <c r="G45" s="14"/>
      <c r="H45" s="5"/>
      <c r="I45" s="14"/>
      <c r="J45" s="5"/>
      <c r="K45" s="14"/>
      <c r="L45" s="5"/>
      <c r="M45" s="14"/>
      <c r="N45" s="5"/>
      <c r="O45" s="5"/>
      <c r="P45" s="5"/>
      <c r="Q45" s="5"/>
      <c r="R45" s="5"/>
      <c r="S45" s="5"/>
      <c r="T45" s="5"/>
      <c r="U45" s="5"/>
      <c r="V45" s="5"/>
      <c r="W45" s="5"/>
      <c r="X45" s="5"/>
      <c r="Y45" s="5"/>
      <c r="Z45" s="5"/>
      <c r="AA45" s="5"/>
      <c r="AB45" s="10"/>
      <c r="AE45" s="10"/>
    </row>
    <row r="46" spans="1:35" ht="15" customHeight="1" x14ac:dyDescent="0.2">
      <c r="B46" s="378" t="s">
        <v>11</v>
      </c>
      <c r="C46" s="379"/>
      <c r="D46" s="379"/>
      <c r="E46" s="130">
        <f>SUM(AB39)</f>
        <v>6149368.75</v>
      </c>
      <c r="F46" s="10"/>
      <c r="G46" s="14"/>
      <c r="H46" s="5"/>
      <c r="I46" s="14"/>
      <c r="J46" s="5"/>
      <c r="K46" s="14"/>
      <c r="L46" s="5"/>
      <c r="M46" s="14"/>
      <c r="N46" s="5"/>
      <c r="O46" s="5"/>
      <c r="P46" s="5"/>
      <c r="Q46" s="5"/>
      <c r="R46" s="5"/>
      <c r="S46" s="5"/>
      <c r="T46" s="5"/>
      <c r="U46" s="5"/>
      <c r="V46" s="5"/>
      <c r="W46" s="5"/>
      <c r="X46" s="5"/>
      <c r="Y46" s="5"/>
      <c r="Z46" s="5"/>
      <c r="AA46" s="5"/>
      <c r="AB46" s="10"/>
      <c r="AE46" s="10"/>
    </row>
    <row r="47" spans="1:35" ht="15" customHeight="1" x14ac:dyDescent="0.2">
      <c r="B47" s="380" t="s">
        <v>13</v>
      </c>
      <c r="C47" s="381"/>
      <c r="D47" s="381"/>
      <c r="E47" s="169">
        <f>E46/COUNTA(B7:B37)</f>
        <v>307468.4375</v>
      </c>
      <c r="F47" s="10"/>
      <c r="G47" s="14"/>
      <c r="H47" s="5"/>
      <c r="I47" s="14"/>
      <c r="J47" s="5"/>
      <c r="K47" s="14"/>
      <c r="L47" s="5"/>
      <c r="M47" s="14"/>
      <c r="N47" s="5"/>
      <c r="O47" s="5"/>
      <c r="P47" s="5"/>
      <c r="Q47" s="5"/>
      <c r="R47" s="5"/>
      <c r="S47" s="5"/>
      <c r="T47" s="5"/>
      <c r="U47" s="5"/>
      <c r="V47" s="5"/>
      <c r="W47" s="5"/>
      <c r="X47" s="5"/>
      <c r="Y47" s="5"/>
      <c r="Z47" s="10"/>
      <c r="AA47" s="10"/>
      <c r="AB47" s="10"/>
      <c r="AE47" s="10"/>
    </row>
    <row r="48" spans="1:35" ht="15" customHeight="1" x14ac:dyDescent="0.2">
      <c r="B48" s="382" t="s">
        <v>12</v>
      </c>
      <c r="C48" s="383"/>
      <c r="D48" s="383"/>
      <c r="E48" s="131">
        <f>SUM(AD39)</f>
        <v>4333645</v>
      </c>
      <c r="F48" s="10"/>
      <c r="G48" s="14"/>
      <c r="H48" s="5"/>
      <c r="I48" s="14"/>
      <c r="J48" s="5"/>
      <c r="K48" s="14"/>
      <c r="L48" s="5"/>
      <c r="M48" s="14"/>
      <c r="N48" s="10"/>
      <c r="O48" s="10"/>
      <c r="P48" s="10"/>
      <c r="Q48" s="10"/>
      <c r="R48" s="10"/>
      <c r="S48" s="10"/>
      <c r="T48" s="10"/>
      <c r="U48" s="10"/>
      <c r="V48" s="10"/>
      <c r="W48" s="10"/>
      <c r="X48" s="10"/>
      <c r="Y48" s="10"/>
      <c r="Z48" s="10"/>
      <c r="AA48" s="10"/>
      <c r="AB48" s="10"/>
      <c r="AE48" s="10"/>
    </row>
    <row r="49" spans="2:31" ht="15" customHeight="1" x14ac:dyDescent="0.2">
      <c r="C49" s="10"/>
      <c r="D49" s="10"/>
      <c r="E49" s="132"/>
      <c r="F49" s="10"/>
      <c r="G49" s="14"/>
      <c r="H49" s="5"/>
      <c r="I49" s="14"/>
      <c r="J49" s="5"/>
      <c r="K49" s="14"/>
      <c r="L49" s="5"/>
      <c r="M49" s="14"/>
      <c r="N49" s="10"/>
      <c r="O49" s="10"/>
      <c r="P49" s="10"/>
      <c r="Q49" s="10"/>
      <c r="R49" s="10"/>
      <c r="S49" s="10"/>
      <c r="T49" s="10"/>
      <c r="U49" s="10"/>
      <c r="V49" s="10"/>
      <c r="W49" s="10"/>
      <c r="X49" s="10"/>
      <c r="Y49" s="10"/>
      <c r="Z49" s="10"/>
      <c r="AA49" s="10"/>
      <c r="AB49" s="10"/>
      <c r="AE49" s="10"/>
    </row>
    <row r="50" spans="2:31" ht="15" customHeight="1" x14ac:dyDescent="0.2">
      <c r="B50" s="374" t="s">
        <v>48</v>
      </c>
      <c r="C50" s="375"/>
      <c r="D50" s="376"/>
      <c r="E50" s="133">
        <f>W39+Y39+E39</f>
        <v>3836572.5</v>
      </c>
      <c r="F50" s="10"/>
      <c r="G50" s="14"/>
      <c r="H50" s="5"/>
      <c r="I50" s="14"/>
      <c r="J50" s="5"/>
      <c r="K50" s="14"/>
      <c r="L50" s="5"/>
      <c r="M50" s="14"/>
      <c r="N50" s="10"/>
      <c r="O50" s="10"/>
      <c r="P50" s="10"/>
      <c r="Q50" s="10"/>
      <c r="R50" s="10"/>
      <c r="S50" s="10"/>
      <c r="T50" s="10"/>
      <c r="U50" s="10"/>
      <c r="V50" s="10"/>
      <c r="W50" s="10"/>
      <c r="X50" s="10"/>
      <c r="Y50" s="10"/>
      <c r="Z50" s="10"/>
      <c r="AA50" s="10"/>
      <c r="AB50" s="10"/>
      <c r="AE50" s="10"/>
    </row>
    <row r="51" spans="2:31" ht="15" customHeight="1" x14ac:dyDescent="0.2">
      <c r="C51" s="10"/>
      <c r="D51" s="10"/>
      <c r="E51" s="132"/>
      <c r="F51" s="10"/>
      <c r="G51" s="10"/>
      <c r="H51" s="10"/>
      <c r="I51" s="10"/>
      <c r="J51" s="10"/>
      <c r="K51" s="10"/>
      <c r="L51" s="10"/>
      <c r="M51" s="10"/>
      <c r="N51" s="10"/>
      <c r="O51" s="10"/>
      <c r="P51" s="10"/>
      <c r="Q51" s="10"/>
      <c r="R51" s="10"/>
      <c r="S51" s="10"/>
      <c r="T51" s="10"/>
      <c r="U51" s="10"/>
      <c r="V51" s="10"/>
      <c r="W51" s="10"/>
      <c r="X51" s="10"/>
      <c r="Y51" s="10"/>
      <c r="Z51" s="10"/>
      <c r="AA51" s="10"/>
      <c r="AB51" s="10"/>
      <c r="AE51" s="10"/>
    </row>
    <row r="52" spans="2:31" ht="15" customHeight="1" x14ac:dyDescent="0.2">
      <c r="B52" s="374" t="s">
        <v>53</v>
      </c>
      <c r="C52" s="375"/>
      <c r="D52" s="376"/>
      <c r="E52" s="133">
        <f>Q39</f>
        <v>525</v>
      </c>
      <c r="F52" s="10"/>
      <c r="G52" s="10"/>
      <c r="H52" s="10"/>
      <c r="I52" s="10"/>
      <c r="J52" s="10"/>
      <c r="K52" s="10"/>
      <c r="L52" s="10"/>
      <c r="M52" s="10"/>
      <c r="N52" s="10"/>
      <c r="O52" s="10"/>
      <c r="P52" s="10"/>
      <c r="Q52" s="10"/>
      <c r="R52" s="10"/>
      <c r="S52" s="10"/>
      <c r="T52" s="10"/>
      <c r="U52" s="10"/>
      <c r="V52" s="10"/>
      <c r="W52" s="10"/>
      <c r="X52" s="10"/>
      <c r="Y52" s="10"/>
      <c r="Z52" s="10"/>
      <c r="AA52" s="10"/>
      <c r="AB52" s="10"/>
      <c r="AE52" s="10"/>
    </row>
    <row r="53" spans="2:31" ht="15" customHeight="1" x14ac:dyDescent="0.2">
      <c r="E53" s="132"/>
      <c r="AE53" s="10"/>
    </row>
    <row r="54" spans="2:31" ht="15" customHeight="1" x14ac:dyDescent="0.2">
      <c r="B54" s="374" t="s">
        <v>55</v>
      </c>
      <c r="C54" s="375"/>
      <c r="D54" s="376"/>
      <c r="E54" s="133">
        <f>S39</f>
        <v>70548.75</v>
      </c>
      <c r="AE54" s="10"/>
    </row>
    <row r="55" spans="2:31" ht="15" customHeight="1" x14ac:dyDescent="0.2">
      <c r="AE55" s="10"/>
    </row>
    <row r="56" spans="2:31" ht="15" customHeight="1" x14ac:dyDescent="0.2">
      <c r="B56" s="374" t="s">
        <v>128</v>
      </c>
      <c r="C56" s="375"/>
      <c r="D56" s="376"/>
      <c r="E56" s="133">
        <f>U39</f>
        <v>821317.5</v>
      </c>
      <c r="AE56" s="10"/>
    </row>
    <row r="57" spans="2:31" ht="15" customHeight="1" x14ac:dyDescent="0.2">
      <c r="AE57" s="10"/>
    </row>
    <row r="58" spans="2:31" ht="15" customHeight="1" x14ac:dyDescent="0.2">
      <c r="AE58" s="10"/>
    </row>
    <row r="59" spans="2:31" ht="15" customHeight="1" x14ac:dyDescent="0.2">
      <c r="AE59" s="10"/>
    </row>
    <row r="60" spans="2:31" ht="15" customHeight="1" x14ac:dyDescent="0.2">
      <c r="AE60" s="10"/>
    </row>
    <row r="61" spans="2:31" ht="15" customHeight="1" x14ac:dyDescent="0.2">
      <c r="AE61" s="10"/>
    </row>
    <row r="62" spans="2:31" ht="15" customHeight="1" x14ac:dyDescent="0.2">
      <c r="AE62" s="10"/>
    </row>
    <row r="63" spans="2:31" ht="15" customHeight="1" x14ac:dyDescent="0.2">
      <c r="AE63" s="10"/>
    </row>
    <row r="64" spans="2:31" ht="15" customHeight="1" x14ac:dyDescent="0.2">
      <c r="AE64" s="10"/>
    </row>
    <row r="65" spans="31:31" ht="15" customHeight="1" x14ac:dyDescent="0.2">
      <c r="AE65" s="10"/>
    </row>
    <row r="66" spans="31:31" ht="15" customHeight="1" x14ac:dyDescent="0.2">
      <c r="AE66" s="10"/>
    </row>
    <row r="67" spans="31:31" ht="15" customHeight="1" x14ac:dyDescent="0.2">
      <c r="AE67" s="10"/>
    </row>
    <row r="68" spans="31:31" ht="15" customHeight="1" x14ac:dyDescent="0.2">
      <c r="AE68" s="10"/>
    </row>
    <row r="69" spans="31:31" ht="15" customHeight="1" x14ac:dyDescent="0.2">
      <c r="AE69" s="10"/>
    </row>
    <row r="70" spans="31:31" ht="15" customHeight="1" x14ac:dyDescent="0.2">
      <c r="AE70" s="10"/>
    </row>
    <row r="71" spans="31:31" ht="15" customHeight="1" x14ac:dyDescent="0.2">
      <c r="AE71" s="10"/>
    </row>
    <row r="72" spans="31:31" ht="15" customHeight="1" x14ac:dyDescent="0.2">
      <c r="AE72" s="10"/>
    </row>
    <row r="73" spans="31:31" ht="15" customHeight="1" x14ac:dyDescent="0.2">
      <c r="AE73" s="10"/>
    </row>
    <row r="74" spans="31:31" ht="15" customHeight="1" x14ac:dyDescent="0.2">
      <c r="AE74" s="10"/>
    </row>
    <row r="75" spans="31:31" ht="15" customHeight="1" x14ac:dyDescent="0.2">
      <c r="AE75" s="10"/>
    </row>
    <row r="76" spans="31:31" ht="15" customHeight="1" x14ac:dyDescent="0.2">
      <c r="AE76" s="10"/>
    </row>
    <row r="77" spans="31:31" ht="15" customHeight="1" x14ac:dyDescent="0.2">
      <c r="AE77" s="10"/>
    </row>
    <row r="78" spans="31:31" ht="15" customHeight="1" x14ac:dyDescent="0.2">
      <c r="AE78" s="10"/>
    </row>
    <row r="79" spans="31:31" ht="15" customHeight="1" x14ac:dyDescent="0.2">
      <c r="AE79" s="10"/>
    </row>
    <row r="80" spans="31:31" ht="15" customHeight="1" x14ac:dyDescent="0.2">
      <c r="AE80" s="10"/>
    </row>
    <row r="81" spans="31:31" ht="15" customHeight="1" x14ac:dyDescent="0.2">
      <c r="AE81" s="10"/>
    </row>
    <row r="82" spans="31:31" ht="15" customHeight="1" x14ac:dyDescent="0.2">
      <c r="AE82" s="10"/>
    </row>
    <row r="83" spans="31:31" ht="15" customHeight="1" x14ac:dyDescent="0.2">
      <c r="AE83" s="10"/>
    </row>
    <row r="84" spans="31:31" ht="15" customHeight="1" x14ac:dyDescent="0.2">
      <c r="AE84" s="10"/>
    </row>
    <row r="85" spans="31:31" ht="15" customHeight="1" x14ac:dyDescent="0.2">
      <c r="AE85" s="10"/>
    </row>
    <row r="86" spans="31:31" ht="15" customHeight="1" x14ac:dyDescent="0.2">
      <c r="AE86" s="10"/>
    </row>
    <row r="87" spans="31:31" ht="15" customHeight="1" x14ac:dyDescent="0.2">
      <c r="AE87" s="10"/>
    </row>
    <row r="88" spans="31:31" ht="15" customHeight="1" x14ac:dyDescent="0.2">
      <c r="AE88" s="10"/>
    </row>
    <row r="89" spans="31:31" ht="15" customHeight="1" x14ac:dyDescent="0.2">
      <c r="AE89" s="10"/>
    </row>
    <row r="90" spans="31:31" ht="15" customHeight="1" x14ac:dyDescent="0.2">
      <c r="AE90" s="10"/>
    </row>
    <row r="91" spans="31:31" ht="15" customHeight="1" x14ac:dyDescent="0.2">
      <c r="AE91" s="10"/>
    </row>
    <row r="92" spans="31:31" ht="15" customHeight="1" x14ac:dyDescent="0.2">
      <c r="AE92" s="10"/>
    </row>
    <row r="93" spans="31:31" ht="15" customHeight="1" x14ac:dyDescent="0.2">
      <c r="AE93" s="10"/>
    </row>
    <row r="94" spans="31:31" ht="15" customHeight="1" x14ac:dyDescent="0.2">
      <c r="AE94" s="10"/>
    </row>
    <row r="95" spans="31:31" ht="15" customHeight="1" x14ac:dyDescent="0.2">
      <c r="AE95" s="10"/>
    </row>
    <row r="96" spans="31:31" ht="15" customHeight="1" x14ac:dyDescent="0.2">
      <c r="AE96" s="10"/>
    </row>
    <row r="97" spans="1:31" ht="15" customHeight="1" x14ac:dyDescent="0.2">
      <c r="AE97" s="10"/>
    </row>
    <row r="98" spans="1:31" ht="15" customHeight="1" x14ac:dyDescent="0.2">
      <c r="B98" s="2"/>
      <c r="C98" s="4"/>
      <c r="D98" s="3"/>
      <c r="E98" s="3"/>
      <c r="AD98" s="3"/>
      <c r="AE98" s="10"/>
    </row>
    <row r="99" spans="1:31" ht="15" customHeight="1" x14ac:dyDescent="0.2">
      <c r="A99" s="2"/>
      <c r="B99" s="2"/>
      <c r="C99" s="2"/>
      <c r="D99" s="2"/>
      <c r="E99" s="2"/>
      <c r="F99" s="3"/>
      <c r="G99" s="3"/>
      <c r="H99" s="3"/>
      <c r="I99" s="3"/>
      <c r="J99" s="3"/>
      <c r="K99" s="3"/>
      <c r="L99" s="3"/>
      <c r="M99" s="3"/>
      <c r="N99" s="3"/>
      <c r="O99" s="3"/>
      <c r="P99" s="3"/>
      <c r="Q99" s="3"/>
      <c r="R99" s="3"/>
      <c r="S99" s="3"/>
      <c r="T99" s="3"/>
      <c r="U99" s="3"/>
      <c r="V99" s="3"/>
      <c r="W99" s="3"/>
      <c r="X99" s="3"/>
      <c r="Y99" s="3"/>
      <c r="Z99" s="3"/>
      <c r="AA99" s="3"/>
      <c r="AB99" s="3"/>
      <c r="AC99" s="3"/>
      <c r="AD99" s="2"/>
      <c r="AE99" s="3"/>
    </row>
    <row r="100" spans="1:31" ht="15" customHeight="1" x14ac:dyDescent="0.2">
      <c r="A100" s="2"/>
      <c r="B100" s="2"/>
      <c r="C100" s="15"/>
      <c r="D100" s="15"/>
      <c r="E100" s="15"/>
      <c r="F100" s="2"/>
      <c r="G100" s="2"/>
      <c r="H100" s="2"/>
      <c r="I100" s="2"/>
      <c r="J100" s="2"/>
      <c r="K100" s="2"/>
      <c r="L100" s="2"/>
      <c r="M100" s="2"/>
      <c r="N100" s="2"/>
      <c r="O100" s="2"/>
      <c r="P100" s="2"/>
      <c r="Q100" s="2"/>
      <c r="R100" s="2"/>
      <c r="S100" s="2"/>
      <c r="T100" s="2"/>
      <c r="U100" s="2"/>
      <c r="V100" s="2"/>
      <c r="W100" s="2"/>
      <c r="X100" s="2"/>
      <c r="Y100" s="2"/>
      <c r="Z100" s="2"/>
      <c r="AA100" s="2"/>
      <c r="AB100" s="2"/>
      <c r="AC100" s="2"/>
      <c r="AD100" s="15"/>
      <c r="AE100" s="2"/>
    </row>
    <row r="101" spans="1:31" ht="15" customHeight="1" x14ac:dyDescent="0.2">
      <c r="A101" s="2"/>
      <c r="B101" s="2"/>
      <c r="C101" s="3"/>
      <c r="D101" s="3"/>
      <c r="E101" s="3"/>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3"/>
      <c r="AE101" s="15"/>
    </row>
    <row r="102" spans="1:31" ht="15" customHeight="1" x14ac:dyDescent="0.2">
      <c r="A102" s="2"/>
      <c r="F102" s="3"/>
      <c r="G102" s="3"/>
      <c r="H102" s="3"/>
      <c r="I102" s="3"/>
      <c r="J102" s="3"/>
      <c r="K102" s="3"/>
      <c r="L102" s="3"/>
      <c r="M102" s="3"/>
      <c r="N102" s="3"/>
      <c r="O102" s="3"/>
      <c r="P102" s="3"/>
      <c r="Q102" s="3"/>
      <c r="R102" s="3"/>
      <c r="S102" s="3"/>
      <c r="T102" s="3"/>
      <c r="U102" s="3"/>
      <c r="V102" s="3"/>
      <c r="W102" s="3"/>
      <c r="X102" s="3"/>
      <c r="Y102" s="3"/>
      <c r="Z102" s="3"/>
      <c r="AA102" s="3"/>
      <c r="AB102" s="3"/>
      <c r="AC102" s="3"/>
      <c r="AE102" s="3"/>
    </row>
  </sheetData>
  <sheetProtection sheet="1" objects="1" scenarios="1" selectLockedCells="1"/>
  <customSheetViews>
    <customSheetView guid="{B3F40701-2DC5-4D63-BF75-47A2E97895C7}" scale="75" hiddenColumns="1" showRuler="0">
      <pane ySplit="6" topLeftCell="A19" activePane="bottomLeft" state="frozenSplit"/>
      <selection pane="bottomLeft" activeCell="E50" sqref="E50"/>
      <pageMargins left="0.75" right="0.75" top="1" bottom="1" header="0.5" footer="0.5"/>
      <pageSetup paperSize="9" orientation="portrait" r:id="rId1"/>
      <headerFooter alignWithMargins="0"/>
    </customSheetView>
  </customSheetViews>
  <mergeCells count="30">
    <mergeCell ref="A1:AE2"/>
    <mergeCell ref="A4:A5"/>
    <mergeCell ref="B4:C4"/>
    <mergeCell ref="F4:G4"/>
    <mergeCell ref="H4:I4"/>
    <mergeCell ref="N4:O4"/>
    <mergeCell ref="B5:C5"/>
    <mergeCell ref="D4:E4"/>
    <mergeCell ref="D5:E5"/>
    <mergeCell ref="X4:Y5"/>
    <mergeCell ref="P4:Q4"/>
    <mergeCell ref="P5:Q5"/>
    <mergeCell ref="V4:W5"/>
    <mergeCell ref="R4:S5"/>
    <mergeCell ref="J4:K4"/>
    <mergeCell ref="T4:U5"/>
    <mergeCell ref="A3:AE3"/>
    <mergeCell ref="B56:D56"/>
    <mergeCell ref="B54:D54"/>
    <mergeCell ref="B52:D52"/>
    <mergeCell ref="H5:I5"/>
    <mergeCell ref="N5:O5"/>
    <mergeCell ref="F5:G5"/>
    <mergeCell ref="J5:K5"/>
    <mergeCell ref="B50:D50"/>
    <mergeCell ref="B46:D46"/>
    <mergeCell ref="B47:D47"/>
    <mergeCell ref="B48:D48"/>
    <mergeCell ref="L4:M4"/>
    <mergeCell ref="L5:M5"/>
  </mergeCells>
  <phoneticPr fontId="0" type="noConversion"/>
  <pageMargins left="0.75" right="0.75" top="1" bottom="1" header="0.5" footer="0.5"/>
  <pageSetup paperSize="9" orientation="portrait" r:id="rId2"/>
  <headerFooter alignWithMargins="0"/>
  <ignoredErrors>
    <ignoredError sqref="V39 O39 X39" formula="1"/>
    <ignoredError sqref="E47"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Y127"/>
  <sheetViews>
    <sheetView zoomScale="73" zoomScaleNormal="73" workbookViewId="0">
      <pane xSplit="1" ySplit="3" topLeftCell="B7" activePane="bottomRight" state="frozenSplit"/>
      <selection activeCell="A7" sqref="A7:A37"/>
      <selection pane="topRight" activeCell="A7" sqref="A7:A37"/>
      <selection pane="bottomLeft" activeCell="A7" sqref="A7:A37"/>
      <selection pane="bottomRight" activeCell="B44" sqref="B44"/>
    </sheetView>
  </sheetViews>
  <sheetFormatPr defaultRowHeight="15" customHeight="1" x14ac:dyDescent="0.2"/>
  <cols>
    <col min="1" max="1" width="14.28515625" style="114" customWidth="1"/>
    <col min="2" max="2" width="10.85546875" style="102" bestFit="1" customWidth="1"/>
    <col min="3" max="3" width="11.140625" style="102" customWidth="1"/>
    <col min="4" max="4" width="10" style="102" bestFit="1" customWidth="1"/>
    <col min="5" max="5" width="10" style="102" customWidth="1"/>
    <col min="6" max="11" width="11.140625" style="102" customWidth="1"/>
    <col min="12" max="12" width="12" style="102" customWidth="1"/>
    <col min="13" max="15" width="10" style="102" bestFit="1" customWidth="1"/>
    <col min="16" max="16" width="10" style="102" customWidth="1"/>
    <col min="17" max="20" width="11.140625" style="102" customWidth="1"/>
    <col min="21" max="22" width="11.140625" style="102" bestFit="1" customWidth="1"/>
    <col min="23" max="23" width="10.85546875" style="102" bestFit="1" customWidth="1"/>
    <col min="24" max="24" width="12" style="114" bestFit="1" customWidth="1"/>
    <col min="25" max="16384" width="9.140625" style="102"/>
  </cols>
  <sheetData>
    <row r="1" spans="1:24" ht="30" customHeight="1" thickBot="1" x14ac:dyDescent="0.25">
      <c r="A1" s="403" t="str">
        <f>"SAAT BAZLI ARAÇ DAĞILIMI "&amp;'GENEL HASILAT'!A3:AE3</f>
        <v>SAAT BAZLI ARAÇ DAĞILIMI EKİM 2024</v>
      </c>
      <c r="B1" s="404"/>
      <c r="C1" s="404"/>
      <c r="D1" s="404"/>
      <c r="E1" s="404"/>
      <c r="F1" s="404"/>
      <c r="G1" s="404"/>
      <c r="H1" s="404"/>
      <c r="I1" s="404"/>
      <c r="J1" s="404"/>
      <c r="K1" s="404"/>
      <c r="L1" s="404"/>
      <c r="M1" s="404"/>
      <c r="N1" s="404"/>
      <c r="O1" s="404"/>
      <c r="P1" s="404"/>
      <c r="Q1" s="404"/>
      <c r="R1" s="404"/>
      <c r="S1" s="404"/>
      <c r="T1" s="404"/>
      <c r="U1" s="404"/>
      <c r="V1" s="404"/>
      <c r="W1" s="404"/>
      <c r="X1" s="405"/>
    </row>
    <row r="2" spans="1:24" ht="21.75" customHeight="1" x14ac:dyDescent="0.2">
      <c r="A2" s="231" t="s">
        <v>1</v>
      </c>
      <c r="B2" s="406" t="s">
        <v>34</v>
      </c>
      <c r="C2" s="407"/>
      <c r="D2" s="407"/>
      <c r="E2" s="407"/>
      <c r="F2" s="407"/>
      <c r="G2" s="407"/>
      <c r="H2" s="407"/>
      <c r="I2" s="407"/>
      <c r="J2" s="407"/>
      <c r="K2" s="407"/>
      <c r="L2" s="408"/>
      <c r="M2" s="409" t="s">
        <v>35</v>
      </c>
      <c r="N2" s="410"/>
      <c r="O2" s="410"/>
      <c r="P2" s="410"/>
      <c r="Q2" s="410"/>
      <c r="R2" s="410"/>
      <c r="S2" s="410"/>
      <c r="T2" s="410"/>
      <c r="U2" s="410"/>
      <c r="V2" s="410"/>
      <c r="W2" s="411"/>
      <c r="X2" s="412" t="s">
        <v>36</v>
      </c>
    </row>
    <row r="3" spans="1:24" ht="15" customHeight="1" x14ac:dyDescent="0.2">
      <c r="A3" s="232"/>
      <c r="B3" s="244" t="s">
        <v>37</v>
      </c>
      <c r="C3" s="245" t="s">
        <v>38</v>
      </c>
      <c r="D3" s="246" t="s">
        <v>39</v>
      </c>
      <c r="E3" s="246" t="s">
        <v>40</v>
      </c>
      <c r="F3" s="246" t="s">
        <v>41</v>
      </c>
      <c r="G3" s="246" t="s">
        <v>88</v>
      </c>
      <c r="H3" s="246" t="s">
        <v>89</v>
      </c>
      <c r="I3" s="246" t="s">
        <v>90</v>
      </c>
      <c r="J3" s="246" t="s">
        <v>91</v>
      </c>
      <c r="K3" s="246" t="s">
        <v>92</v>
      </c>
      <c r="L3" s="247" t="s">
        <v>28</v>
      </c>
      <c r="M3" s="236" t="s">
        <v>37</v>
      </c>
      <c r="N3" s="237" t="s">
        <v>38</v>
      </c>
      <c r="O3" s="238" t="s">
        <v>39</v>
      </c>
      <c r="P3" s="238" t="s">
        <v>40</v>
      </c>
      <c r="Q3" s="238" t="s">
        <v>41</v>
      </c>
      <c r="R3" s="238" t="s">
        <v>88</v>
      </c>
      <c r="S3" s="238" t="s">
        <v>89</v>
      </c>
      <c r="T3" s="238" t="s">
        <v>90</v>
      </c>
      <c r="U3" s="238" t="s">
        <v>91</v>
      </c>
      <c r="V3" s="238" t="s">
        <v>92</v>
      </c>
      <c r="W3" s="239" t="s">
        <v>28</v>
      </c>
      <c r="X3" s="413"/>
    </row>
    <row r="4" spans="1:24" ht="15" customHeight="1" x14ac:dyDescent="0.2">
      <c r="A4" s="401">
        <f>'GENEL HASILAT'!A7</f>
        <v>45566</v>
      </c>
      <c r="B4" s="95">
        <f>39+93+145</f>
        <v>277</v>
      </c>
      <c r="C4" s="96">
        <f>101+78+48+74</f>
        <v>301</v>
      </c>
      <c r="D4" s="96">
        <f>22+11+7</f>
        <v>40</v>
      </c>
      <c r="E4" s="96">
        <v>20</v>
      </c>
      <c r="F4" s="96">
        <v>8</v>
      </c>
      <c r="G4" s="96">
        <v>0</v>
      </c>
      <c r="H4" s="96">
        <v>12</v>
      </c>
      <c r="I4" s="96">
        <v>45</v>
      </c>
      <c r="J4" s="96">
        <v>39</v>
      </c>
      <c r="K4" s="96">
        <f>27+18+33</f>
        <v>78</v>
      </c>
      <c r="L4" s="248">
        <f>SUM(B4:K4)</f>
        <v>820</v>
      </c>
      <c r="M4" s="95">
        <f>95+32+37</f>
        <v>164</v>
      </c>
      <c r="N4" s="96">
        <f>36+25+22+28</f>
        <v>111</v>
      </c>
      <c r="O4" s="96">
        <v>22</v>
      </c>
      <c r="P4" s="96">
        <v>1</v>
      </c>
      <c r="Q4" s="96">
        <v>1</v>
      </c>
      <c r="R4" s="96">
        <v>0</v>
      </c>
      <c r="S4" s="96">
        <v>0</v>
      </c>
      <c r="T4" s="96">
        <v>0</v>
      </c>
      <c r="U4" s="96">
        <v>1</v>
      </c>
      <c r="V4" s="96">
        <v>0</v>
      </c>
      <c r="W4" s="240">
        <f>SUM(M4:V4)</f>
        <v>300</v>
      </c>
      <c r="X4" s="233">
        <f>W4+L4</f>
        <v>1120</v>
      </c>
    </row>
    <row r="5" spans="1:24" ht="15" customHeight="1" x14ac:dyDescent="0.2">
      <c r="A5" s="402"/>
      <c r="B5" s="103">
        <f>B4/L4</f>
        <v>0.33780487804878051</v>
      </c>
      <c r="C5" s="104">
        <f>C4/L4</f>
        <v>0.36707317073170731</v>
      </c>
      <c r="D5" s="104">
        <f>D4/L4</f>
        <v>4.878048780487805E-2</v>
      </c>
      <c r="E5" s="104">
        <f>E4/L4</f>
        <v>2.4390243902439025E-2</v>
      </c>
      <c r="F5" s="104">
        <f>F4/L4</f>
        <v>9.7560975609756097E-3</v>
      </c>
      <c r="G5" s="104">
        <f>G4/L4</f>
        <v>0</v>
      </c>
      <c r="H5" s="104">
        <f>H4/L4</f>
        <v>1.4634146341463415E-2</v>
      </c>
      <c r="I5" s="104">
        <f>I4/L4</f>
        <v>5.4878048780487805E-2</v>
      </c>
      <c r="J5" s="104">
        <f>J4/L4</f>
        <v>4.7560975609756098E-2</v>
      </c>
      <c r="K5" s="104">
        <f>K4/L4</f>
        <v>9.5121951219512196E-2</v>
      </c>
      <c r="L5" s="249">
        <f>L4/X4</f>
        <v>0.7321428571428571</v>
      </c>
      <c r="M5" s="103">
        <f>M4/W4</f>
        <v>0.54666666666666663</v>
      </c>
      <c r="N5" s="104">
        <f>N4/W4</f>
        <v>0.37</v>
      </c>
      <c r="O5" s="104">
        <f>O4/W4</f>
        <v>7.3333333333333334E-2</v>
      </c>
      <c r="P5" s="104">
        <f>P4/W4</f>
        <v>3.3333333333333335E-3</v>
      </c>
      <c r="Q5" s="104">
        <f>Q4/W4</f>
        <v>3.3333333333333335E-3</v>
      </c>
      <c r="R5" s="104">
        <f>R4/W4</f>
        <v>0</v>
      </c>
      <c r="S5" s="104">
        <f>S4/W4</f>
        <v>0</v>
      </c>
      <c r="T5" s="104">
        <f>T4/W4</f>
        <v>0</v>
      </c>
      <c r="U5" s="104">
        <f>U4/W4</f>
        <v>3.3333333333333335E-3</v>
      </c>
      <c r="V5" s="104">
        <f>V4/W4</f>
        <v>0</v>
      </c>
      <c r="W5" s="241">
        <f>W4/X4</f>
        <v>0.26785714285714285</v>
      </c>
      <c r="X5" s="234">
        <f t="shared" ref="X5:X36" si="0">+L5+W5</f>
        <v>1</v>
      </c>
    </row>
    <row r="6" spans="1:24" ht="15" customHeight="1" x14ac:dyDescent="0.2">
      <c r="A6" s="401">
        <f>'GENEL HASILAT'!A8</f>
        <v>45567</v>
      </c>
      <c r="B6" s="95">
        <v>288</v>
      </c>
      <c r="C6" s="96">
        <v>250</v>
      </c>
      <c r="D6" s="96">
        <v>17</v>
      </c>
      <c r="E6" s="96">
        <v>13</v>
      </c>
      <c r="F6" s="96">
        <v>12</v>
      </c>
      <c r="G6" s="96">
        <v>1</v>
      </c>
      <c r="H6" s="96">
        <v>13</v>
      </c>
      <c r="I6" s="96">
        <v>33</v>
      </c>
      <c r="J6" s="96">
        <v>32</v>
      </c>
      <c r="K6" s="96">
        <v>48</v>
      </c>
      <c r="L6" s="248">
        <f>SUM(B6:K6)</f>
        <v>707</v>
      </c>
      <c r="M6" s="95">
        <v>155</v>
      </c>
      <c r="N6" s="96">
        <v>72</v>
      </c>
      <c r="O6" s="96">
        <v>7</v>
      </c>
      <c r="P6" s="96">
        <v>2</v>
      </c>
      <c r="Q6" s="96">
        <v>0</v>
      </c>
      <c r="R6" s="96">
        <v>0</v>
      </c>
      <c r="S6" s="96">
        <v>0</v>
      </c>
      <c r="T6" s="96">
        <v>0</v>
      </c>
      <c r="U6" s="96">
        <v>0</v>
      </c>
      <c r="V6" s="96">
        <v>0</v>
      </c>
      <c r="W6" s="240">
        <f>SUM(M6:V6)</f>
        <v>236</v>
      </c>
      <c r="X6" s="235">
        <f t="shared" si="0"/>
        <v>943</v>
      </c>
    </row>
    <row r="7" spans="1:24" ht="15" customHeight="1" x14ac:dyDescent="0.2">
      <c r="A7" s="402"/>
      <c r="B7" s="103">
        <f>B6/L6</f>
        <v>0.40735502121640738</v>
      </c>
      <c r="C7" s="104">
        <f>C6/L6</f>
        <v>0.3536067892503536</v>
      </c>
      <c r="D7" s="104">
        <f>D6/L6</f>
        <v>2.4045261669024046E-2</v>
      </c>
      <c r="E7" s="104">
        <f>E6/L6</f>
        <v>1.8387553041018388E-2</v>
      </c>
      <c r="F7" s="104">
        <f>F6/L6</f>
        <v>1.6973125884016973E-2</v>
      </c>
      <c r="G7" s="104">
        <f>G6/L6</f>
        <v>1.4144271570014145E-3</v>
      </c>
      <c r="H7" s="104">
        <f>H6/L6</f>
        <v>1.8387553041018388E-2</v>
      </c>
      <c r="I7" s="104">
        <f>I6/L6</f>
        <v>4.6676096181046678E-2</v>
      </c>
      <c r="J7" s="104">
        <f>J6/L6</f>
        <v>4.5261669024045263E-2</v>
      </c>
      <c r="K7" s="104">
        <f>K6/L6</f>
        <v>6.7892503536067891E-2</v>
      </c>
      <c r="L7" s="249">
        <f>L6/X6</f>
        <v>0.74973488865323434</v>
      </c>
      <c r="M7" s="103">
        <f>M6/W6</f>
        <v>0.65677966101694918</v>
      </c>
      <c r="N7" s="104">
        <f>N6/W6</f>
        <v>0.30508474576271188</v>
      </c>
      <c r="O7" s="104">
        <f>O6/W6</f>
        <v>2.9661016949152543E-2</v>
      </c>
      <c r="P7" s="104">
        <f>P6/W6</f>
        <v>8.4745762711864406E-3</v>
      </c>
      <c r="Q7" s="104">
        <f>Q6/W6</f>
        <v>0</v>
      </c>
      <c r="R7" s="104">
        <f>R6/W6</f>
        <v>0</v>
      </c>
      <c r="S7" s="104">
        <f>S6/W6</f>
        <v>0</v>
      </c>
      <c r="T7" s="104">
        <f>T6/W6</f>
        <v>0</v>
      </c>
      <c r="U7" s="104">
        <f>U6/W6</f>
        <v>0</v>
      </c>
      <c r="V7" s="104">
        <f>V6/W6</f>
        <v>0</v>
      </c>
      <c r="W7" s="241">
        <f>W6/X6</f>
        <v>0.25026511134676566</v>
      </c>
      <c r="X7" s="234">
        <f t="shared" si="0"/>
        <v>1</v>
      </c>
    </row>
    <row r="8" spans="1:24" ht="15" customHeight="1" x14ac:dyDescent="0.2">
      <c r="A8" s="401">
        <f>'GENEL HASILAT'!A9</f>
        <v>45568</v>
      </c>
      <c r="B8" s="95">
        <v>288</v>
      </c>
      <c r="C8" s="96">
        <v>238</v>
      </c>
      <c r="D8" s="96">
        <v>19</v>
      </c>
      <c r="E8" s="96">
        <v>13</v>
      </c>
      <c r="F8" s="96">
        <v>8</v>
      </c>
      <c r="G8" s="96">
        <v>0</v>
      </c>
      <c r="H8" s="96">
        <v>16</v>
      </c>
      <c r="I8" s="96">
        <v>33</v>
      </c>
      <c r="J8" s="96">
        <v>43</v>
      </c>
      <c r="K8" s="96">
        <v>63</v>
      </c>
      <c r="L8" s="248">
        <f>SUM(B8:K8)</f>
        <v>721</v>
      </c>
      <c r="M8" s="95">
        <v>174</v>
      </c>
      <c r="N8" s="96">
        <v>79</v>
      </c>
      <c r="O8" s="96">
        <v>11</v>
      </c>
      <c r="P8" s="96">
        <v>0</v>
      </c>
      <c r="Q8" s="96">
        <v>0</v>
      </c>
      <c r="R8" s="96">
        <v>0</v>
      </c>
      <c r="S8" s="96">
        <v>1</v>
      </c>
      <c r="T8" s="96">
        <v>1</v>
      </c>
      <c r="U8" s="96">
        <v>0</v>
      </c>
      <c r="V8" s="96">
        <v>0</v>
      </c>
      <c r="W8" s="240">
        <f>SUM(M8:V8)</f>
        <v>266</v>
      </c>
      <c r="X8" s="235">
        <f t="shared" si="0"/>
        <v>987</v>
      </c>
    </row>
    <row r="9" spans="1:24" ht="15" customHeight="1" x14ac:dyDescent="0.2">
      <c r="A9" s="402"/>
      <c r="B9" s="103">
        <f>B8/L8</f>
        <v>0.39944521497919555</v>
      </c>
      <c r="C9" s="104">
        <f>C8/L8</f>
        <v>0.3300970873786408</v>
      </c>
      <c r="D9" s="104">
        <f>D8/L8</f>
        <v>2.6352288488210817E-2</v>
      </c>
      <c r="E9" s="104">
        <f>E8/L8</f>
        <v>1.8030513176144243E-2</v>
      </c>
      <c r="F9" s="104">
        <f>F8/L8</f>
        <v>1.1095700416088766E-2</v>
      </c>
      <c r="G9" s="104">
        <f>G8/L8</f>
        <v>0</v>
      </c>
      <c r="H9" s="104">
        <f>H8/L8</f>
        <v>2.2191400832177532E-2</v>
      </c>
      <c r="I9" s="104">
        <f>I8/L8</f>
        <v>4.5769764216366159E-2</v>
      </c>
      <c r="J9" s="104">
        <f>J8/L8</f>
        <v>5.9639389736477116E-2</v>
      </c>
      <c r="K9" s="104">
        <f>K8/L8</f>
        <v>8.7378640776699032E-2</v>
      </c>
      <c r="L9" s="249">
        <f>L8/X8</f>
        <v>0.73049645390070927</v>
      </c>
      <c r="M9" s="103">
        <f>M8/W8</f>
        <v>0.65413533834586468</v>
      </c>
      <c r="N9" s="104">
        <f>N8/W8</f>
        <v>0.29699248120300753</v>
      </c>
      <c r="O9" s="104">
        <f>O8/W8</f>
        <v>4.1353383458646614E-2</v>
      </c>
      <c r="P9" s="104">
        <f>P8/W8</f>
        <v>0</v>
      </c>
      <c r="Q9" s="104">
        <f>Q8/W8</f>
        <v>0</v>
      </c>
      <c r="R9" s="104">
        <f>R8/W8</f>
        <v>0</v>
      </c>
      <c r="S9" s="104">
        <f>S8/W8</f>
        <v>3.7593984962406013E-3</v>
      </c>
      <c r="T9" s="104">
        <f>T8/W8</f>
        <v>3.7593984962406013E-3</v>
      </c>
      <c r="U9" s="104">
        <f>U8/W8</f>
        <v>0</v>
      </c>
      <c r="V9" s="104">
        <f>V8/W8</f>
        <v>0</v>
      </c>
      <c r="W9" s="241">
        <f>W8/X8</f>
        <v>0.26950354609929078</v>
      </c>
      <c r="X9" s="234">
        <f t="shared" si="0"/>
        <v>1</v>
      </c>
    </row>
    <row r="10" spans="1:24" ht="15" customHeight="1" x14ac:dyDescent="0.2">
      <c r="A10" s="401">
        <f>'GENEL HASILAT'!A10</f>
        <v>45569</v>
      </c>
      <c r="B10" s="95">
        <f>57+73+97</f>
        <v>227</v>
      </c>
      <c r="C10" s="96">
        <f>79+47+33+34</f>
        <v>193</v>
      </c>
      <c r="D10" s="96">
        <f>17+6</f>
        <v>23</v>
      </c>
      <c r="E10" s="96">
        <v>10</v>
      </c>
      <c r="F10" s="96">
        <v>13</v>
      </c>
      <c r="G10" s="96">
        <v>1</v>
      </c>
      <c r="H10" s="96">
        <v>15</v>
      </c>
      <c r="I10" s="96">
        <v>34</v>
      </c>
      <c r="J10" s="96">
        <v>34</v>
      </c>
      <c r="K10" s="96">
        <f>43+12+10+6</f>
        <v>71</v>
      </c>
      <c r="L10" s="248">
        <f>SUM(B10:K10)</f>
        <v>621</v>
      </c>
      <c r="M10" s="95">
        <f>98+28+33</f>
        <v>159</v>
      </c>
      <c r="N10" s="96">
        <f>19+17+20+28</f>
        <v>84</v>
      </c>
      <c r="O10" s="96">
        <f>12+11+4</f>
        <v>27</v>
      </c>
      <c r="P10" s="96">
        <v>1</v>
      </c>
      <c r="Q10" s="96">
        <v>0</v>
      </c>
      <c r="R10" s="96">
        <v>0</v>
      </c>
      <c r="S10" s="96">
        <v>0</v>
      </c>
      <c r="T10" s="96">
        <v>0</v>
      </c>
      <c r="U10" s="96">
        <v>0</v>
      </c>
      <c r="V10" s="96">
        <v>0</v>
      </c>
      <c r="W10" s="240">
        <f>SUM(M10:V10)</f>
        <v>271</v>
      </c>
      <c r="X10" s="235">
        <f t="shared" si="0"/>
        <v>892</v>
      </c>
    </row>
    <row r="11" spans="1:24" ht="15" customHeight="1" x14ac:dyDescent="0.2">
      <c r="A11" s="402"/>
      <c r="B11" s="103">
        <f>B10/L10</f>
        <v>0.36553945249597425</v>
      </c>
      <c r="C11" s="104">
        <f>C10/L10</f>
        <v>0.31078904991948469</v>
      </c>
      <c r="D11" s="104">
        <f>D10/L10</f>
        <v>3.7037037037037035E-2</v>
      </c>
      <c r="E11" s="104">
        <f>E10/L10</f>
        <v>1.610305958132045E-2</v>
      </c>
      <c r="F11" s="104">
        <f>F10/L10</f>
        <v>2.0933977455716585E-2</v>
      </c>
      <c r="G11" s="104">
        <f>G10/L10</f>
        <v>1.6103059581320451E-3</v>
      </c>
      <c r="H11" s="104">
        <f>H10/L10</f>
        <v>2.4154589371980676E-2</v>
      </c>
      <c r="I11" s="104">
        <f>I10/L10</f>
        <v>5.4750402576489533E-2</v>
      </c>
      <c r="J11" s="104">
        <f>J10/L10</f>
        <v>5.4750402576489533E-2</v>
      </c>
      <c r="K11" s="104">
        <f>K10/L10</f>
        <v>0.1143317230273752</v>
      </c>
      <c r="L11" s="249">
        <f>L10/X10</f>
        <v>0.69618834080717484</v>
      </c>
      <c r="M11" s="103">
        <f>M10/W10</f>
        <v>0.58671586715867163</v>
      </c>
      <c r="N11" s="104">
        <f>N10/W10</f>
        <v>0.30996309963099633</v>
      </c>
      <c r="O11" s="104">
        <f>O10/W10</f>
        <v>9.9630996309963096E-2</v>
      </c>
      <c r="P11" s="104">
        <f>P10/W10</f>
        <v>3.6900369003690036E-3</v>
      </c>
      <c r="Q11" s="104">
        <f>Q10/W10</f>
        <v>0</v>
      </c>
      <c r="R11" s="104">
        <f>R10/W10</f>
        <v>0</v>
      </c>
      <c r="S11" s="104">
        <f>S10/W10</f>
        <v>0</v>
      </c>
      <c r="T11" s="104">
        <f>T10/W10</f>
        <v>0</v>
      </c>
      <c r="U11" s="104">
        <f>U10/W10</f>
        <v>0</v>
      </c>
      <c r="V11" s="104">
        <f>V10/W10</f>
        <v>0</v>
      </c>
      <c r="W11" s="241">
        <f>W10/X10</f>
        <v>0.3038116591928251</v>
      </c>
      <c r="X11" s="234">
        <f t="shared" si="0"/>
        <v>1</v>
      </c>
    </row>
    <row r="12" spans="1:24" ht="15" customHeight="1" x14ac:dyDescent="0.2">
      <c r="A12" s="401">
        <f>'GENEL HASILAT'!A11</f>
        <v>45570</v>
      </c>
      <c r="B12" s="95">
        <f>37+106+139</f>
        <v>282</v>
      </c>
      <c r="C12" s="96">
        <f>90+55+43+36</f>
        <v>224</v>
      </c>
      <c r="D12" s="96">
        <v>19</v>
      </c>
      <c r="E12" s="96">
        <v>23</v>
      </c>
      <c r="F12" s="96">
        <v>9</v>
      </c>
      <c r="G12" s="96">
        <v>0</v>
      </c>
      <c r="H12" s="96">
        <v>22</v>
      </c>
      <c r="I12" s="96">
        <v>26</v>
      </c>
      <c r="J12" s="96">
        <v>51</v>
      </c>
      <c r="K12" s="96">
        <f>30+11+43</f>
        <v>84</v>
      </c>
      <c r="L12" s="248">
        <f>SUM(B12:K12)</f>
        <v>740</v>
      </c>
      <c r="M12" s="95">
        <f>146+52+54</f>
        <v>252</v>
      </c>
      <c r="N12" s="96">
        <f>33+23+20+21</f>
        <v>97</v>
      </c>
      <c r="O12" s="96">
        <v>26</v>
      </c>
      <c r="P12" s="96">
        <v>3</v>
      </c>
      <c r="Q12" s="96">
        <v>0</v>
      </c>
      <c r="R12" s="96">
        <v>0</v>
      </c>
      <c r="S12" s="96">
        <v>0</v>
      </c>
      <c r="T12" s="96">
        <v>0</v>
      </c>
      <c r="U12" s="96">
        <v>0</v>
      </c>
      <c r="V12" s="96">
        <v>3</v>
      </c>
      <c r="W12" s="240">
        <f>SUM(M12:V12)</f>
        <v>381</v>
      </c>
      <c r="X12" s="235">
        <f t="shared" si="0"/>
        <v>1121</v>
      </c>
    </row>
    <row r="13" spans="1:24" ht="15" customHeight="1" x14ac:dyDescent="0.2">
      <c r="A13" s="402"/>
      <c r="B13" s="103">
        <f>B12/L12</f>
        <v>0.38108108108108107</v>
      </c>
      <c r="C13" s="104">
        <f>C12/L12</f>
        <v>0.30270270270270272</v>
      </c>
      <c r="D13" s="104">
        <f>D12/L12</f>
        <v>2.5675675675675677E-2</v>
      </c>
      <c r="E13" s="104">
        <f>E12/L12</f>
        <v>3.1081081081081083E-2</v>
      </c>
      <c r="F13" s="104">
        <f>F12/L12</f>
        <v>1.2162162162162163E-2</v>
      </c>
      <c r="G13" s="104">
        <f>G12/L12</f>
        <v>0</v>
      </c>
      <c r="H13" s="104">
        <f>H12/L12</f>
        <v>2.9729729729729731E-2</v>
      </c>
      <c r="I13" s="104">
        <f>I12/L12</f>
        <v>3.5135135135135137E-2</v>
      </c>
      <c r="J13" s="104">
        <f>J12/L12</f>
        <v>6.8918918918918923E-2</v>
      </c>
      <c r="K13" s="104">
        <f>K12/L12</f>
        <v>0.11351351351351352</v>
      </c>
      <c r="L13" s="249">
        <f>L12/X12</f>
        <v>0.66012488849241746</v>
      </c>
      <c r="M13" s="103">
        <f>M12/W12</f>
        <v>0.66141732283464572</v>
      </c>
      <c r="N13" s="104">
        <f>N12/W12</f>
        <v>0.25459317585301838</v>
      </c>
      <c r="O13" s="104">
        <f>O12/W12</f>
        <v>6.8241469816272965E-2</v>
      </c>
      <c r="P13" s="104">
        <f>P12/W12</f>
        <v>7.874015748031496E-3</v>
      </c>
      <c r="Q13" s="104">
        <f>Q12/W12</f>
        <v>0</v>
      </c>
      <c r="R13" s="104">
        <f>R12/W12</f>
        <v>0</v>
      </c>
      <c r="S13" s="104">
        <f>S12/W12</f>
        <v>0</v>
      </c>
      <c r="T13" s="104">
        <f>T12/W12</f>
        <v>0</v>
      </c>
      <c r="U13" s="104">
        <f>U12/W12</f>
        <v>0</v>
      </c>
      <c r="V13" s="104">
        <f>V12/W12</f>
        <v>7.874015748031496E-3</v>
      </c>
      <c r="W13" s="241">
        <f>W12/X12</f>
        <v>0.33987511150758254</v>
      </c>
      <c r="X13" s="234">
        <f t="shared" si="0"/>
        <v>1</v>
      </c>
    </row>
    <row r="14" spans="1:24" ht="15" customHeight="1" x14ac:dyDescent="0.2">
      <c r="A14" s="401">
        <f>'GENEL HASILAT'!A12</f>
        <v>45571</v>
      </c>
      <c r="B14" s="95">
        <f>137+89+45</f>
        <v>271</v>
      </c>
      <c r="C14" s="96">
        <f>103+68+28+34</f>
        <v>233</v>
      </c>
      <c r="D14" s="96">
        <f>7+6+5</f>
        <v>18</v>
      </c>
      <c r="E14" s="96">
        <v>18</v>
      </c>
      <c r="F14" s="96">
        <v>9</v>
      </c>
      <c r="G14" s="96">
        <v>0</v>
      </c>
      <c r="H14" s="96">
        <v>37</v>
      </c>
      <c r="I14" s="96">
        <v>104</v>
      </c>
      <c r="J14" s="96">
        <v>108</v>
      </c>
      <c r="K14" s="96">
        <f>58+19+9+40+8+9+3</f>
        <v>146</v>
      </c>
      <c r="L14" s="248">
        <f>SUM(B14:K14)</f>
        <v>944</v>
      </c>
      <c r="M14" s="95">
        <f>109+63+56</f>
        <v>228</v>
      </c>
      <c r="N14" s="96">
        <f>45+23+14+15</f>
        <v>97</v>
      </c>
      <c r="O14" s="96">
        <v>9</v>
      </c>
      <c r="P14" s="96">
        <v>2</v>
      </c>
      <c r="Q14" s="96">
        <v>0</v>
      </c>
      <c r="R14" s="96">
        <v>0</v>
      </c>
      <c r="S14" s="96">
        <v>0</v>
      </c>
      <c r="T14" s="96">
        <v>2</v>
      </c>
      <c r="U14" s="96">
        <v>4</v>
      </c>
      <c r="V14" s="96">
        <v>8</v>
      </c>
      <c r="W14" s="240">
        <f>SUM(M14:V14)</f>
        <v>350</v>
      </c>
      <c r="X14" s="235">
        <f t="shared" si="0"/>
        <v>1294</v>
      </c>
    </row>
    <row r="15" spans="1:24" ht="15" customHeight="1" x14ac:dyDescent="0.2">
      <c r="A15" s="402"/>
      <c r="B15" s="103">
        <f>B14/L14</f>
        <v>0.28707627118644069</v>
      </c>
      <c r="C15" s="104">
        <f>C14/L14</f>
        <v>0.24682203389830509</v>
      </c>
      <c r="D15" s="104">
        <f>D14/L14</f>
        <v>1.9067796610169493E-2</v>
      </c>
      <c r="E15" s="104">
        <f>E14/L14</f>
        <v>1.9067796610169493E-2</v>
      </c>
      <c r="F15" s="104">
        <f>F14/L14</f>
        <v>9.5338983050847464E-3</v>
      </c>
      <c r="G15" s="104">
        <f>G14/L14</f>
        <v>0</v>
      </c>
      <c r="H15" s="104">
        <f>H14/L14</f>
        <v>3.9194915254237288E-2</v>
      </c>
      <c r="I15" s="104">
        <f>I14/L14</f>
        <v>0.11016949152542373</v>
      </c>
      <c r="J15" s="104">
        <f>J14/L14</f>
        <v>0.11440677966101695</v>
      </c>
      <c r="K15" s="104">
        <f>K14/L14</f>
        <v>0.15466101694915255</v>
      </c>
      <c r="L15" s="249">
        <f>L14/X14</f>
        <v>0.72952086553323026</v>
      </c>
      <c r="M15" s="103">
        <f>M14/W14</f>
        <v>0.65142857142857147</v>
      </c>
      <c r="N15" s="104">
        <f>N14/W14</f>
        <v>0.27714285714285714</v>
      </c>
      <c r="O15" s="104">
        <f>O14/W14</f>
        <v>2.5714285714285714E-2</v>
      </c>
      <c r="P15" s="104">
        <f>P14/W14</f>
        <v>5.7142857142857143E-3</v>
      </c>
      <c r="Q15" s="104">
        <f>Q14/W14</f>
        <v>0</v>
      </c>
      <c r="R15" s="104">
        <f>R14/W14</f>
        <v>0</v>
      </c>
      <c r="S15" s="104">
        <f>S14/W14</f>
        <v>0</v>
      </c>
      <c r="T15" s="104">
        <f>T14/W14</f>
        <v>5.7142857142857143E-3</v>
      </c>
      <c r="U15" s="104">
        <f>U14/W14</f>
        <v>1.1428571428571429E-2</v>
      </c>
      <c r="V15" s="104">
        <f>V14/W14</f>
        <v>2.2857142857142857E-2</v>
      </c>
      <c r="W15" s="241">
        <f>W14/X14</f>
        <v>0.27047913446676969</v>
      </c>
      <c r="X15" s="234">
        <f t="shared" si="0"/>
        <v>1</v>
      </c>
    </row>
    <row r="16" spans="1:24" ht="15" customHeight="1" x14ac:dyDescent="0.2">
      <c r="A16" s="401">
        <f>'GENEL HASILAT'!A13</f>
        <v>45572</v>
      </c>
      <c r="B16" s="95">
        <f>27+85+114</f>
        <v>226</v>
      </c>
      <c r="C16" s="96">
        <f>55+49+40+33</f>
        <v>177</v>
      </c>
      <c r="D16" s="96">
        <v>20</v>
      </c>
      <c r="E16" s="96">
        <v>21</v>
      </c>
      <c r="F16" s="96">
        <v>13</v>
      </c>
      <c r="G16" s="96">
        <v>0</v>
      </c>
      <c r="H16" s="96">
        <v>18</v>
      </c>
      <c r="I16" s="96">
        <v>77</v>
      </c>
      <c r="J16" s="96">
        <v>104</v>
      </c>
      <c r="K16" s="96">
        <v>81</v>
      </c>
      <c r="L16" s="248">
        <f>SUM(B16:K16)</f>
        <v>737</v>
      </c>
      <c r="M16" s="95">
        <v>182</v>
      </c>
      <c r="N16" s="96">
        <v>89</v>
      </c>
      <c r="O16" s="96">
        <v>15</v>
      </c>
      <c r="P16" s="96">
        <v>3</v>
      </c>
      <c r="Q16" s="96">
        <v>1</v>
      </c>
      <c r="R16" s="96">
        <v>0</v>
      </c>
      <c r="S16" s="96">
        <v>1</v>
      </c>
      <c r="T16" s="96">
        <v>8</v>
      </c>
      <c r="U16" s="96">
        <v>7</v>
      </c>
      <c r="V16" s="96">
        <v>2</v>
      </c>
      <c r="W16" s="240">
        <f>SUM(M16:V16)</f>
        <v>308</v>
      </c>
      <c r="X16" s="235">
        <f t="shared" si="0"/>
        <v>1045</v>
      </c>
    </row>
    <row r="17" spans="1:24" ht="15" customHeight="1" x14ac:dyDescent="0.2">
      <c r="A17" s="402"/>
      <c r="B17" s="103">
        <f>B16/L16</f>
        <v>0.30664857530529172</v>
      </c>
      <c r="C17" s="104">
        <f>C16/L16</f>
        <v>0.24016282225237448</v>
      </c>
      <c r="D17" s="104">
        <f>D16/L16</f>
        <v>2.7137042062415198E-2</v>
      </c>
      <c r="E17" s="104">
        <f>E16/L16</f>
        <v>2.8493894165535955E-2</v>
      </c>
      <c r="F17" s="104">
        <f>F16/L16</f>
        <v>1.7639077340569877E-2</v>
      </c>
      <c r="G17" s="104">
        <f>G16/L16</f>
        <v>0</v>
      </c>
      <c r="H17" s="104">
        <f>H16/L16</f>
        <v>2.4423337856173677E-2</v>
      </c>
      <c r="I17" s="104">
        <f>I16/L16</f>
        <v>0.1044776119402985</v>
      </c>
      <c r="J17" s="104">
        <f>J16/L16</f>
        <v>0.14111261872455902</v>
      </c>
      <c r="K17" s="104">
        <f>K16/L16</f>
        <v>0.10990502035278155</v>
      </c>
      <c r="L17" s="249">
        <f>L16/X16</f>
        <v>0.70526315789473681</v>
      </c>
      <c r="M17" s="103">
        <f>M16/W16</f>
        <v>0.59090909090909094</v>
      </c>
      <c r="N17" s="104">
        <f>N16/W16</f>
        <v>0.28896103896103897</v>
      </c>
      <c r="O17" s="104">
        <f>O16/W16</f>
        <v>4.8701298701298704E-2</v>
      </c>
      <c r="P17" s="104">
        <f>P16/W16</f>
        <v>9.74025974025974E-3</v>
      </c>
      <c r="Q17" s="104">
        <f>Q16/W16</f>
        <v>3.246753246753247E-3</v>
      </c>
      <c r="R17" s="104">
        <f>R16/W16</f>
        <v>0</v>
      </c>
      <c r="S17" s="104">
        <f>S16/W16</f>
        <v>3.246753246753247E-3</v>
      </c>
      <c r="T17" s="104">
        <f>T16/W16</f>
        <v>2.5974025974025976E-2</v>
      </c>
      <c r="U17" s="104">
        <f>U16/W16</f>
        <v>2.2727272727272728E-2</v>
      </c>
      <c r="V17" s="104">
        <f>V16/W16</f>
        <v>6.4935064935064939E-3</v>
      </c>
      <c r="W17" s="241">
        <f>W16/X16</f>
        <v>0.29473684210526313</v>
      </c>
      <c r="X17" s="234">
        <f t="shared" si="0"/>
        <v>1</v>
      </c>
    </row>
    <row r="18" spans="1:24" ht="15" customHeight="1" x14ac:dyDescent="0.2">
      <c r="A18" s="401">
        <f>'GENEL HASILAT'!A14</f>
        <v>45573</v>
      </c>
      <c r="B18" s="95">
        <v>203</v>
      </c>
      <c r="C18" s="96">
        <v>229</v>
      </c>
      <c r="D18" s="96">
        <v>18</v>
      </c>
      <c r="E18" s="96">
        <v>16</v>
      </c>
      <c r="F18" s="96">
        <v>10</v>
      </c>
      <c r="G18" s="96">
        <v>0</v>
      </c>
      <c r="H18" s="96">
        <v>17</v>
      </c>
      <c r="I18" s="96">
        <v>35</v>
      </c>
      <c r="J18" s="96">
        <v>43</v>
      </c>
      <c r="K18" s="96">
        <v>92</v>
      </c>
      <c r="L18" s="248">
        <f>SUM(B18:K18)</f>
        <v>663</v>
      </c>
      <c r="M18" s="95">
        <v>140</v>
      </c>
      <c r="N18" s="96">
        <v>99</v>
      </c>
      <c r="O18" s="96">
        <v>18</v>
      </c>
      <c r="P18" s="96">
        <v>3</v>
      </c>
      <c r="Q18" s="96">
        <v>0</v>
      </c>
      <c r="R18" s="96">
        <v>0</v>
      </c>
      <c r="S18" s="96">
        <v>0</v>
      </c>
      <c r="T18" s="96">
        <v>0</v>
      </c>
      <c r="U18" s="96">
        <v>0</v>
      </c>
      <c r="V18" s="96">
        <v>0</v>
      </c>
      <c r="W18" s="240">
        <f>SUM(M18:V18)</f>
        <v>260</v>
      </c>
      <c r="X18" s="235">
        <f t="shared" si="0"/>
        <v>923</v>
      </c>
    </row>
    <row r="19" spans="1:24" ht="15" customHeight="1" x14ac:dyDescent="0.2">
      <c r="A19" s="402"/>
      <c r="B19" s="103">
        <f>B18/L18</f>
        <v>0.30618401206636503</v>
      </c>
      <c r="C19" s="104">
        <f>C18/L18</f>
        <v>0.34539969834087481</v>
      </c>
      <c r="D19" s="104">
        <f>D18/L18</f>
        <v>2.7149321266968326E-2</v>
      </c>
      <c r="E19" s="104">
        <f>E18/L18</f>
        <v>2.4132730015082957E-2</v>
      </c>
      <c r="F19" s="104">
        <f>F18/L18</f>
        <v>1.5082956259426848E-2</v>
      </c>
      <c r="G19" s="104">
        <f>G18/L18</f>
        <v>0</v>
      </c>
      <c r="H19" s="104">
        <f>H18/L18</f>
        <v>2.564102564102564E-2</v>
      </c>
      <c r="I19" s="104">
        <f>I18/L18</f>
        <v>5.2790346907993967E-2</v>
      </c>
      <c r="J19" s="104">
        <f>J18/L18</f>
        <v>6.485671191553545E-2</v>
      </c>
      <c r="K19" s="104">
        <f>K18/L18</f>
        <v>0.13876319758672701</v>
      </c>
      <c r="L19" s="249">
        <f>L18/X18</f>
        <v>0.71830985915492962</v>
      </c>
      <c r="M19" s="103">
        <f>M18/W18</f>
        <v>0.53846153846153844</v>
      </c>
      <c r="N19" s="104">
        <f>N18/W18</f>
        <v>0.38076923076923075</v>
      </c>
      <c r="O19" s="104">
        <f>O18/W18</f>
        <v>6.9230769230769235E-2</v>
      </c>
      <c r="P19" s="104">
        <f>P18/W18</f>
        <v>1.1538461538461539E-2</v>
      </c>
      <c r="Q19" s="104">
        <f>Q18/W18</f>
        <v>0</v>
      </c>
      <c r="R19" s="104">
        <f>R18/W18</f>
        <v>0</v>
      </c>
      <c r="S19" s="104">
        <f>S18/W18</f>
        <v>0</v>
      </c>
      <c r="T19" s="104">
        <f>T18/W18</f>
        <v>0</v>
      </c>
      <c r="U19" s="104">
        <f>U18/W18</f>
        <v>0</v>
      </c>
      <c r="V19" s="104">
        <f>V18/W18</f>
        <v>0</v>
      </c>
      <c r="W19" s="241">
        <f>W18/X18</f>
        <v>0.28169014084507044</v>
      </c>
      <c r="X19" s="234">
        <f t="shared" si="0"/>
        <v>1</v>
      </c>
    </row>
    <row r="20" spans="1:24" ht="15" customHeight="1" x14ac:dyDescent="0.2">
      <c r="A20" s="401">
        <f>'GENEL HASILAT'!A15</f>
        <v>45574</v>
      </c>
      <c r="B20" s="95">
        <v>224</v>
      </c>
      <c r="C20" s="96">
        <v>221</v>
      </c>
      <c r="D20" s="96">
        <v>17</v>
      </c>
      <c r="E20" s="96">
        <v>17</v>
      </c>
      <c r="F20" s="96">
        <v>11</v>
      </c>
      <c r="G20" s="96">
        <v>0</v>
      </c>
      <c r="H20" s="96">
        <v>19</v>
      </c>
      <c r="I20" s="96">
        <v>51</v>
      </c>
      <c r="J20" s="96">
        <v>48</v>
      </c>
      <c r="K20" s="96">
        <v>54</v>
      </c>
      <c r="L20" s="248">
        <f>SUM(B20:K20)</f>
        <v>662</v>
      </c>
      <c r="M20" s="95">
        <v>129</v>
      </c>
      <c r="N20" s="96">
        <v>81</v>
      </c>
      <c r="O20" s="96">
        <v>5</v>
      </c>
      <c r="P20" s="96">
        <v>4</v>
      </c>
      <c r="Q20" s="96">
        <v>1</v>
      </c>
      <c r="R20" s="96">
        <v>0</v>
      </c>
      <c r="S20" s="96">
        <v>0</v>
      </c>
      <c r="T20" s="96">
        <v>0</v>
      </c>
      <c r="U20" s="96">
        <v>0</v>
      </c>
      <c r="V20" s="96">
        <v>0</v>
      </c>
      <c r="W20" s="240">
        <f>SUM(M20:V20)</f>
        <v>220</v>
      </c>
      <c r="X20" s="235">
        <f t="shared" si="0"/>
        <v>882</v>
      </c>
    </row>
    <row r="21" spans="1:24" ht="15" customHeight="1" x14ac:dyDescent="0.2">
      <c r="A21" s="402"/>
      <c r="B21" s="103">
        <f>B20/L20</f>
        <v>0.33836858006042297</v>
      </c>
      <c r="C21" s="104">
        <f>C20/L20</f>
        <v>0.33383685800604229</v>
      </c>
      <c r="D21" s="104">
        <f>D20/L20</f>
        <v>2.5679758308157101E-2</v>
      </c>
      <c r="E21" s="104">
        <f>E20/L20</f>
        <v>2.5679758308157101E-2</v>
      </c>
      <c r="F21" s="104">
        <f>F20/L20</f>
        <v>1.6616314199395771E-2</v>
      </c>
      <c r="G21" s="104">
        <f>G20/L20</f>
        <v>0</v>
      </c>
      <c r="H21" s="104">
        <f>H20/L20</f>
        <v>2.8700906344410877E-2</v>
      </c>
      <c r="I21" s="104">
        <f>I20/L20</f>
        <v>7.7039274924471296E-2</v>
      </c>
      <c r="J21" s="104">
        <f>J20/L20</f>
        <v>7.2507552870090641E-2</v>
      </c>
      <c r="K21" s="104">
        <f>K20/L20</f>
        <v>8.1570996978851965E-2</v>
      </c>
      <c r="L21" s="249">
        <f>L20/X20</f>
        <v>0.75056689342403626</v>
      </c>
      <c r="M21" s="103">
        <f>M20/W20</f>
        <v>0.58636363636363631</v>
      </c>
      <c r="N21" s="104">
        <f>N20/W20</f>
        <v>0.36818181818181817</v>
      </c>
      <c r="O21" s="104">
        <f>O20/W20</f>
        <v>2.2727272727272728E-2</v>
      </c>
      <c r="P21" s="104">
        <f>P20/W20</f>
        <v>1.8181818181818181E-2</v>
      </c>
      <c r="Q21" s="104">
        <f>Q20/W20</f>
        <v>4.5454545454545452E-3</v>
      </c>
      <c r="R21" s="104">
        <f>R20/W20</f>
        <v>0</v>
      </c>
      <c r="S21" s="104">
        <f>S20/W20</f>
        <v>0</v>
      </c>
      <c r="T21" s="104">
        <f>T20/W20</f>
        <v>0</v>
      </c>
      <c r="U21" s="104">
        <f>U20/W20</f>
        <v>0</v>
      </c>
      <c r="V21" s="104">
        <f>V20/W20</f>
        <v>0</v>
      </c>
      <c r="W21" s="241">
        <f>W20/X20</f>
        <v>0.24943310657596371</v>
      </c>
      <c r="X21" s="234">
        <f t="shared" si="0"/>
        <v>1</v>
      </c>
    </row>
    <row r="22" spans="1:24" ht="15" customHeight="1" x14ac:dyDescent="0.2">
      <c r="A22" s="401">
        <f>'GENEL HASILAT'!A16</f>
        <v>45575</v>
      </c>
      <c r="B22" s="95">
        <v>259</v>
      </c>
      <c r="C22" s="96">
        <v>220</v>
      </c>
      <c r="D22" s="96">
        <v>9</v>
      </c>
      <c r="E22" s="96">
        <v>12</v>
      </c>
      <c r="F22" s="96">
        <v>13</v>
      </c>
      <c r="G22" s="96">
        <v>0</v>
      </c>
      <c r="H22" s="96">
        <v>19</v>
      </c>
      <c r="I22" s="96">
        <v>50</v>
      </c>
      <c r="J22" s="96">
        <v>54</v>
      </c>
      <c r="K22" s="96">
        <v>69</v>
      </c>
      <c r="L22" s="248">
        <f>SUM(B22:K22)</f>
        <v>705</v>
      </c>
      <c r="M22" s="95">
        <v>167</v>
      </c>
      <c r="N22" s="96">
        <v>78</v>
      </c>
      <c r="O22" s="96">
        <v>5</v>
      </c>
      <c r="P22" s="96">
        <v>1</v>
      </c>
      <c r="Q22" s="96">
        <v>0</v>
      </c>
      <c r="R22" s="96">
        <v>0</v>
      </c>
      <c r="S22" s="96">
        <v>0</v>
      </c>
      <c r="T22" s="96">
        <v>0</v>
      </c>
      <c r="U22" s="96">
        <v>0</v>
      </c>
      <c r="V22" s="96">
        <v>1</v>
      </c>
      <c r="W22" s="240">
        <f>SUM(M22:V22)</f>
        <v>252</v>
      </c>
      <c r="X22" s="235">
        <f t="shared" si="0"/>
        <v>957</v>
      </c>
    </row>
    <row r="23" spans="1:24" ht="15" customHeight="1" x14ac:dyDescent="0.2">
      <c r="A23" s="402"/>
      <c r="B23" s="103">
        <f>B22/L22</f>
        <v>0.36737588652482267</v>
      </c>
      <c r="C23" s="104">
        <f>C22/L22</f>
        <v>0.31205673758865249</v>
      </c>
      <c r="D23" s="104">
        <f>D22/L22</f>
        <v>1.276595744680851E-2</v>
      </c>
      <c r="E23" s="104">
        <f>E22/L22</f>
        <v>1.7021276595744681E-2</v>
      </c>
      <c r="F23" s="104">
        <f>F22/L22</f>
        <v>1.8439716312056736E-2</v>
      </c>
      <c r="G23" s="104">
        <f>G22/L22</f>
        <v>0</v>
      </c>
      <c r="H23" s="104">
        <f>H22/L22</f>
        <v>2.6950354609929079E-2</v>
      </c>
      <c r="I23" s="104">
        <f>I22/L22</f>
        <v>7.0921985815602842E-2</v>
      </c>
      <c r="J23" s="104">
        <f>J22/L22</f>
        <v>7.6595744680851063E-2</v>
      </c>
      <c r="K23" s="104">
        <f>K22/L22</f>
        <v>9.7872340425531917E-2</v>
      </c>
      <c r="L23" s="249">
        <f>L22/X22</f>
        <v>0.73667711598746077</v>
      </c>
      <c r="M23" s="103">
        <f>M22/W22</f>
        <v>0.66269841269841268</v>
      </c>
      <c r="N23" s="104">
        <f>N22/W22</f>
        <v>0.30952380952380953</v>
      </c>
      <c r="O23" s="104">
        <f>O22/W22</f>
        <v>1.984126984126984E-2</v>
      </c>
      <c r="P23" s="104">
        <f>P22/W22</f>
        <v>3.968253968253968E-3</v>
      </c>
      <c r="Q23" s="104">
        <f>Q22/W22</f>
        <v>0</v>
      </c>
      <c r="R23" s="104">
        <f>R22/W22</f>
        <v>0</v>
      </c>
      <c r="S23" s="104">
        <f>S22/W22</f>
        <v>0</v>
      </c>
      <c r="T23" s="104">
        <f>T22/W22</f>
        <v>0</v>
      </c>
      <c r="U23" s="104">
        <f>U22/W22</f>
        <v>0</v>
      </c>
      <c r="V23" s="104">
        <f>V22/W22</f>
        <v>3.968253968253968E-3</v>
      </c>
      <c r="W23" s="241">
        <f>W22/X22</f>
        <v>0.26332288401253917</v>
      </c>
      <c r="X23" s="234">
        <f t="shared" si="0"/>
        <v>1</v>
      </c>
    </row>
    <row r="24" spans="1:24" ht="15" customHeight="1" x14ac:dyDescent="0.2">
      <c r="A24" s="401">
        <f>'GENEL HASILAT'!A17</f>
        <v>45576</v>
      </c>
      <c r="B24" s="95">
        <v>219</v>
      </c>
      <c r="C24" s="96">
        <v>178</v>
      </c>
      <c r="D24" s="96">
        <v>14</v>
      </c>
      <c r="E24" s="96">
        <v>9</v>
      </c>
      <c r="F24" s="96">
        <v>8</v>
      </c>
      <c r="G24" s="96">
        <v>1</v>
      </c>
      <c r="H24" s="96">
        <v>18</v>
      </c>
      <c r="I24" s="96">
        <v>49</v>
      </c>
      <c r="J24" s="96">
        <v>46</v>
      </c>
      <c r="K24" s="96">
        <v>95</v>
      </c>
      <c r="L24" s="248">
        <f>SUM(B24:K24)</f>
        <v>637</v>
      </c>
      <c r="M24" s="95">
        <v>176</v>
      </c>
      <c r="N24" s="96">
        <v>82</v>
      </c>
      <c r="O24" s="96">
        <v>19</v>
      </c>
      <c r="P24" s="96">
        <v>1</v>
      </c>
      <c r="Q24" s="96">
        <v>1</v>
      </c>
      <c r="R24" s="96">
        <v>0</v>
      </c>
      <c r="S24" s="96">
        <v>0</v>
      </c>
      <c r="T24" s="96">
        <v>0</v>
      </c>
      <c r="U24" s="96">
        <v>0</v>
      </c>
      <c r="V24" s="96">
        <v>0</v>
      </c>
      <c r="W24" s="240">
        <f>SUM(M24:V24)</f>
        <v>279</v>
      </c>
      <c r="X24" s="235">
        <f t="shared" si="0"/>
        <v>916</v>
      </c>
    </row>
    <row r="25" spans="1:24" ht="15" customHeight="1" x14ac:dyDescent="0.2">
      <c r="A25" s="402"/>
      <c r="B25" s="103">
        <f>B24/L24</f>
        <v>0.34379905808477235</v>
      </c>
      <c r="C25" s="104">
        <f>C24/L24</f>
        <v>0.27943485086342229</v>
      </c>
      <c r="D25" s="104">
        <f>D24/L24</f>
        <v>2.197802197802198E-2</v>
      </c>
      <c r="E25" s="104">
        <f>E24/L24</f>
        <v>1.4128728414442701E-2</v>
      </c>
      <c r="F25" s="104">
        <f>F24/L24</f>
        <v>1.2558869701726845E-2</v>
      </c>
      <c r="G25" s="104">
        <f>G24/L24</f>
        <v>1.5698587127158557E-3</v>
      </c>
      <c r="H25" s="104">
        <f>H24/L24</f>
        <v>2.8257456828885402E-2</v>
      </c>
      <c r="I25" s="104">
        <f>I24/L24</f>
        <v>7.6923076923076927E-2</v>
      </c>
      <c r="J25" s="104">
        <f>J24/L24</f>
        <v>7.2213500784929358E-2</v>
      </c>
      <c r="K25" s="104">
        <f>K24/L24</f>
        <v>0.14913657770800628</v>
      </c>
      <c r="L25" s="249">
        <f>L24/X24</f>
        <v>0.69541484716157209</v>
      </c>
      <c r="M25" s="103">
        <f>M24/W24</f>
        <v>0.63082437275985659</v>
      </c>
      <c r="N25" s="104">
        <f>N24/W24</f>
        <v>0.29390681003584229</v>
      </c>
      <c r="O25" s="104">
        <f>O24/W24</f>
        <v>6.8100358422939072E-2</v>
      </c>
      <c r="P25" s="104">
        <f>P24/W24</f>
        <v>3.5842293906810036E-3</v>
      </c>
      <c r="Q25" s="104">
        <f>Q24/W24</f>
        <v>3.5842293906810036E-3</v>
      </c>
      <c r="R25" s="104">
        <f>R24/W24</f>
        <v>0</v>
      </c>
      <c r="S25" s="104">
        <f>S24/W24</f>
        <v>0</v>
      </c>
      <c r="T25" s="104">
        <f>T24/W24</f>
        <v>0</v>
      </c>
      <c r="U25" s="104">
        <f>U24/W24</f>
        <v>0</v>
      </c>
      <c r="V25" s="104">
        <f>V24/W24</f>
        <v>0</v>
      </c>
      <c r="W25" s="241">
        <f>W24/X24</f>
        <v>0.30458515283842796</v>
      </c>
      <c r="X25" s="234">
        <f t="shared" si="0"/>
        <v>1</v>
      </c>
    </row>
    <row r="26" spans="1:24" ht="15" customHeight="1" x14ac:dyDescent="0.2">
      <c r="A26" s="401">
        <f>'GENEL HASILAT'!A18</f>
        <v>45577</v>
      </c>
      <c r="B26" s="95">
        <f>40+94+134</f>
        <v>268</v>
      </c>
      <c r="C26" s="96">
        <f>150+38+33</f>
        <v>221</v>
      </c>
      <c r="D26" s="96">
        <v>18</v>
      </c>
      <c r="E26" s="96">
        <v>16</v>
      </c>
      <c r="F26" s="96">
        <v>10</v>
      </c>
      <c r="G26" s="96">
        <v>0</v>
      </c>
      <c r="H26" s="96">
        <v>20</v>
      </c>
      <c r="I26" s="96">
        <v>40</v>
      </c>
      <c r="J26" s="96">
        <v>30</v>
      </c>
      <c r="K26" s="96">
        <f>36+16+28+16</f>
        <v>96</v>
      </c>
      <c r="L26" s="248">
        <f>SUM(B26:K26)</f>
        <v>719</v>
      </c>
      <c r="M26" s="95">
        <f>103+58+55</f>
        <v>216</v>
      </c>
      <c r="N26" s="96">
        <f>62+42</f>
        <v>104</v>
      </c>
      <c r="O26" s="96">
        <v>22</v>
      </c>
      <c r="P26" s="96">
        <v>0</v>
      </c>
      <c r="Q26" s="96">
        <v>0</v>
      </c>
      <c r="R26" s="96">
        <v>0</v>
      </c>
      <c r="S26" s="96">
        <v>0</v>
      </c>
      <c r="T26" s="96">
        <v>0</v>
      </c>
      <c r="U26" s="96">
        <v>0</v>
      </c>
      <c r="V26" s="96">
        <v>1</v>
      </c>
      <c r="W26" s="240">
        <f>SUM(M26:V26)</f>
        <v>343</v>
      </c>
      <c r="X26" s="235">
        <f t="shared" si="0"/>
        <v>1062</v>
      </c>
    </row>
    <row r="27" spans="1:24" ht="15" customHeight="1" x14ac:dyDescent="0.2">
      <c r="A27" s="402"/>
      <c r="B27" s="103">
        <f>B26/L26</f>
        <v>0.37273991655076494</v>
      </c>
      <c r="C27" s="104">
        <f>C26/L26</f>
        <v>0.30737134909596664</v>
      </c>
      <c r="D27" s="104">
        <f>D26/L26</f>
        <v>2.5034770514603615E-2</v>
      </c>
      <c r="E27" s="104">
        <f>E26/L26</f>
        <v>2.2253129346314324E-2</v>
      </c>
      <c r="F27" s="104">
        <f>F26/L26</f>
        <v>1.3908205841446454E-2</v>
      </c>
      <c r="G27" s="104">
        <f>G26/L26</f>
        <v>0</v>
      </c>
      <c r="H27" s="104">
        <f>H26/L26</f>
        <v>2.7816411682892908E-2</v>
      </c>
      <c r="I27" s="104">
        <f>I26/L26</f>
        <v>5.5632823365785816E-2</v>
      </c>
      <c r="J27" s="104">
        <f>J26/L26</f>
        <v>4.1724617524339362E-2</v>
      </c>
      <c r="K27" s="104">
        <f>K26/L26</f>
        <v>0.13351877607788595</v>
      </c>
      <c r="L27" s="249">
        <f>L26/X26</f>
        <v>0.67702448210922783</v>
      </c>
      <c r="M27" s="103">
        <f>M26/W26</f>
        <v>0.62973760932944611</v>
      </c>
      <c r="N27" s="104">
        <f>N26/W26</f>
        <v>0.30320699708454812</v>
      </c>
      <c r="O27" s="104">
        <f>O26/W26</f>
        <v>6.4139941690962099E-2</v>
      </c>
      <c r="P27" s="104">
        <f>P26/W26</f>
        <v>0</v>
      </c>
      <c r="Q27" s="104">
        <f>Q26/W26</f>
        <v>0</v>
      </c>
      <c r="R27" s="104">
        <f>R26/W26</f>
        <v>0</v>
      </c>
      <c r="S27" s="104">
        <f>S26/W26</f>
        <v>0</v>
      </c>
      <c r="T27" s="104">
        <f>T26/W26</f>
        <v>0</v>
      </c>
      <c r="U27" s="104">
        <f>U26/W26</f>
        <v>0</v>
      </c>
      <c r="V27" s="104">
        <f>V26/W26</f>
        <v>2.9154518950437317E-3</v>
      </c>
      <c r="W27" s="241">
        <f>W26/X26</f>
        <v>0.32297551789077211</v>
      </c>
      <c r="X27" s="234">
        <f t="shared" si="0"/>
        <v>1</v>
      </c>
    </row>
    <row r="28" spans="1:24" ht="15" customHeight="1" x14ac:dyDescent="0.2">
      <c r="A28" s="401">
        <f>'GENEL HASILAT'!A19</f>
        <v>45578</v>
      </c>
      <c r="B28" s="95">
        <f>52+87+138</f>
        <v>277</v>
      </c>
      <c r="C28" s="96">
        <f>102+50+32+26</f>
        <v>210</v>
      </c>
      <c r="D28" s="96">
        <v>5</v>
      </c>
      <c r="E28" s="96">
        <v>10</v>
      </c>
      <c r="F28" s="96">
        <v>9</v>
      </c>
      <c r="G28" s="96">
        <v>1</v>
      </c>
      <c r="H28" s="96">
        <v>39</v>
      </c>
      <c r="I28" s="96">
        <v>102</v>
      </c>
      <c r="J28" s="96">
        <v>94</v>
      </c>
      <c r="K28" s="96">
        <f>35+14+11+30+16</f>
        <v>106</v>
      </c>
      <c r="L28" s="248">
        <f>SUM(B28:K28)</f>
        <v>853</v>
      </c>
      <c r="M28" s="95">
        <f>111+51+53</f>
        <v>215</v>
      </c>
      <c r="N28" s="96">
        <f>21+10+11+16</f>
        <v>58</v>
      </c>
      <c r="O28" s="96">
        <v>12</v>
      </c>
      <c r="P28" s="96">
        <v>1</v>
      </c>
      <c r="Q28" s="96">
        <v>2</v>
      </c>
      <c r="R28" s="96">
        <v>0</v>
      </c>
      <c r="S28" s="96">
        <v>1</v>
      </c>
      <c r="T28" s="96">
        <v>8</v>
      </c>
      <c r="U28" s="96">
        <v>0</v>
      </c>
      <c r="V28" s="96">
        <v>1</v>
      </c>
      <c r="W28" s="240">
        <f>SUM(M28:V28)</f>
        <v>298</v>
      </c>
      <c r="X28" s="235">
        <f t="shared" si="0"/>
        <v>1151</v>
      </c>
    </row>
    <row r="29" spans="1:24" ht="15" customHeight="1" x14ac:dyDescent="0.2">
      <c r="A29" s="402"/>
      <c r="B29" s="103">
        <f>B28/L28</f>
        <v>0.32473622508792499</v>
      </c>
      <c r="C29" s="104">
        <f>C28/L28</f>
        <v>0.24618991793669401</v>
      </c>
      <c r="D29" s="104">
        <f>D28/L28</f>
        <v>5.8616647127784291E-3</v>
      </c>
      <c r="E29" s="104">
        <f>E28/L28</f>
        <v>1.1723329425556858E-2</v>
      </c>
      <c r="F29" s="104">
        <f>F28/L28</f>
        <v>1.0550996483001172E-2</v>
      </c>
      <c r="G29" s="104">
        <f>G28/L28</f>
        <v>1.1723329425556857E-3</v>
      </c>
      <c r="H29" s="104">
        <f>H28/L28</f>
        <v>4.5720984759671748E-2</v>
      </c>
      <c r="I29" s="104">
        <f>I28/L28</f>
        <v>0.11957796014067995</v>
      </c>
      <c r="J29" s="104">
        <f>J28/L28</f>
        <v>0.11019929660023446</v>
      </c>
      <c r="K29" s="104">
        <f>K28/L28</f>
        <v>0.1242672919109027</v>
      </c>
      <c r="L29" s="249">
        <f>L28/X28</f>
        <v>0.74109470026064295</v>
      </c>
      <c r="M29" s="103">
        <f>M28/W28</f>
        <v>0.72147651006711411</v>
      </c>
      <c r="N29" s="104">
        <f>N28/W28</f>
        <v>0.19463087248322147</v>
      </c>
      <c r="O29" s="104">
        <f>O28/W28</f>
        <v>4.0268456375838924E-2</v>
      </c>
      <c r="P29" s="104">
        <f>P28/W28</f>
        <v>3.3557046979865771E-3</v>
      </c>
      <c r="Q29" s="104">
        <f>Q28/W28</f>
        <v>6.7114093959731542E-3</v>
      </c>
      <c r="R29" s="104">
        <f>R28/W28</f>
        <v>0</v>
      </c>
      <c r="S29" s="104">
        <f>S28/W28</f>
        <v>3.3557046979865771E-3</v>
      </c>
      <c r="T29" s="104">
        <f>T28/W28</f>
        <v>2.6845637583892617E-2</v>
      </c>
      <c r="U29" s="104">
        <f>U28/W28</f>
        <v>0</v>
      </c>
      <c r="V29" s="104">
        <f>V28/W28</f>
        <v>3.3557046979865771E-3</v>
      </c>
      <c r="W29" s="241">
        <f>W28/X28</f>
        <v>0.25890529973935705</v>
      </c>
      <c r="X29" s="234">
        <f t="shared" si="0"/>
        <v>1</v>
      </c>
    </row>
    <row r="30" spans="1:24" ht="15" customHeight="1" x14ac:dyDescent="0.2">
      <c r="A30" s="401">
        <f>'GENEL HASILAT'!A20</f>
        <v>45579</v>
      </c>
      <c r="B30" s="95">
        <f>38+86+119</f>
        <v>243</v>
      </c>
      <c r="C30" s="96">
        <f>99+51+23+27</f>
        <v>200</v>
      </c>
      <c r="D30" s="96">
        <v>15</v>
      </c>
      <c r="E30" s="96">
        <v>17</v>
      </c>
      <c r="F30" s="96">
        <v>11</v>
      </c>
      <c r="G30" s="96">
        <v>0</v>
      </c>
      <c r="H30" s="96">
        <v>27</v>
      </c>
      <c r="I30" s="96">
        <v>81</v>
      </c>
      <c r="J30" s="96">
        <v>104</v>
      </c>
      <c r="K30" s="96">
        <f>38+15+7+17+15</f>
        <v>92</v>
      </c>
      <c r="L30" s="248">
        <f>SUM(B30:K30)</f>
        <v>790</v>
      </c>
      <c r="M30" s="95">
        <f>135+44+56</f>
        <v>235</v>
      </c>
      <c r="N30" s="96">
        <f>56+47</f>
        <v>103</v>
      </c>
      <c r="O30" s="96">
        <v>16</v>
      </c>
      <c r="P30" s="96">
        <v>3</v>
      </c>
      <c r="Q30" s="96">
        <v>0</v>
      </c>
      <c r="R30" s="96">
        <v>0</v>
      </c>
      <c r="S30" s="96">
        <v>0</v>
      </c>
      <c r="T30" s="96">
        <v>3</v>
      </c>
      <c r="U30" s="96">
        <v>2</v>
      </c>
      <c r="V30" s="96">
        <v>1</v>
      </c>
      <c r="W30" s="240">
        <f>SUM(M30:V30)</f>
        <v>363</v>
      </c>
      <c r="X30" s="235">
        <f t="shared" si="0"/>
        <v>1153</v>
      </c>
    </row>
    <row r="31" spans="1:24" ht="15" customHeight="1" x14ac:dyDescent="0.2">
      <c r="A31" s="402"/>
      <c r="B31" s="103">
        <f>B30/L30</f>
        <v>0.30759493670886073</v>
      </c>
      <c r="C31" s="104">
        <f>C30/L30</f>
        <v>0.25316455696202533</v>
      </c>
      <c r="D31" s="104">
        <f>D30/L30</f>
        <v>1.8987341772151899E-2</v>
      </c>
      <c r="E31" s="104">
        <f>E30/L30</f>
        <v>2.1518987341772152E-2</v>
      </c>
      <c r="F31" s="104">
        <f>F30/L30</f>
        <v>1.3924050632911392E-2</v>
      </c>
      <c r="G31" s="104">
        <f>G30/L30</f>
        <v>0</v>
      </c>
      <c r="H31" s="104">
        <f>H30/L30</f>
        <v>3.4177215189873419E-2</v>
      </c>
      <c r="I31" s="104">
        <f>I30/L30</f>
        <v>0.10253164556962026</v>
      </c>
      <c r="J31" s="104">
        <f>J30/L30</f>
        <v>0.13164556962025317</v>
      </c>
      <c r="K31" s="104">
        <f>K30/L30</f>
        <v>0.11645569620253164</v>
      </c>
      <c r="L31" s="249">
        <f>L30/X30</f>
        <v>0.68516912402428443</v>
      </c>
      <c r="M31" s="103">
        <f>M30/W30</f>
        <v>0.64738292011019283</v>
      </c>
      <c r="N31" s="104">
        <f>N30/W30</f>
        <v>0.28374655647382918</v>
      </c>
      <c r="O31" s="104">
        <f>O30/W30</f>
        <v>4.4077134986225897E-2</v>
      </c>
      <c r="P31" s="104">
        <f>P30/W30</f>
        <v>8.2644628099173556E-3</v>
      </c>
      <c r="Q31" s="104">
        <f>Q30/W30</f>
        <v>0</v>
      </c>
      <c r="R31" s="104">
        <f>R30/W30</f>
        <v>0</v>
      </c>
      <c r="S31" s="104">
        <f>S30/W30</f>
        <v>0</v>
      </c>
      <c r="T31" s="104">
        <f>T30/W30</f>
        <v>8.2644628099173556E-3</v>
      </c>
      <c r="U31" s="104">
        <f>U30/W30</f>
        <v>5.5096418732782371E-3</v>
      </c>
      <c r="V31" s="104">
        <f>V30/W30</f>
        <v>2.7548209366391185E-3</v>
      </c>
      <c r="W31" s="241">
        <f>W30/X30</f>
        <v>0.31483087597571552</v>
      </c>
      <c r="X31" s="234">
        <f t="shared" si="0"/>
        <v>1</v>
      </c>
    </row>
    <row r="32" spans="1:24" ht="15" customHeight="1" x14ac:dyDescent="0.2">
      <c r="A32" s="401">
        <f>'GENEL HASILAT'!A21</f>
        <v>45580</v>
      </c>
      <c r="B32" s="95">
        <f>31+65+106</f>
        <v>202</v>
      </c>
      <c r="C32" s="96">
        <f>84+57+38+35</f>
        <v>214</v>
      </c>
      <c r="D32" s="96">
        <f>8+6</f>
        <v>14</v>
      </c>
      <c r="E32" s="96">
        <v>10</v>
      </c>
      <c r="F32" s="96">
        <v>13</v>
      </c>
      <c r="G32" s="96">
        <v>1</v>
      </c>
      <c r="H32" s="96">
        <v>14</v>
      </c>
      <c r="I32" s="96">
        <v>43</v>
      </c>
      <c r="J32" s="96">
        <v>48</v>
      </c>
      <c r="K32" s="96">
        <f>33+13+20+16</f>
        <v>82</v>
      </c>
      <c r="L32" s="248">
        <f>SUM(B32:K32)</f>
        <v>641</v>
      </c>
      <c r="M32" s="95">
        <f>93+34+30</f>
        <v>157</v>
      </c>
      <c r="N32" s="96">
        <f>24+17+14+25</f>
        <v>80</v>
      </c>
      <c r="O32" s="96">
        <v>10</v>
      </c>
      <c r="P32" s="96">
        <v>2</v>
      </c>
      <c r="Q32" s="96">
        <v>1</v>
      </c>
      <c r="R32" s="96">
        <v>0</v>
      </c>
      <c r="S32" s="96">
        <v>0</v>
      </c>
      <c r="T32" s="96">
        <v>0</v>
      </c>
      <c r="U32" s="96">
        <v>0</v>
      </c>
      <c r="V32" s="96">
        <v>0</v>
      </c>
      <c r="W32" s="240">
        <f>SUM(M32:V32)</f>
        <v>250</v>
      </c>
      <c r="X32" s="235">
        <f t="shared" si="0"/>
        <v>891</v>
      </c>
    </row>
    <row r="33" spans="1:24" ht="15" customHeight="1" x14ac:dyDescent="0.2">
      <c r="A33" s="402"/>
      <c r="B33" s="105">
        <f>+B32/L32</f>
        <v>0.31513260530421217</v>
      </c>
      <c r="C33" s="106">
        <f>+C32/L32</f>
        <v>0.33385335413416539</v>
      </c>
      <c r="D33" s="104">
        <f>D32/L32</f>
        <v>2.1840873634945399E-2</v>
      </c>
      <c r="E33" s="104">
        <f>E32/L32</f>
        <v>1.5600624024960999E-2</v>
      </c>
      <c r="F33" s="104">
        <f>F32/L32</f>
        <v>2.0280811232449299E-2</v>
      </c>
      <c r="G33" s="104">
        <f>G32/L32</f>
        <v>1.5600624024960999E-3</v>
      </c>
      <c r="H33" s="104">
        <f>H32/L32</f>
        <v>2.1840873634945399E-2</v>
      </c>
      <c r="I33" s="104">
        <f>I32/L32</f>
        <v>6.7082683307332289E-2</v>
      </c>
      <c r="J33" s="104">
        <f>J32/L32</f>
        <v>7.4882995319812795E-2</v>
      </c>
      <c r="K33" s="104">
        <f>K32/L32</f>
        <v>0.12792511700468018</v>
      </c>
      <c r="L33" s="249">
        <f>L32/X32</f>
        <v>0.71941638608305269</v>
      </c>
      <c r="M33" s="103">
        <f>M32/W32</f>
        <v>0.628</v>
      </c>
      <c r="N33" s="104">
        <f>N32/W32</f>
        <v>0.32</v>
      </c>
      <c r="O33" s="104">
        <f>O32/W32</f>
        <v>0.04</v>
      </c>
      <c r="P33" s="104">
        <f>P32/W32</f>
        <v>8.0000000000000002E-3</v>
      </c>
      <c r="Q33" s="104">
        <f>Q32/W32</f>
        <v>4.0000000000000001E-3</v>
      </c>
      <c r="R33" s="104">
        <f>R32/W32</f>
        <v>0</v>
      </c>
      <c r="S33" s="104">
        <f>S32/W32</f>
        <v>0</v>
      </c>
      <c r="T33" s="104">
        <f>T32/W32</f>
        <v>0</v>
      </c>
      <c r="U33" s="104">
        <f>U32/W32</f>
        <v>0</v>
      </c>
      <c r="V33" s="104">
        <f>V32/W32</f>
        <v>0</v>
      </c>
      <c r="W33" s="241">
        <f>W32/X32</f>
        <v>0.28058361391694725</v>
      </c>
      <c r="X33" s="234">
        <f t="shared" si="0"/>
        <v>1</v>
      </c>
    </row>
    <row r="34" spans="1:24" ht="15" customHeight="1" x14ac:dyDescent="0.2">
      <c r="A34" s="401">
        <f>'GENEL HASILAT'!A22</f>
        <v>45581</v>
      </c>
      <c r="B34" s="95">
        <v>205</v>
      </c>
      <c r="C34" s="96">
        <v>230</v>
      </c>
      <c r="D34" s="96">
        <v>25</v>
      </c>
      <c r="E34" s="96">
        <v>10</v>
      </c>
      <c r="F34" s="96">
        <v>7</v>
      </c>
      <c r="G34" s="96">
        <v>0</v>
      </c>
      <c r="H34" s="96">
        <v>18</v>
      </c>
      <c r="I34" s="96">
        <v>43</v>
      </c>
      <c r="J34" s="96">
        <v>51</v>
      </c>
      <c r="K34" s="96">
        <v>17</v>
      </c>
      <c r="L34" s="248">
        <f>SUM(B34:K34)</f>
        <v>606</v>
      </c>
      <c r="M34" s="95">
        <v>149</v>
      </c>
      <c r="N34" s="96">
        <v>71</v>
      </c>
      <c r="O34" s="96">
        <v>17</v>
      </c>
      <c r="P34" s="96">
        <v>3</v>
      </c>
      <c r="Q34" s="96">
        <v>0</v>
      </c>
      <c r="R34" s="96">
        <v>0</v>
      </c>
      <c r="S34" s="96">
        <v>0</v>
      </c>
      <c r="T34" s="96">
        <v>0</v>
      </c>
      <c r="U34" s="96">
        <v>0</v>
      </c>
      <c r="V34" s="96">
        <v>0</v>
      </c>
      <c r="W34" s="240">
        <f>SUM(M34:V34)</f>
        <v>240</v>
      </c>
      <c r="X34" s="235">
        <f t="shared" si="0"/>
        <v>846</v>
      </c>
    </row>
    <row r="35" spans="1:24" ht="15" customHeight="1" x14ac:dyDescent="0.2">
      <c r="A35" s="402"/>
      <c r="B35" s="103">
        <f>B34/L34</f>
        <v>0.33828382838283827</v>
      </c>
      <c r="C35" s="104">
        <f>C34/L34</f>
        <v>0.37953795379537952</v>
      </c>
      <c r="D35" s="104">
        <f>D34/L34</f>
        <v>4.1254125412541254E-2</v>
      </c>
      <c r="E35" s="104">
        <f>E34/L34</f>
        <v>1.65016501650165E-2</v>
      </c>
      <c r="F35" s="104">
        <f>F34/L34</f>
        <v>1.155115511551155E-2</v>
      </c>
      <c r="G35" s="104">
        <f>G34/L34</f>
        <v>0</v>
      </c>
      <c r="H35" s="104">
        <f>H34/L34</f>
        <v>2.9702970297029702E-2</v>
      </c>
      <c r="I35" s="104">
        <f>I34/L34</f>
        <v>7.0957095709570955E-2</v>
      </c>
      <c r="J35" s="104">
        <f>J34/L34</f>
        <v>8.4158415841584164E-2</v>
      </c>
      <c r="K35" s="104">
        <f>K34/L34</f>
        <v>2.8052805280528052E-2</v>
      </c>
      <c r="L35" s="249">
        <f>L34/X34</f>
        <v>0.71631205673758869</v>
      </c>
      <c r="M35" s="103">
        <f>M34/W34</f>
        <v>0.62083333333333335</v>
      </c>
      <c r="N35" s="104">
        <f>N34/W34</f>
        <v>0.29583333333333334</v>
      </c>
      <c r="O35" s="104">
        <f>O34/W34</f>
        <v>7.0833333333333331E-2</v>
      </c>
      <c r="P35" s="104">
        <f>P34/W34</f>
        <v>1.2500000000000001E-2</v>
      </c>
      <c r="Q35" s="104">
        <f>Q34/W34</f>
        <v>0</v>
      </c>
      <c r="R35" s="104">
        <f>R34/W34</f>
        <v>0</v>
      </c>
      <c r="S35" s="104">
        <f>S34/W34</f>
        <v>0</v>
      </c>
      <c r="T35" s="104">
        <f>T34/W34</f>
        <v>0</v>
      </c>
      <c r="U35" s="104">
        <f>U34/W34</f>
        <v>0</v>
      </c>
      <c r="V35" s="104">
        <f>V34/W34</f>
        <v>0</v>
      </c>
      <c r="W35" s="241">
        <f>W34/X34</f>
        <v>0.28368794326241137</v>
      </c>
      <c r="X35" s="234">
        <f t="shared" si="0"/>
        <v>1</v>
      </c>
    </row>
    <row r="36" spans="1:24" ht="15" customHeight="1" x14ac:dyDescent="0.2">
      <c r="A36" s="401">
        <f>'GENEL HASILAT'!A23</f>
        <v>45582</v>
      </c>
      <c r="B36" s="95">
        <v>215</v>
      </c>
      <c r="C36" s="96">
        <v>196</v>
      </c>
      <c r="D36" s="96">
        <v>16</v>
      </c>
      <c r="E36" s="96">
        <v>21</v>
      </c>
      <c r="F36" s="96">
        <v>11</v>
      </c>
      <c r="G36" s="96">
        <v>0</v>
      </c>
      <c r="H36" s="96">
        <v>38</v>
      </c>
      <c r="I36" s="96">
        <v>30</v>
      </c>
      <c r="J36" s="96">
        <v>65</v>
      </c>
      <c r="K36" s="96">
        <v>54</v>
      </c>
      <c r="L36" s="248">
        <f>SUM(B36:K36)</f>
        <v>646</v>
      </c>
      <c r="M36" s="95">
        <v>143</v>
      </c>
      <c r="N36" s="96">
        <v>82</v>
      </c>
      <c r="O36" s="96">
        <v>8</v>
      </c>
      <c r="P36" s="96">
        <v>0</v>
      </c>
      <c r="Q36" s="96">
        <v>0</v>
      </c>
      <c r="R36" s="96">
        <v>0</v>
      </c>
      <c r="S36" s="96">
        <v>0</v>
      </c>
      <c r="T36" s="96">
        <v>0</v>
      </c>
      <c r="U36" s="96">
        <v>0</v>
      </c>
      <c r="V36" s="96">
        <v>0</v>
      </c>
      <c r="W36" s="240">
        <f>SUM(M36:V36)</f>
        <v>233</v>
      </c>
      <c r="X36" s="235">
        <f t="shared" si="0"/>
        <v>879</v>
      </c>
    </row>
    <row r="37" spans="1:24" ht="15" customHeight="1" x14ac:dyDescent="0.2">
      <c r="A37" s="402"/>
      <c r="B37" s="103">
        <f>B36/L36</f>
        <v>0.33281733746130032</v>
      </c>
      <c r="C37" s="104">
        <f>C36/L36</f>
        <v>0.30340557275541796</v>
      </c>
      <c r="D37" s="104">
        <f>D36/L36</f>
        <v>2.4767801857585141E-2</v>
      </c>
      <c r="E37" s="104">
        <f>E36/L36</f>
        <v>3.2507739938080496E-2</v>
      </c>
      <c r="F37" s="104">
        <f>F36/L36</f>
        <v>1.7027863777089782E-2</v>
      </c>
      <c r="G37" s="104">
        <f>G36/L36</f>
        <v>0</v>
      </c>
      <c r="H37" s="104">
        <f>H36/L36</f>
        <v>5.8823529411764705E-2</v>
      </c>
      <c r="I37" s="104">
        <f>I36/L36</f>
        <v>4.6439628482972138E-2</v>
      </c>
      <c r="J37" s="104">
        <f>J36/L36</f>
        <v>0.10061919504643962</v>
      </c>
      <c r="K37" s="104">
        <f>K36/L36</f>
        <v>8.3591331269349839E-2</v>
      </c>
      <c r="L37" s="249">
        <f>L36/X36</f>
        <v>0.73492605233219566</v>
      </c>
      <c r="M37" s="103">
        <f>M36/W36</f>
        <v>0.61373390557939911</v>
      </c>
      <c r="N37" s="104">
        <f>N36/W36</f>
        <v>0.35193133047210301</v>
      </c>
      <c r="O37" s="104">
        <f>O36/W36</f>
        <v>3.4334763948497854E-2</v>
      </c>
      <c r="P37" s="104">
        <f>P36/W36</f>
        <v>0</v>
      </c>
      <c r="Q37" s="104">
        <f>Q36/W36</f>
        <v>0</v>
      </c>
      <c r="R37" s="104">
        <f>R36/W36</f>
        <v>0</v>
      </c>
      <c r="S37" s="104">
        <f>S36/W36</f>
        <v>0</v>
      </c>
      <c r="T37" s="104">
        <f>T36/W36</f>
        <v>0</v>
      </c>
      <c r="U37" s="104">
        <f>U36/W36</f>
        <v>0</v>
      </c>
      <c r="V37" s="104">
        <f>V36/W36</f>
        <v>0</v>
      </c>
      <c r="W37" s="241">
        <f>W36/X36</f>
        <v>0.26507394766780434</v>
      </c>
      <c r="X37" s="234">
        <f t="shared" ref="X37:X65" si="1">+L37+W37</f>
        <v>1</v>
      </c>
    </row>
    <row r="38" spans="1:24" ht="15" customHeight="1" x14ac:dyDescent="0.2">
      <c r="A38" s="401">
        <f>'GENEL HASILAT'!A24</f>
        <v>45583</v>
      </c>
      <c r="B38" s="95">
        <v>237</v>
      </c>
      <c r="C38" s="96">
        <v>165</v>
      </c>
      <c r="D38" s="96">
        <v>15</v>
      </c>
      <c r="E38" s="96">
        <v>19</v>
      </c>
      <c r="F38" s="96">
        <v>17</v>
      </c>
      <c r="G38" s="96">
        <v>0</v>
      </c>
      <c r="H38" s="96">
        <v>28</v>
      </c>
      <c r="I38" s="96">
        <v>60</v>
      </c>
      <c r="J38" s="96">
        <v>42</v>
      </c>
      <c r="K38" s="96">
        <v>87</v>
      </c>
      <c r="L38" s="248">
        <f>SUM(B38:K38)</f>
        <v>670</v>
      </c>
      <c r="M38" s="95">
        <v>140</v>
      </c>
      <c r="N38" s="96">
        <v>75</v>
      </c>
      <c r="O38" s="96">
        <v>18</v>
      </c>
      <c r="P38" s="96">
        <v>3</v>
      </c>
      <c r="Q38" s="96">
        <v>0</v>
      </c>
      <c r="R38" s="96">
        <v>0</v>
      </c>
      <c r="S38" s="96">
        <v>0</v>
      </c>
      <c r="T38" s="96">
        <v>0</v>
      </c>
      <c r="U38" s="96">
        <v>0</v>
      </c>
      <c r="V38" s="96">
        <v>0</v>
      </c>
      <c r="W38" s="240">
        <f>SUM(M38:V38)</f>
        <v>236</v>
      </c>
      <c r="X38" s="235">
        <f t="shared" si="1"/>
        <v>906</v>
      </c>
    </row>
    <row r="39" spans="1:24" ht="15" customHeight="1" x14ac:dyDescent="0.2">
      <c r="A39" s="402"/>
      <c r="B39" s="103">
        <f>B38/L38</f>
        <v>0.35373134328358208</v>
      </c>
      <c r="C39" s="104">
        <f>C38/L38</f>
        <v>0.2462686567164179</v>
      </c>
      <c r="D39" s="104">
        <f>D38/L38</f>
        <v>2.2388059701492536E-2</v>
      </c>
      <c r="E39" s="104">
        <f>E38/L38</f>
        <v>2.8358208955223882E-2</v>
      </c>
      <c r="F39" s="104">
        <f>F38/L38</f>
        <v>2.5373134328358207E-2</v>
      </c>
      <c r="G39" s="104">
        <f>G38/L38</f>
        <v>0</v>
      </c>
      <c r="H39" s="104">
        <f>H38/L38</f>
        <v>4.1791044776119404E-2</v>
      </c>
      <c r="I39" s="104">
        <f>I38/L38</f>
        <v>8.9552238805970144E-2</v>
      </c>
      <c r="J39" s="104">
        <f>J38/L38</f>
        <v>6.2686567164179099E-2</v>
      </c>
      <c r="K39" s="104">
        <f>K38/L38</f>
        <v>0.12985074626865672</v>
      </c>
      <c r="L39" s="249">
        <f>L38/X38</f>
        <v>0.73951434878587197</v>
      </c>
      <c r="M39" s="103">
        <f>M38/W38</f>
        <v>0.59322033898305082</v>
      </c>
      <c r="N39" s="104">
        <f>N38/W38</f>
        <v>0.31779661016949151</v>
      </c>
      <c r="O39" s="104">
        <f>O38/W38</f>
        <v>7.6271186440677971E-2</v>
      </c>
      <c r="P39" s="104">
        <f>P38/W38</f>
        <v>1.2711864406779662E-2</v>
      </c>
      <c r="Q39" s="104">
        <f>Q38/W38</f>
        <v>0</v>
      </c>
      <c r="R39" s="104">
        <f>R38/W38</f>
        <v>0</v>
      </c>
      <c r="S39" s="104">
        <f>S38/W38</f>
        <v>0</v>
      </c>
      <c r="T39" s="104">
        <f>T38/W38</f>
        <v>0</v>
      </c>
      <c r="U39" s="104">
        <f>U38/W38</f>
        <v>0</v>
      </c>
      <c r="V39" s="104">
        <f>V38/W38</f>
        <v>0</v>
      </c>
      <c r="W39" s="241">
        <f>W38/X38</f>
        <v>0.26048565121412803</v>
      </c>
      <c r="X39" s="234">
        <f t="shared" si="1"/>
        <v>1</v>
      </c>
    </row>
    <row r="40" spans="1:24" ht="15" customHeight="1" x14ac:dyDescent="0.2">
      <c r="A40" s="401">
        <f>'GENEL HASILAT'!A25</f>
        <v>45584</v>
      </c>
      <c r="B40" s="95">
        <v>238</v>
      </c>
      <c r="C40" s="96">
        <v>183</v>
      </c>
      <c r="D40" s="96">
        <v>24</v>
      </c>
      <c r="E40" s="96">
        <v>14</v>
      </c>
      <c r="F40" s="96">
        <v>7</v>
      </c>
      <c r="G40" s="96">
        <v>1</v>
      </c>
      <c r="H40" s="96">
        <v>18</v>
      </c>
      <c r="I40" s="96">
        <v>40</v>
      </c>
      <c r="J40" s="96">
        <v>40</v>
      </c>
      <c r="K40" s="96">
        <v>84</v>
      </c>
      <c r="L40" s="248">
        <f>SUM(B40:K40)</f>
        <v>649</v>
      </c>
      <c r="M40" s="95">
        <v>205</v>
      </c>
      <c r="N40" s="96">
        <v>95</v>
      </c>
      <c r="O40" s="96">
        <v>8</v>
      </c>
      <c r="P40" s="96">
        <v>0</v>
      </c>
      <c r="Q40" s="96">
        <v>0</v>
      </c>
      <c r="R40" s="96">
        <v>0</v>
      </c>
      <c r="S40" s="96">
        <v>0</v>
      </c>
      <c r="T40" s="96">
        <v>0</v>
      </c>
      <c r="U40" s="96">
        <v>0</v>
      </c>
      <c r="V40" s="96">
        <v>0</v>
      </c>
      <c r="W40" s="240">
        <f>SUM(M40:V40)</f>
        <v>308</v>
      </c>
      <c r="X40" s="235">
        <f t="shared" si="1"/>
        <v>957</v>
      </c>
    </row>
    <row r="41" spans="1:24" ht="15" customHeight="1" x14ac:dyDescent="0.2">
      <c r="A41" s="402"/>
      <c r="B41" s="103">
        <f>B40/L40</f>
        <v>0.36671802773497691</v>
      </c>
      <c r="C41" s="104">
        <f>C40/L40</f>
        <v>0.28197226502311246</v>
      </c>
      <c r="D41" s="104">
        <f>D40/L40</f>
        <v>3.6979969183359017E-2</v>
      </c>
      <c r="E41" s="104">
        <f>E40/L40</f>
        <v>2.1571648690292759E-2</v>
      </c>
      <c r="F41" s="104">
        <f>F40/L40</f>
        <v>1.078582434514638E-2</v>
      </c>
      <c r="G41" s="104">
        <f>G40/L40</f>
        <v>1.5408320493066256E-3</v>
      </c>
      <c r="H41" s="104">
        <f>H40/L40</f>
        <v>2.7734976887519261E-2</v>
      </c>
      <c r="I41" s="104">
        <f>I40/L40</f>
        <v>6.1633281972265024E-2</v>
      </c>
      <c r="J41" s="104">
        <f>J40/L40</f>
        <v>6.1633281972265024E-2</v>
      </c>
      <c r="K41" s="104">
        <f>K40/L40</f>
        <v>0.12942989214175654</v>
      </c>
      <c r="L41" s="249">
        <f>L40/X40</f>
        <v>0.67816091954022983</v>
      </c>
      <c r="M41" s="103">
        <f>M40/W40</f>
        <v>0.66558441558441561</v>
      </c>
      <c r="N41" s="104">
        <f>N40/W40</f>
        <v>0.30844155844155846</v>
      </c>
      <c r="O41" s="104">
        <f>O40/W40</f>
        <v>2.5974025974025976E-2</v>
      </c>
      <c r="P41" s="104">
        <f>P40/W40</f>
        <v>0</v>
      </c>
      <c r="Q41" s="104">
        <f>Q40/W40</f>
        <v>0</v>
      </c>
      <c r="R41" s="104">
        <f>R40/W40</f>
        <v>0</v>
      </c>
      <c r="S41" s="104">
        <f>S40/W40</f>
        <v>0</v>
      </c>
      <c r="T41" s="104">
        <f>T40/W40</f>
        <v>0</v>
      </c>
      <c r="U41" s="104">
        <f>U40/W40</f>
        <v>0</v>
      </c>
      <c r="V41" s="104">
        <f>V40/W40</f>
        <v>0</v>
      </c>
      <c r="W41" s="241">
        <f>W40/X40</f>
        <v>0.32183908045977011</v>
      </c>
      <c r="X41" s="234">
        <f t="shared" si="1"/>
        <v>1</v>
      </c>
    </row>
    <row r="42" spans="1:24" ht="15" customHeight="1" x14ac:dyDescent="0.2">
      <c r="A42" s="401">
        <f>'GENEL HASILAT'!A26</f>
        <v>45585</v>
      </c>
      <c r="B42" s="95">
        <f>46+66+95</f>
        <v>207</v>
      </c>
      <c r="C42" s="96">
        <f>84+49+38+42</f>
        <v>213</v>
      </c>
      <c r="D42" s="96">
        <v>16</v>
      </c>
      <c r="E42" s="96">
        <v>10</v>
      </c>
      <c r="F42" s="96">
        <v>11</v>
      </c>
      <c r="G42" s="96">
        <v>1</v>
      </c>
      <c r="H42" s="96">
        <v>40</v>
      </c>
      <c r="I42" s="96">
        <v>141</v>
      </c>
      <c r="J42" s="96">
        <v>86</v>
      </c>
      <c r="K42" s="96">
        <f>61+12+11+23+9+4</f>
        <v>120</v>
      </c>
      <c r="L42" s="248">
        <f>SUM(B42:K42)</f>
        <v>845</v>
      </c>
      <c r="M42" s="95">
        <f>76+33+48</f>
        <v>157</v>
      </c>
      <c r="N42" s="96">
        <f>32+18+26</f>
        <v>76</v>
      </c>
      <c r="O42" s="96">
        <v>9</v>
      </c>
      <c r="P42" s="96">
        <v>4</v>
      </c>
      <c r="Q42" s="96">
        <v>2</v>
      </c>
      <c r="R42" s="96">
        <v>0</v>
      </c>
      <c r="S42" s="96">
        <v>0</v>
      </c>
      <c r="T42" s="96">
        <v>2</v>
      </c>
      <c r="U42" s="96">
        <v>0</v>
      </c>
      <c r="V42" s="96">
        <v>3</v>
      </c>
      <c r="W42" s="240">
        <f>SUM(M42:V42)</f>
        <v>253</v>
      </c>
      <c r="X42" s="235">
        <f t="shared" si="1"/>
        <v>1098</v>
      </c>
    </row>
    <row r="43" spans="1:24" ht="15" customHeight="1" x14ac:dyDescent="0.2">
      <c r="A43" s="402"/>
      <c r="B43" s="103">
        <f>B42/L42</f>
        <v>0.24497041420118343</v>
      </c>
      <c r="C43" s="104">
        <f>C42/L42</f>
        <v>0.25207100591715975</v>
      </c>
      <c r="D43" s="104">
        <f>D42/L42</f>
        <v>1.8934911242603551E-2</v>
      </c>
      <c r="E43" s="104">
        <f>E42/L42</f>
        <v>1.1834319526627219E-2</v>
      </c>
      <c r="F43" s="104">
        <f>F42/L42</f>
        <v>1.301775147928994E-2</v>
      </c>
      <c r="G43" s="104">
        <f>G42/L42</f>
        <v>1.1834319526627219E-3</v>
      </c>
      <c r="H43" s="104">
        <f>H42/L42</f>
        <v>4.7337278106508875E-2</v>
      </c>
      <c r="I43" s="104">
        <f>I42/L42</f>
        <v>0.16686390532544379</v>
      </c>
      <c r="J43" s="104">
        <f>J42/L42</f>
        <v>0.10177514792899409</v>
      </c>
      <c r="K43" s="104">
        <f>K42/L42</f>
        <v>0.14201183431952663</v>
      </c>
      <c r="L43" s="249">
        <f>L42/X42</f>
        <v>0.76958105646630237</v>
      </c>
      <c r="M43" s="103">
        <f>M42/W42</f>
        <v>0.62055335968379444</v>
      </c>
      <c r="N43" s="104">
        <f>N42/W42</f>
        <v>0.30039525691699603</v>
      </c>
      <c r="O43" s="104">
        <f>O42/W42</f>
        <v>3.5573122529644272E-2</v>
      </c>
      <c r="P43" s="104">
        <f>P42/W42</f>
        <v>1.5810276679841896E-2</v>
      </c>
      <c r="Q43" s="104">
        <f>Q42/W42</f>
        <v>7.9051383399209481E-3</v>
      </c>
      <c r="R43" s="104">
        <f>R42/W42</f>
        <v>0</v>
      </c>
      <c r="S43" s="104">
        <f>S42/W42</f>
        <v>0</v>
      </c>
      <c r="T43" s="104">
        <f>T42/W42</f>
        <v>7.9051383399209481E-3</v>
      </c>
      <c r="U43" s="104">
        <f>U42/W42</f>
        <v>0</v>
      </c>
      <c r="V43" s="104">
        <f>V42/W42</f>
        <v>1.1857707509881422E-2</v>
      </c>
      <c r="W43" s="241">
        <f>W42/X42</f>
        <v>0.23041894353369763</v>
      </c>
      <c r="X43" s="234">
        <f t="shared" si="1"/>
        <v>1</v>
      </c>
    </row>
    <row r="44" spans="1:24" ht="15" customHeight="1" x14ac:dyDescent="0.2">
      <c r="A44" s="401">
        <f>'GENEL HASILAT'!A27</f>
        <v>45586</v>
      </c>
      <c r="B44" s="95"/>
      <c r="C44" s="96"/>
      <c r="D44" s="96"/>
      <c r="E44" s="96"/>
      <c r="F44" s="96"/>
      <c r="G44" s="96"/>
      <c r="H44" s="96"/>
      <c r="I44" s="96"/>
      <c r="J44" s="96"/>
      <c r="K44" s="96"/>
      <c r="L44" s="248">
        <f>SUM(B44:K44)</f>
        <v>0</v>
      </c>
      <c r="M44" s="95"/>
      <c r="N44" s="96"/>
      <c r="O44" s="96"/>
      <c r="P44" s="96"/>
      <c r="Q44" s="96"/>
      <c r="R44" s="96"/>
      <c r="S44" s="96"/>
      <c r="T44" s="96"/>
      <c r="U44" s="96"/>
      <c r="V44" s="96"/>
      <c r="W44" s="240">
        <f>SUM(M44:V44)</f>
        <v>0</v>
      </c>
      <c r="X44" s="235">
        <f t="shared" si="1"/>
        <v>0</v>
      </c>
    </row>
    <row r="45" spans="1:24" ht="15" customHeight="1" x14ac:dyDescent="0.2">
      <c r="A45" s="402"/>
      <c r="B45" s="103" t="e">
        <f>B44/L44</f>
        <v>#DIV/0!</v>
      </c>
      <c r="C45" s="104" t="e">
        <f>C44/L44</f>
        <v>#DIV/0!</v>
      </c>
      <c r="D45" s="104" t="e">
        <f>D44/L44</f>
        <v>#DIV/0!</v>
      </c>
      <c r="E45" s="104" t="e">
        <f>E44/L44</f>
        <v>#DIV/0!</v>
      </c>
      <c r="F45" s="104" t="e">
        <f>F44/L44</f>
        <v>#DIV/0!</v>
      </c>
      <c r="G45" s="104" t="e">
        <f>G44/L44</f>
        <v>#DIV/0!</v>
      </c>
      <c r="H45" s="104" t="e">
        <f>H44/L44</f>
        <v>#DIV/0!</v>
      </c>
      <c r="I45" s="104" t="e">
        <f>I44/L44</f>
        <v>#DIV/0!</v>
      </c>
      <c r="J45" s="104" t="e">
        <f>J44/L44</f>
        <v>#DIV/0!</v>
      </c>
      <c r="K45" s="104" t="e">
        <f>K44/L44</f>
        <v>#DIV/0!</v>
      </c>
      <c r="L45" s="249" t="e">
        <f>L44/X44</f>
        <v>#DIV/0!</v>
      </c>
      <c r="M45" s="103" t="e">
        <f>M44/W44</f>
        <v>#DIV/0!</v>
      </c>
      <c r="N45" s="104" t="e">
        <f>N44/W44</f>
        <v>#DIV/0!</v>
      </c>
      <c r="O45" s="104" t="e">
        <f>O44/W44</f>
        <v>#DIV/0!</v>
      </c>
      <c r="P45" s="104" t="e">
        <f>P44/W44</f>
        <v>#DIV/0!</v>
      </c>
      <c r="Q45" s="104" t="e">
        <f>Q44/W44</f>
        <v>#DIV/0!</v>
      </c>
      <c r="R45" s="104" t="e">
        <f>R44/W44</f>
        <v>#DIV/0!</v>
      </c>
      <c r="S45" s="104" t="e">
        <f>S44/W44</f>
        <v>#DIV/0!</v>
      </c>
      <c r="T45" s="104" t="e">
        <f>T44/W44</f>
        <v>#DIV/0!</v>
      </c>
      <c r="U45" s="104" t="e">
        <f>U44/W44</f>
        <v>#DIV/0!</v>
      </c>
      <c r="V45" s="104" t="e">
        <f>V44/W44</f>
        <v>#DIV/0!</v>
      </c>
      <c r="W45" s="241" t="e">
        <f>W44/X44</f>
        <v>#DIV/0!</v>
      </c>
      <c r="X45" s="234" t="e">
        <f t="shared" si="1"/>
        <v>#DIV/0!</v>
      </c>
    </row>
    <row r="46" spans="1:24" ht="15" customHeight="1" x14ac:dyDescent="0.2">
      <c r="A46" s="401">
        <f>'GENEL HASILAT'!A28</f>
        <v>45587</v>
      </c>
      <c r="B46" s="95"/>
      <c r="C46" s="96"/>
      <c r="D46" s="96"/>
      <c r="E46" s="96"/>
      <c r="F46" s="96"/>
      <c r="G46" s="96"/>
      <c r="H46" s="96"/>
      <c r="I46" s="96"/>
      <c r="J46" s="96"/>
      <c r="K46" s="96"/>
      <c r="L46" s="248">
        <f>SUM(B46:K46)</f>
        <v>0</v>
      </c>
      <c r="M46" s="95"/>
      <c r="N46" s="96"/>
      <c r="O46" s="96"/>
      <c r="P46" s="96"/>
      <c r="Q46" s="96"/>
      <c r="R46" s="96"/>
      <c r="S46" s="96"/>
      <c r="T46" s="96"/>
      <c r="U46" s="96"/>
      <c r="V46" s="96"/>
      <c r="W46" s="240">
        <f>SUM(M46:V46)</f>
        <v>0</v>
      </c>
      <c r="X46" s="235">
        <f t="shared" si="1"/>
        <v>0</v>
      </c>
    </row>
    <row r="47" spans="1:24" ht="15" customHeight="1" x14ac:dyDescent="0.2">
      <c r="A47" s="402"/>
      <c r="B47" s="103" t="e">
        <f>B46/L46</f>
        <v>#DIV/0!</v>
      </c>
      <c r="C47" s="104" t="e">
        <f>C46/L46</f>
        <v>#DIV/0!</v>
      </c>
      <c r="D47" s="104" t="e">
        <f>D46/L46</f>
        <v>#DIV/0!</v>
      </c>
      <c r="E47" s="104" t="e">
        <f>E46/L46</f>
        <v>#DIV/0!</v>
      </c>
      <c r="F47" s="104" t="e">
        <f>F46/L46</f>
        <v>#DIV/0!</v>
      </c>
      <c r="G47" s="104" t="e">
        <f>G46/L46</f>
        <v>#DIV/0!</v>
      </c>
      <c r="H47" s="104" t="e">
        <f>H46/L46</f>
        <v>#DIV/0!</v>
      </c>
      <c r="I47" s="104" t="e">
        <f>I46/L46</f>
        <v>#DIV/0!</v>
      </c>
      <c r="J47" s="104" t="e">
        <f>J46/L46</f>
        <v>#DIV/0!</v>
      </c>
      <c r="K47" s="104" t="e">
        <f>K46/L46</f>
        <v>#DIV/0!</v>
      </c>
      <c r="L47" s="249" t="e">
        <f>L46/X46</f>
        <v>#DIV/0!</v>
      </c>
      <c r="M47" s="103" t="e">
        <f>M46/W46</f>
        <v>#DIV/0!</v>
      </c>
      <c r="N47" s="104" t="e">
        <f>N46/W46</f>
        <v>#DIV/0!</v>
      </c>
      <c r="O47" s="104" t="e">
        <f>O46/W46</f>
        <v>#DIV/0!</v>
      </c>
      <c r="P47" s="104" t="e">
        <f>P46/W46</f>
        <v>#DIV/0!</v>
      </c>
      <c r="Q47" s="104" t="e">
        <f>Q46/W46</f>
        <v>#DIV/0!</v>
      </c>
      <c r="R47" s="104" t="e">
        <f>R46/W46</f>
        <v>#DIV/0!</v>
      </c>
      <c r="S47" s="104" t="e">
        <f>S46/W46</f>
        <v>#DIV/0!</v>
      </c>
      <c r="T47" s="104" t="e">
        <f>T46/W46</f>
        <v>#DIV/0!</v>
      </c>
      <c r="U47" s="104" t="e">
        <f>U46/W46</f>
        <v>#DIV/0!</v>
      </c>
      <c r="V47" s="104" t="e">
        <f>V46/W46</f>
        <v>#DIV/0!</v>
      </c>
      <c r="W47" s="241" t="e">
        <f>W46/X46</f>
        <v>#DIV/0!</v>
      </c>
      <c r="X47" s="234" t="e">
        <f t="shared" si="1"/>
        <v>#DIV/0!</v>
      </c>
    </row>
    <row r="48" spans="1:24" ht="15" customHeight="1" x14ac:dyDescent="0.2">
      <c r="A48" s="401">
        <f>'GENEL HASILAT'!A29</f>
        <v>45588</v>
      </c>
      <c r="B48" s="95"/>
      <c r="C48" s="96"/>
      <c r="D48" s="96"/>
      <c r="E48" s="96"/>
      <c r="F48" s="96"/>
      <c r="G48" s="96"/>
      <c r="H48" s="96"/>
      <c r="I48" s="96"/>
      <c r="J48" s="96"/>
      <c r="K48" s="96"/>
      <c r="L48" s="248">
        <f>SUM(B48:K48)</f>
        <v>0</v>
      </c>
      <c r="M48" s="95"/>
      <c r="N48" s="96"/>
      <c r="O48" s="96"/>
      <c r="P48" s="96"/>
      <c r="Q48" s="96"/>
      <c r="R48" s="96"/>
      <c r="S48" s="96"/>
      <c r="T48" s="96"/>
      <c r="U48" s="96"/>
      <c r="V48" s="96"/>
      <c r="W48" s="240">
        <f>SUM(M48:V48)</f>
        <v>0</v>
      </c>
      <c r="X48" s="235">
        <f t="shared" si="1"/>
        <v>0</v>
      </c>
    </row>
    <row r="49" spans="1:24" ht="15" customHeight="1" x14ac:dyDescent="0.2">
      <c r="A49" s="402"/>
      <c r="B49" s="103" t="e">
        <f>B48/L48</f>
        <v>#DIV/0!</v>
      </c>
      <c r="C49" s="104" t="e">
        <f>C48/L48</f>
        <v>#DIV/0!</v>
      </c>
      <c r="D49" s="104" t="e">
        <f>D48/L48</f>
        <v>#DIV/0!</v>
      </c>
      <c r="E49" s="104" t="e">
        <f>E48/L48</f>
        <v>#DIV/0!</v>
      </c>
      <c r="F49" s="104" t="e">
        <f>F48/L48</f>
        <v>#DIV/0!</v>
      </c>
      <c r="G49" s="104" t="e">
        <f>G48/L48</f>
        <v>#DIV/0!</v>
      </c>
      <c r="H49" s="104" t="e">
        <f>H48/L48</f>
        <v>#DIV/0!</v>
      </c>
      <c r="I49" s="104" t="e">
        <f>I48/L48</f>
        <v>#DIV/0!</v>
      </c>
      <c r="J49" s="104" t="e">
        <f>J48/L48</f>
        <v>#DIV/0!</v>
      </c>
      <c r="K49" s="104" t="e">
        <f>K48/L48</f>
        <v>#DIV/0!</v>
      </c>
      <c r="L49" s="249" t="e">
        <f>L48/X48</f>
        <v>#DIV/0!</v>
      </c>
      <c r="M49" s="103" t="e">
        <f>M48/W48</f>
        <v>#DIV/0!</v>
      </c>
      <c r="N49" s="104" t="e">
        <f>N48/W48</f>
        <v>#DIV/0!</v>
      </c>
      <c r="O49" s="104" t="e">
        <f>O48/W48</f>
        <v>#DIV/0!</v>
      </c>
      <c r="P49" s="104" t="e">
        <f>P48/W48</f>
        <v>#DIV/0!</v>
      </c>
      <c r="Q49" s="104" t="e">
        <f>Q48/W48</f>
        <v>#DIV/0!</v>
      </c>
      <c r="R49" s="104" t="e">
        <f>R48/W48</f>
        <v>#DIV/0!</v>
      </c>
      <c r="S49" s="104" t="e">
        <f>S48/W48</f>
        <v>#DIV/0!</v>
      </c>
      <c r="T49" s="104" t="e">
        <f>T48/W48</f>
        <v>#DIV/0!</v>
      </c>
      <c r="U49" s="104" t="e">
        <f>U48/W48</f>
        <v>#DIV/0!</v>
      </c>
      <c r="V49" s="104" t="e">
        <f>V48/W48</f>
        <v>#DIV/0!</v>
      </c>
      <c r="W49" s="241" t="e">
        <f>W48/X48</f>
        <v>#DIV/0!</v>
      </c>
      <c r="X49" s="234" t="e">
        <f t="shared" si="1"/>
        <v>#DIV/0!</v>
      </c>
    </row>
    <row r="50" spans="1:24" ht="15" customHeight="1" x14ac:dyDescent="0.2">
      <c r="A50" s="401">
        <f>'GENEL HASILAT'!A30</f>
        <v>45589</v>
      </c>
      <c r="B50" s="95"/>
      <c r="C50" s="96"/>
      <c r="D50" s="96"/>
      <c r="E50" s="96"/>
      <c r="F50" s="96"/>
      <c r="G50" s="96"/>
      <c r="H50" s="96"/>
      <c r="I50" s="96"/>
      <c r="J50" s="96"/>
      <c r="K50" s="96"/>
      <c r="L50" s="248">
        <f>SUM(B50:K50)</f>
        <v>0</v>
      </c>
      <c r="M50" s="95"/>
      <c r="N50" s="96"/>
      <c r="O50" s="96"/>
      <c r="P50" s="96"/>
      <c r="Q50" s="96"/>
      <c r="R50" s="96"/>
      <c r="S50" s="96"/>
      <c r="T50" s="96"/>
      <c r="U50" s="96"/>
      <c r="V50" s="96"/>
      <c r="W50" s="240">
        <f>SUM(M50:V50)</f>
        <v>0</v>
      </c>
      <c r="X50" s="235">
        <f t="shared" si="1"/>
        <v>0</v>
      </c>
    </row>
    <row r="51" spans="1:24" ht="15" customHeight="1" x14ac:dyDescent="0.2">
      <c r="A51" s="402"/>
      <c r="B51" s="103" t="e">
        <f>B50/L50</f>
        <v>#DIV/0!</v>
      </c>
      <c r="C51" s="104" t="e">
        <f>C50/L50</f>
        <v>#DIV/0!</v>
      </c>
      <c r="D51" s="104" t="e">
        <f>D50/L50</f>
        <v>#DIV/0!</v>
      </c>
      <c r="E51" s="104" t="e">
        <f>E50/L50</f>
        <v>#DIV/0!</v>
      </c>
      <c r="F51" s="104" t="e">
        <f>F50/L50</f>
        <v>#DIV/0!</v>
      </c>
      <c r="G51" s="104" t="e">
        <f>G50/L50</f>
        <v>#DIV/0!</v>
      </c>
      <c r="H51" s="104" t="e">
        <f>H50/L50</f>
        <v>#DIV/0!</v>
      </c>
      <c r="I51" s="104" t="e">
        <f>I50/L50</f>
        <v>#DIV/0!</v>
      </c>
      <c r="J51" s="104" t="e">
        <f>J50/L50</f>
        <v>#DIV/0!</v>
      </c>
      <c r="K51" s="104" t="e">
        <f>K50/L50</f>
        <v>#DIV/0!</v>
      </c>
      <c r="L51" s="249" t="e">
        <f>L50/X50</f>
        <v>#DIV/0!</v>
      </c>
      <c r="M51" s="103" t="e">
        <f>M50/W50</f>
        <v>#DIV/0!</v>
      </c>
      <c r="N51" s="104" t="e">
        <f>N50/W50</f>
        <v>#DIV/0!</v>
      </c>
      <c r="O51" s="104" t="e">
        <f>O50/W50</f>
        <v>#DIV/0!</v>
      </c>
      <c r="P51" s="104" t="e">
        <f>P50/W50</f>
        <v>#DIV/0!</v>
      </c>
      <c r="Q51" s="104" t="e">
        <f>Q50/W50</f>
        <v>#DIV/0!</v>
      </c>
      <c r="R51" s="104" t="e">
        <f>R50/W50</f>
        <v>#DIV/0!</v>
      </c>
      <c r="S51" s="104" t="e">
        <f>S50/W50</f>
        <v>#DIV/0!</v>
      </c>
      <c r="T51" s="104" t="e">
        <f>T50/W50</f>
        <v>#DIV/0!</v>
      </c>
      <c r="U51" s="104" t="e">
        <f>U50/W50</f>
        <v>#DIV/0!</v>
      </c>
      <c r="V51" s="104" t="e">
        <f>V50/W50</f>
        <v>#DIV/0!</v>
      </c>
      <c r="W51" s="241" t="e">
        <f>W50/X50</f>
        <v>#DIV/0!</v>
      </c>
      <c r="X51" s="234" t="e">
        <f t="shared" si="1"/>
        <v>#DIV/0!</v>
      </c>
    </row>
    <row r="52" spans="1:24" ht="15" customHeight="1" x14ac:dyDescent="0.2">
      <c r="A52" s="401">
        <f>'GENEL HASILAT'!A31</f>
        <v>45590</v>
      </c>
      <c r="B52" s="95"/>
      <c r="C52" s="96"/>
      <c r="D52" s="96"/>
      <c r="E52" s="96"/>
      <c r="F52" s="96"/>
      <c r="G52" s="96"/>
      <c r="H52" s="96"/>
      <c r="I52" s="96"/>
      <c r="J52" s="96"/>
      <c r="K52" s="96"/>
      <c r="L52" s="248">
        <f>SUM(B52:K52)</f>
        <v>0</v>
      </c>
      <c r="M52" s="95"/>
      <c r="N52" s="96"/>
      <c r="O52" s="96"/>
      <c r="P52" s="96"/>
      <c r="Q52" s="96"/>
      <c r="R52" s="96"/>
      <c r="S52" s="96"/>
      <c r="T52" s="96"/>
      <c r="U52" s="96"/>
      <c r="V52" s="96"/>
      <c r="W52" s="240">
        <f>SUM(M52:V52)</f>
        <v>0</v>
      </c>
      <c r="X52" s="235">
        <f t="shared" si="1"/>
        <v>0</v>
      </c>
    </row>
    <row r="53" spans="1:24" ht="15" customHeight="1" x14ac:dyDescent="0.2">
      <c r="A53" s="402"/>
      <c r="B53" s="103" t="e">
        <f>B52/L52</f>
        <v>#DIV/0!</v>
      </c>
      <c r="C53" s="104" t="e">
        <f>C52/L52</f>
        <v>#DIV/0!</v>
      </c>
      <c r="D53" s="104" t="e">
        <f>D52/L52</f>
        <v>#DIV/0!</v>
      </c>
      <c r="E53" s="104" t="e">
        <f>E52/L52</f>
        <v>#DIV/0!</v>
      </c>
      <c r="F53" s="104" t="e">
        <f>F52/L52</f>
        <v>#DIV/0!</v>
      </c>
      <c r="G53" s="104" t="e">
        <f>G52/L52</f>
        <v>#DIV/0!</v>
      </c>
      <c r="H53" s="104" t="e">
        <f>H52/L52</f>
        <v>#DIV/0!</v>
      </c>
      <c r="I53" s="104" t="e">
        <f>I52/L52</f>
        <v>#DIV/0!</v>
      </c>
      <c r="J53" s="104" t="e">
        <f>J52/L52</f>
        <v>#DIV/0!</v>
      </c>
      <c r="K53" s="104" t="e">
        <f>K52/L52</f>
        <v>#DIV/0!</v>
      </c>
      <c r="L53" s="249" t="e">
        <f>L52/X52</f>
        <v>#DIV/0!</v>
      </c>
      <c r="M53" s="103" t="e">
        <f>M52/W52</f>
        <v>#DIV/0!</v>
      </c>
      <c r="N53" s="104" t="e">
        <f>N52/W52</f>
        <v>#DIV/0!</v>
      </c>
      <c r="O53" s="104" t="e">
        <f>O52/W52</f>
        <v>#DIV/0!</v>
      </c>
      <c r="P53" s="104" t="e">
        <f>P52/W52</f>
        <v>#DIV/0!</v>
      </c>
      <c r="Q53" s="104" t="e">
        <f>Q52/W52</f>
        <v>#DIV/0!</v>
      </c>
      <c r="R53" s="104" t="e">
        <f>R52/W52</f>
        <v>#DIV/0!</v>
      </c>
      <c r="S53" s="104" t="e">
        <f>S52/W52</f>
        <v>#DIV/0!</v>
      </c>
      <c r="T53" s="104" t="e">
        <f>T52/W52</f>
        <v>#DIV/0!</v>
      </c>
      <c r="U53" s="104" t="e">
        <f>U52/W52</f>
        <v>#DIV/0!</v>
      </c>
      <c r="V53" s="104" t="e">
        <f>V52/W52</f>
        <v>#DIV/0!</v>
      </c>
      <c r="W53" s="241" t="e">
        <f>W52/X52</f>
        <v>#DIV/0!</v>
      </c>
      <c r="X53" s="234" t="e">
        <f t="shared" si="1"/>
        <v>#DIV/0!</v>
      </c>
    </row>
    <row r="54" spans="1:24" ht="15" customHeight="1" x14ac:dyDescent="0.2">
      <c r="A54" s="401">
        <f>'GENEL HASILAT'!A32</f>
        <v>45591</v>
      </c>
      <c r="B54" s="95"/>
      <c r="C54" s="96"/>
      <c r="D54" s="96"/>
      <c r="E54" s="96"/>
      <c r="F54" s="96"/>
      <c r="G54" s="96"/>
      <c r="H54" s="96"/>
      <c r="I54" s="96"/>
      <c r="J54" s="96"/>
      <c r="K54" s="96"/>
      <c r="L54" s="248">
        <f>SUM(B54:K54)</f>
        <v>0</v>
      </c>
      <c r="M54" s="95"/>
      <c r="N54" s="96"/>
      <c r="O54" s="96"/>
      <c r="P54" s="96"/>
      <c r="Q54" s="96"/>
      <c r="R54" s="96"/>
      <c r="S54" s="96"/>
      <c r="T54" s="96"/>
      <c r="U54" s="96"/>
      <c r="V54" s="96"/>
      <c r="W54" s="240">
        <f>SUM(M54:V54)</f>
        <v>0</v>
      </c>
      <c r="X54" s="235">
        <f t="shared" si="1"/>
        <v>0</v>
      </c>
    </row>
    <row r="55" spans="1:24" ht="15" customHeight="1" x14ac:dyDescent="0.2">
      <c r="A55" s="402"/>
      <c r="B55" s="103" t="e">
        <f>B54/L54</f>
        <v>#DIV/0!</v>
      </c>
      <c r="C55" s="104" t="e">
        <f>C54/L54</f>
        <v>#DIV/0!</v>
      </c>
      <c r="D55" s="104" t="e">
        <f>D54/L54</f>
        <v>#DIV/0!</v>
      </c>
      <c r="E55" s="104" t="e">
        <f>E54/L54</f>
        <v>#DIV/0!</v>
      </c>
      <c r="F55" s="104" t="e">
        <f>F54/L54</f>
        <v>#DIV/0!</v>
      </c>
      <c r="G55" s="104" t="e">
        <f>G54/L54</f>
        <v>#DIV/0!</v>
      </c>
      <c r="H55" s="104" t="e">
        <f>H54/L54</f>
        <v>#DIV/0!</v>
      </c>
      <c r="I55" s="104" t="e">
        <f>I54/L54</f>
        <v>#DIV/0!</v>
      </c>
      <c r="J55" s="104" t="e">
        <f>J54/L54</f>
        <v>#DIV/0!</v>
      </c>
      <c r="K55" s="104" t="e">
        <f>K54/L54</f>
        <v>#DIV/0!</v>
      </c>
      <c r="L55" s="249" t="e">
        <f>L54/X54</f>
        <v>#DIV/0!</v>
      </c>
      <c r="M55" s="103" t="e">
        <f>M54/W54</f>
        <v>#DIV/0!</v>
      </c>
      <c r="N55" s="104" t="e">
        <f>N54/W54</f>
        <v>#DIV/0!</v>
      </c>
      <c r="O55" s="104" t="e">
        <f>O54/W54</f>
        <v>#DIV/0!</v>
      </c>
      <c r="P55" s="104" t="e">
        <f>P54/W54</f>
        <v>#DIV/0!</v>
      </c>
      <c r="Q55" s="104" t="e">
        <f>Q54/W54</f>
        <v>#DIV/0!</v>
      </c>
      <c r="R55" s="104" t="e">
        <f>R54/W54</f>
        <v>#DIV/0!</v>
      </c>
      <c r="S55" s="104" t="e">
        <f>S54/W54</f>
        <v>#DIV/0!</v>
      </c>
      <c r="T55" s="104" t="e">
        <f>T54/W54</f>
        <v>#DIV/0!</v>
      </c>
      <c r="U55" s="104" t="e">
        <f>U54/W54</f>
        <v>#DIV/0!</v>
      </c>
      <c r="V55" s="104" t="e">
        <f>V54/W54</f>
        <v>#DIV/0!</v>
      </c>
      <c r="W55" s="241" t="e">
        <f>W54/X54</f>
        <v>#DIV/0!</v>
      </c>
      <c r="X55" s="234" t="e">
        <f t="shared" si="1"/>
        <v>#DIV/0!</v>
      </c>
    </row>
    <row r="56" spans="1:24" ht="15" customHeight="1" x14ac:dyDescent="0.2">
      <c r="A56" s="401">
        <f>'GENEL HASILAT'!A33</f>
        <v>45592</v>
      </c>
      <c r="B56" s="95"/>
      <c r="C56" s="96"/>
      <c r="D56" s="96"/>
      <c r="E56" s="96"/>
      <c r="F56" s="96"/>
      <c r="G56" s="96"/>
      <c r="H56" s="96"/>
      <c r="I56" s="96"/>
      <c r="J56" s="96"/>
      <c r="K56" s="96"/>
      <c r="L56" s="248">
        <f>SUM(B56:K56)</f>
        <v>0</v>
      </c>
      <c r="M56" s="95"/>
      <c r="N56" s="96"/>
      <c r="O56" s="96"/>
      <c r="P56" s="96"/>
      <c r="Q56" s="96"/>
      <c r="R56" s="96"/>
      <c r="S56" s="96"/>
      <c r="T56" s="96"/>
      <c r="U56" s="96"/>
      <c r="V56" s="96"/>
      <c r="W56" s="240">
        <f>SUM(M56:V56)</f>
        <v>0</v>
      </c>
      <c r="X56" s="235">
        <f t="shared" si="1"/>
        <v>0</v>
      </c>
    </row>
    <row r="57" spans="1:24" ht="15" customHeight="1" x14ac:dyDescent="0.2">
      <c r="A57" s="402"/>
      <c r="B57" s="103" t="e">
        <f>B56/L56</f>
        <v>#DIV/0!</v>
      </c>
      <c r="C57" s="104" t="e">
        <f>C56/L56</f>
        <v>#DIV/0!</v>
      </c>
      <c r="D57" s="104" t="e">
        <f>D56/L56</f>
        <v>#DIV/0!</v>
      </c>
      <c r="E57" s="104" t="e">
        <f>E56/L56</f>
        <v>#DIV/0!</v>
      </c>
      <c r="F57" s="104" t="e">
        <f>F56/L56</f>
        <v>#DIV/0!</v>
      </c>
      <c r="G57" s="104" t="e">
        <f>G56/L56</f>
        <v>#DIV/0!</v>
      </c>
      <c r="H57" s="104" t="e">
        <f>H56/L56</f>
        <v>#DIV/0!</v>
      </c>
      <c r="I57" s="104" t="e">
        <f>I56/L56</f>
        <v>#DIV/0!</v>
      </c>
      <c r="J57" s="104" t="e">
        <f>J56/L56</f>
        <v>#DIV/0!</v>
      </c>
      <c r="K57" s="104" t="e">
        <f>K56/L56</f>
        <v>#DIV/0!</v>
      </c>
      <c r="L57" s="249" t="e">
        <f>L56/X56</f>
        <v>#DIV/0!</v>
      </c>
      <c r="M57" s="103" t="e">
        <f>M56/W56</f>
        <v>#DIV/0!</v>
      </c>
      <c r="N57" s="104" t="e">
        <f>N56/W56</f>
        <v>#DIV/0!</v>
      </c>
      <c r="O57" s="104" t="e">
        <f>O56/W56</f>
        <v>#DIV/0!</v>
      </c>
      <c r="P57" s="104" t="e">
        <f>P56/W56</f>
        <v>#DIV/0!</v>
      </c>
      <c r="Q57" s="104" t="e">
        <f>Q56/W56</f>
        <v>#DIV/0!</v>
      </c>
      <c r="R57" s="104" t="e">
        <f>R56/W56</f>
        <v>#DIV/0!</v>
      </c>
      <c r="S57" s="104" t="e">
        <f>S56/W56</f>
        <v>#DIV/0!</v>
      </c>
      <c r="T57" s="104" t="e">
        <f>T56/W56</f>
        <v>#DIV/0!</v>
      </c>
      <c r="U57" s="104" t="e">
        <f>U56/W56</f>
        <v>#DIV/0!</v>
      </c>
      <c r="V57" s="104" t="e">
        <f>V56/W56</f>
        <v>#DIV/0!</v>
      </c>
      <c r="W57" s="241" t="e">
        <f>W56/X56</f>
        <v>#DIV/0!</v>
      </c>
      <c r="X57" s="234" t="e">
        <f t="shared" si="1"/>
        <v>#DIV/0!</v>
      </c>
    </row>
    <row r="58" spans="1:24" ht="15" customHeight="1" x14ac:dyDescent="0.2">
      <c r="A58" s="401">
        <f>'GENEL HASILAT'!A34</f>
        <v>45593</v>
      </c>
      <c r="B58" s="95"/>
      <c r="C58" s="96"/>
      <c r="D58" s="96"/>
      <c r="E58" s="96"/>
      <c r="F58" s="96"/>
      <c r="G58" s="96"/>
      <c r="H58" s="96"/>
      <c r="I58" s="96"/>
      <c r="J58" s="96"/>
      <c r="K58" s="96"/>
      <c r="L58" s="248">
        <f>SUM(B58:K58)</f>
        <v>0</v>
      </c>
      <c r="M58" s="95"/>
      <c r="N58" s="96"/>
      <c r="O58" s="96"/>
      <c r="P58" s="96"/>
      <c r="Q58" s="96"/>
      <c r="R58" s="96"/>
      <c r="S58" s="96"/>
      <c r="T58" s="96"/>
      <c r="U58" s="96"/>
      <c r="V58" s="96"/>
      <c r="W58" s="240">
        <f>SUM(M58:V58)</f>
        <v>0</v>
      </c>
      <c r="X58" s="235">
        <f t="shared" si="1"/>
        <v>0</v>
      </c>
    </row>
    <row r="59" spans="1:24" ht="15" customHeight="1" x14ac:dyDescent="0.2">
      <c r="A59" s="402"/>
      <c r="B59" s="103" t="e">
        <f>B58/L58</f>
        <v>#DIV/0!</v>
      </c>
      <c r="C59" s="104" t="e">
        <f>C58/L58</f>
        <v>#DIV/0!</v>
      </c>
      <c r="D59" s="104" t="e">
        <f>D58/L58</f>
        <v>#DIV/0!</v>
      </c>
      <c r="E59" s="104" t="e">
        <f>E58/L58</f>
        <v>#DIV/0!</v>
      </c>
      <c r="F59" s="104" t="e">
        <f>F58/L58</f>
        <v>#DIV/0!</v>
      </c>
      <c r="G59" s="104" t="e">
        <f>G58/L58</f>
        <v>#DIV/0!</v>
      </c>
      <c r="H59" s="104" t="e">
        <f>H58/L58</f>
        <v>#DIV/0!</v>
      </c>
      <c r="I59" s="104" t="e">
        <f>I58/L58</f>
        <v>#DIV/0!</v>
      </c>
      <c r="J59" s="104" t="e">
        <f>J58/L58</f>
        <v>#DIV/0!</v>
      </c>
      <c r="K59" s="104" t="e">
        <f>K58/L58</f>
        <v>#DIV/0!</v>
      </c>
      <c r="L59" s="249" t="e">
        <f>L58/X58</f>
        <v>#DIV/0!</v>
      </c>
      <c r="M59" s="103" t="e">
        <f>M58/W58</f>
        <v>#DIV/0!</v>
      </c>
      <c r="N59" s="104" t="e">
        <f>N58/W58</f>
        <v>#DIV/0!</v>
      </c>
      <c r="O59" s="104" t="e">
        <f>O58/W58</f>
        <v>#DIV/0!</v>
      </c>
      <c r="P59" s="104" t="e">
        <f>P58/W58</f>
        <v>#DIV/0!</v>
      </c>
      <c r="Q59" s="104" t="e">
        <f>Q58/W58</f>
        <v>#DIV/0!</v>
      </c>
      <c r="R59" s="104" t="e">
        <f>R58/W58</f>
        <v>#DIV/0!</v>
      </c>
      <c r="S59" s="104" t="e">
        <f>S58/W58</f>
        <v>#DIV/0!</v>
      </c>
      <c r="T59" s="104" t="e">
        <f>T58/W58</f>
        <v>#DIV/0!</v>
      </c>
      <c r="U59" s="104" t="e">
        <f>U58/W58</f>
        <v>#DIV/0!</v>
      </c>
      <c r="V59" s="104" t="e">
        <f>V58/W58</f>
        <v>#DIV/0!</v>
      </c>
      <c r="W59" s="241" t="e">
        <f>W58/X58</f>
        <v>#DIV/0!</v>
      </c>
      <c r="X59" s="234" t="e">
        <f t="shared" si="1"/>
        <v>#DIV/0!</v>
      </c>
    </row>
    <row r="60" spans="1:24" ht="15" customHeight="1" x14ac:dyDescent="0.2">
      <c r="A60" s="401">
        <f>'GENEL HASILAT'!A35</f>
        <v>45594</v>
      </c>
      <c r="B60" s="95"/>
      <c r="C60" s="96"/>
      <c r="D60" s="96"/>
      <c r="E60" s="96"/>
      <c r="F60" s="96"/>
      <c r="G60" s="96"/>
      <c r="H60" s="96"/>
      <c r="I60" s="96"/>
      <c r="J60" s="96"/>
      <c r="K60" s="96"/>
      <c r="L60" s="248">
        <f>SUM(B60:K60)</f>
        <v>0</v>
      </c>
      <c r="M60" s="95"/>
      <c r="N60" s="96"/>
      <c r="O60" s="96"/>
      <c r="P60" s="96"/>
      <c r="Q60" s="96"/>
      <c r="R60" s="96"/>
      <c r="S60" s="96"/>
      <c r="T60" s="96"/>
      <c r="U60" s="96"/>
      <c r="V60" s="96"/>
      <c r="W60" s="240">
        <f>SUM(M60:V60)</f>
        <v>0</v>
      </c>
      <c r="X60" s="235">
        <f t="shared" si="1"/>
        <v>0</v>
      </c>
    </row>
    <row r="61" spans="1:24" ht="15" customHeight="1" x14ac:dyDescent="0.2">
      <c r="A61" s="402"/>
      <c r="B61" s="103" t="e">
        <f>B60/L60</f>
        <v>#DIV/0!</v>
      </c>
      <c r="C61" s="104" t="e">
        <f>C60/L60</f>
        <v>#DIV/0!</v>
      </c>
      <c r="D61" s="104" t="e">
        <f>D60/L60</f>
        <v>#DIV/0!</v>
      </c>
      <c r="E61" s="104" t="e">
        <f>E60/L60</f>
        <v>#DIV/0!</v>
      </c>
      <c r="F61" s="104" t="e">
        <f>F60/L60</f>
        <v>#DIV/0!</v>
      </c>
      <c r="G61" s="104" t="e">
        <f>G60/L60</f>
        <v>#DIV/0!</v>
      </c>
      <c r="H61" s="104" t="e">
        <f>H60/L60</f>
        <v>#DIV/0!</v>
      </c>
      <c r="I61" s="104" t="e">
        <f>I60/L60</f>
        <v>#DIV/0!</v>
      </c>
      <c r="J61" s="104" t="e">
        <f>J60/L60</f>
        <v>#DIV/0!</v>
      </c>
      <c r="K61" s="104" t="e">
        <f>K60/L60</f>
        <v>#DIV/0!</v>
      </c>
      <c r="L61" s="249" t="e">
        <f>L60/X60</f>
        <v>#DIV/0!</v>
      </c>
      <c r="M61" s="103" t="e">
        <f>M60/W60</f>
        <v>#DIV/0!</v>
      </c>
      <c r="N61" s="104" t="e">
        <f>N60/W60</f>
        <v>#DIV/0!</v>
      </c>
      <c r="O61" s="104" t="e">
        <f>O60/W60</f>
        <v>#DIV/0!</v>
      </c>
      <c r="P61" s="104" t="e">
        <f>P60/W60</f>
        <v>#DIV/0!</v>
      </c>
      <c r="Q61" s="104" t="e">
        <f>Q60/W60</f>
        <v>#DIV/0!</v>
      </c>
      <c r="R61" s="104" t="e">
        <f>R60/W60</f>
        <v>#DIV/0!</v>
      </c>
      <c r="S61" s="104" t="e">
        <f>S60/W60</f>
        <v>#DIV/0!</v>
      </c>
      <c r="T61" s="104" t="e">
        <f>T60/W60</f>
        <v>#DIV/0!</v>
      </c>
      <c r="U61" s="104" t="e">
        <f>U60/W60</f>
        <v>#DIV/0!</v>
      </c>
      <c r="V61" s="104" t="e">
        <f>V60/W60</f>
        <v>#DIV/0!</v>
      </c>
      <c r="W61" s="241" t="e">
        <f>W60/X60</f>
        <v>#DIV/0!</v>
      </c>
      <c r="X61" s="234" t="e">
        <f t="shared" si="1"/>
        <v>#DIV/0!</v>
      </c>
    </row>
    <row r="62" spans="1:24" ht="15" customHeight="1" x14ac:dyDescent="0.2">
      <c r="A62" s="401">
        <f>'GENEL HASILAT'!A36</f>
        <v>45595</v>
      </c>
      <c r="B62" s="95"/>
      <c r="C62" s="96"/>
      <c r="D62" s="96"/>
      <c r="E62" s="96"/>
      <c r="F62" s="96"/>
      <c r="G62" s="96"/>
      <c r="H62" s="96"/>
      <c r="I62" s="96"/>
      <c r="J62" s="96"/>
      <c r="K62" s="96"/>
      <c r="L62" s="248">
        <f>SUM(B62:K62)</f>
        <v>0</v>
      </c>
      <c r="M62" s="95"/>
      <c r="N62" s="96"/>
      <c r="O62" s="96"/>
      <c r="P62" s="96"/>
      <c r="Q62" s="96"/>
      <c r="R62" s="96"/>
      <c r="S62" s="96"/>
      <c r="T62" s="96"/>
      <c r="U62" s="96"/>
      <c r="V62" s="96"/>
      <c r="W62" s="240">
        <f>SUM(M62:V62)</f>
        <v>0</v>
      </c>
      <c r="X62" s="235">
        <f>+L62+W62</f>
        <v>0</v>
      </c>
    </row>
    <row r="63" spans="1:24" ht="15" customHeight="1" x14ac:dyDescent="0.2">
      <c r="A63" s="402"/>
      <c r="B63" s="103" t="e">
        <f>B62/L62</f>
        <v>#DIV/0!</v>
      </c>
      <c r="C63" s="104" t="e">
        <f>C62/L62</f>
        <v>#DIV/0!</v>
      </c>
      <c r="D63" s="104" t="e">
        <f>D62/L62</f>
        <v>#DIV/0!</v>
      </c>
      <c r="E63" s="104" t="e">
        <f>E62/L62</f>
        <v>#DIV/0!</v>
      </c>
      <c r="F63" s="104" t="e">
        <f>F62/L62</f>
        <v>#DIV/0!</v>
      </c>
      <c r="G63" s="104" t="e">
        <f>G62/L62</f>
        <v>#DIV/0!</v>
      </c>
      <c r="H63" s="104" t="e">
        <f>H62/L62</f>
        <v>#DIV/0!</v>
      </c>
      <c r="I63" s="104" t="e">
        <f>I62/L62</f>
        <v>#DIV/0!</v>
      </c>
      <c r="J63" s="104" t="e">
        <f>J62/L62</f>
        <v>#DIV/0!</v>
      </c>
      <c r="K63" s="104" t="e">
        <f>K62/L62</f>
        <v>#DIV/0!</v>
      </c>
      <c r="L63" s="249" t="e">
        <f>L62/X62</f>
        <v>#DIV/0!</v>
      </c>
      <c r="M63" s="103" t="e">
        <f>M62/W62</f>
        <v>#DIV/0!</v>
      </c>
      <c r="N63" s="104" t="e">
        <f>N62/W62</f>
        <v>#DIV/0!</v>
      </c>
      <c r="O63" s="104" t="e">
        <f>O62/W62</f>
        <v>#DIV/0!</v>
      </c>
      <c r="P63" s="104" t="e">
        <f>P62/W62</f>
        <v>#DIV/0!</v>
      </c>
      <c r="Q63" s="104" t="e">
        <f>Q62/W62</f>
        <v>#DIV/0!</v>
      </c>
      <c r="R63" s="104" t="e">
        <f>R62/W62</f>
        <v>#DIV/0!</v>
      </c>
      <c r="S63" s="104" t="e">
        <f>S62/W62</f>
        <v>#DIV/0!</v>
      </c>
      <c r="T63" s="104" t="e">
        <f>T62/W62</f>
        <v>#DIV/0!</v>
      </c>
      <c r="U63" s="104" t="e">
        <f>U62/W62</f>
        <v>#DIV/0!</v>
      </c>
      <c r="V63" s="104" t="e">
        <f>V62/W62</f>
        <v>#DIV/0!</v>
      </c>
      <c r="W63" s="241" t="e">
        <f>W62/X62</f>
        <v>#DIV/0!</v>
      </c>
      <c r="X63" s="234" t="e">
        <f>+L63+W63</f>
        <v>#DIV/0!</v>
      </c>
    </row>
    <row r="64" spans="1:24" ht="15" customHeight="1" x14ac:dyDescent="0.2">
      <c r="A64" s="401">
        <f>'GENEL HASILAT'!A37</f>
        <v>45596</v>
      </c>
      <c r="B64" s="95"/>
      <c r="C64" s="96"/>
      <c r="D64" s="96"/>
      <c r="E64" s="96"/>
      <c r="F64" s="96"/>
      <c r="G64" s="96"/>
      <c r="H64" s="96"/>
      <c r="I64" s="96"/>
      <c r="J64" s="96"/>
      <c r="K64" s="96"/>
      <c r="L64" s="248">
        <f>SUM(B64:K64)</f>
        <v>0</v>
      </c>
      <c r="M64" s="95"/>
      <c r="N64" s="96"/>
      <c r="O64" s="96"/>
      <c r="P64" s="96"/>
      <c r="Q64" s="96"/>
      <c r="R64" s="96"/>
      <c r="S64" s="96"/>
      <c r="T64" s="96"/>
      <c r="U64" s="96"/>
      <c r="V64" s="96"/>
      <c r="W64" s="240">
        <f>SUM(M64:V64)</f>
        <v>0</v>
      </c>
      <c r="X64" s="235">
        <f t="shared" si="1"/>
        <v>0</v>
      </c>
    </row>
    <row r="65" spans="1:25" ht="15" customHeight="1" thickBot="1" x14ac:dyDescent="0.25">
      <c r="A65" s="402"/>
      <c r="B65" s="103" t="e">
        <f>B64/L64</f>
        <v>#DIV/0!</v>
      </c>
      <c r="C65" s="104" t="e">
        <f>C64/L64</f>
        <v>#DIV/0!</v>
      </c>
      <c r="D65" s="104" t="e">
        <f>D64/L64</f>
        <v>#DIV/0!</v>
      </c>
      <c r="E65" s="104" t="e">
        <f>E64/L64</f>
        <v>#DIV/0!</v>
      </c>
      <c r="F65" s="104" t="e">
        <f>F64/L64</f>
        <v>#DIV/0!</v>
      </c>
      <c r="G65" s="104" t="e">
        <f>G64/L64</f>
        <v>#DIV/0!</v>
      </c>
      <c r="H65" s="104" t="e">
        <f>H64/L64</f>
        <v>#DIV/0!</v>
      </c>
      <c r="I65" s="104" t="e">
        <f>I64/L64</f>
        <v>#DIV/0!</v>
      </c>
      <c r="J65" s="104" t="e">
        <f>J64/L64</f>
        <v>#DIV/0!</v>
      </c>
      <c r="K65" s="104" t="e">
        <f>K64/L64</f>
        <v>#DIV/0!</v>
      </c>
      <c r="L65" s="249" t="e">
        <f>L64/X64</f>
        <v>#DIV/0!</v>
      </c>
      <c r="M65" s="103" t="e">
        <f>M64/W64</f>
        <v>#DIV/0!</v>
      </c>
      <c r="N65" s="104" t="e">
        <f>N64/W64</f>
        <v>#DIV/0!</v>
      </c>
      <c r="O65" s="104" t="e">
        <f>O64/W64</f>
        <v>#DIV/0!</v>
      </c>
      <c r="P65" s="104" t="e">
        <f>P64/W64</f>
        <v>#DIV/0!</v>
      </c>
      <c r="Q65" s="104" t="e">
        <f>Q64/W64</f>
        <v>#DIV/0!</v>
      </c>
      <c r="R65" s="104" t="e">
        <f>R64/W64</f>
        <v>#DIV/0!</v>
      </c>
      <c r="S65" s="104" t="e">
        <f>S64/W64</f>
        <v>#DIV/0!</v>
      </c>
      <c r="T65" s="104" t="e">
        <f>T64/W64</f>
        <v>#DIV/0!</v>
      </c>
      <c r="U65" s="104" t="e">
        <f>U64/W64</f>
        <v>#DIV/0!</v>
      </c>
      <c r="V65" s="104" t="e">
        <f>V64/W64</f>
        <v>#DIV/0!</v>
      </c>
      <c r="W65" s="241" t="e">
        <f>W64/X64</f>
        <v>#DIV/0!</v>
      </c>
      <c r="X65" s="234" t="e">
        <f t="shared" si="1"/>
        <v>#DIV/0!</v>
      </c>
    </row>
    <row r="66" spans="1:25" ht="15" customHeight="1" x14ac:dyDescent="0.2">
      <c r="A66" s="107"/>
      <c r="B66" s="107"/>
      <c r="C66" s="107"/>
      <c r="D66" s="107"/>
      <c r="E66" s="107"/>
      <c r="F66" s="107"/>
      <c r="G66" s="107"/>
      <c r="H66" s="107"/>
      <c r="I66" s="107"/>
      <c r="J66" s="107"/>
      <c r="K66" s="107"/>
      <c r="L66" s="107"/>
      <c r="M66" s="107"/>
      <c r="N66" s="108"/>
      <c r="O66" s="108"/>
      <c r="P66" s="108"/>
      <c r="Q66" s="108"/>
      <c r="R66" s="107"/>
      <c r="S66" s="107"/>
      <c r="T66" s="107"/>
      <c r="U66" s="108"/>
      <c r="V66" s="108"/>
      <c r="W66" s="108"/>
      <c r="X66" s="109"/>
    </row>
    <row r="67" spans="1:25" ht="15" customHeight="1" x14ac:dyDescent="0.2">
      <c r="A67" s="414" t="s">
        <v>6</v>
      </c>
      <c r="B67" s="250">
        <f>SUM(B4+B6+B8+B10+B12+B14+B16+B18+B20+B22+B24+B26+B28+B30+B32+B34+B36+B38+B40+B42+B44+B46+B48+B50+B52+B54+B56+B58+B60+B62+B64)</f>
        <v>4856</v>
      </c>
      <c r="C67" s="250">
        <f t="shared" ref="C67:X67" si="2">SUM(C4+C6+C8+C10+C12+C14+C16+C18+C20+C22+C24+C26+C28+C30+C32+C34+C36+C38+C40+C42+C44+C46+C48+C50+C52+C54+C56+C58+C60+C62+C64)</f>
        <v>4296</v>
      </c>
      <c r="D67" s="250">
        <f t="shared" si="2"/>
        <v>362</v>
      </c>
      <c r="E67" s="250">
        <f t="shared" si="2"/>
        <v>299</v>
      </c>
      <c r="F67" s="250">
        <f t="shared" si="2"/>
        <v>210</v>
      </c>
      <c r="G67" s="250">
        <f t="shared" si="2"/>
        <v>7</v>
      </c>
      <c r="H67" s="250">
        <f t="shared" si="2"/>
        <v>448</v>
      </c>
      <c r="I67" s="250">
        <f t="shared" si="2"/>
        <v>1117</v>
      </c>
      <c r="J67" s="250">
        <f t="shared" si="2"/>
        <v>1162</v>
      </c>
      <c r="K67" s="250">
        <f t="shared" si="2"/>
        <v>1619</v>
      </c>
      <c r="L67" s="250">
        <f t="shared" si="2"/>
        <v>14376</v>
      </c>
      <c r="M67" s="250">
        <f t="shared" si="2"/>
        <v>3543</v>
      </c>
      <c r="N67" s="250">
        <f t="shared" si="2"/>
        <v>1713</v>
      </c>
      <c r="O67" s="250">
        <f t="shared" si="2"/>
        <v>284</v>
      </c>
      <c r="P67" s="250">
        <f t="shared" si="2"/>
        <v>37</v>
      </c>
      <c r="Q67" s="250">
        <f t="shared" si="2"/>
        <v>9</v>
      </c>
      <c r="R67" s="250">
        <f t="shared" si="2"/>
        <v>0</v>
      </c>
      <c r="S67" s="250">
        <f t="shared" si="2"/>
        <v>3</v>
      </c>
      <c r="T67" s="250">
        <f t="shared" si="2"/>
        <v>24</v>
      </c>
      <c r="U67" s="250">
        <f t="shared" si="2"/>
        <v>14</v>
      </c>
      <c r="V67" s="250">
        <f t="shared" si="2"/>
        <v>20</v>
      </c>
      <c r="W67" s="250">
        <f t="shared" si="2"/>
        <v>5647</v>
      </c>
      <c r="X67" s="250">
        <f t="shared" si="2"/>
        <v>20023</v>
      </c>
    </row>
    <row r="68" spans="1:25" ht="15" customHeight="1" x14ac:dyDescent="0.2">
      <c r="A68" s="415"/>
      <c r="B68" s="251">
        <f>+B67/L67</f>
        <v>0.33778519755147468</v>
      </c>
      <c r="C68" s="251">
        <f>+C67/L67</f>
        <v>0.29883138564273792</v>
      </c>
      <c r="D68" s="251">
        <f>+D67/L67</f>
        <v>2.5180856983861993E-2</v>
      </c>
      <c r="E68" s="251">
        <f>+E67/L67</f>
        <v>2.0798553144129105E-2</v>
      </c>
      <c r="F68" s="251">
        <f>+F67/L67</f>
        <v>1.4607679465776294E-2</v>
      </c>
      <c r="G68" s="251">
        <f>+G67/L67</f>
        <v>4.8692264885920978E-4</v>
      </c>
      <c r="H68" s="251">
        <f>+H67/L67</f>
        <v>3.1163049526989426E-2</v>
      </c>
      <c r="I68" s="251">
        <f>+I67/L67</f>
        <v>7.7698942682248195E-2</v>
      </c>
      <c r="J68" s="251">
        <f>+J67/L67</f>
        <v>8.0829159710628831E-2</v>
      </c>
      <c r="K68" s="251">
        <f>+K67/L67</f>
        <v>0.11261825264329438</v>
      </c>
      <c r="L68" s="252">
        <f>+L67/X67</f>
        <v>0.71797432952105078</v>
      </c>
      <c r="M68" s="251">
        <f>+M67/X67</f>
        <v>0.17694651151176147</v>
      </c>
      <c r="N68" s="251">
        <f>+N67/X67</f>
        <v>8.5551615642011691E-2</v>
      </c>
      <c r="O68" s="251">
        <f>+O67/X67</f>
        <v>1.4183688757928383E-2</v>
      </c>
      <c r="P68" s="251">
        <f>+P67/X67</f>
        <v>1.8478749438146133E-3</v>
      </c>
      <c r="Q68" s="251">
        <f>+Q67/X67</f>
        <v>4.494830944413924E-4</v>
      </c>
      <c r="R68" s="251">
        <f>+R67/X67</f>
        <v>0</v>
      </c>
      <c r="S68" s="251">
        <f>+S67/X67</f>
        <v>1.4982769814713079E-4</v>
      </c>
      <c r="T68" s="251">
        <f>+T67/X67</f>
        <v>1.1986215851770463E-3</v>
      </c>
      <c r="U68" s="251">
        <f>+U67/W67</f>
        <v>2.4791924915884543E-3</v>
      </c>
      <c r="V68" s="251">
        <f>+V67/X67</f>
        <v>9.9885132098087191E-4</v>
      </c>
      <c r="W68" s="252">
        <f>+W67/X67</f>
        <v>0.28202567047894922</v>
      </c>
      <c r="X68" s="251">
        <f>+W68+L68</f>
        <v>1</v>
      </c>
    </row>
    <row r="69" spans="1:25" ht="15" customHeight="1" x14ac:dyDescent="0.2">
      <c r="A69" s="110"/>
      <c r="B69" s="279">
        <f>COUNTA('GENEL HASILAT'!B7:B37)</f>
        <v>20</v>
      </c>
      <c r="C69" s="110"/>
      <c r="D69" s="110"/>
      <c r="E69" s="110"/>
      <c r="F69" s="110"/>
      <c r="G69" s="110"/>
      <c r="H69" s="110"/>
      <c r="I69" s="110"/>
      <c r="J69" s="110"/>
      <c r="K69" s="110"/>
      <c r="L69" s="110"/>
      <c r="M69" s="111"/>
      <c r="N69" s="112"/>
      <c r="O69" s="112"/>
      <c r="P69" s="112"/>
      <c r="Q69" s="112"/>
      <c r="R69" s="110"/>
      <c r="S69" s="110"/>
      <c r="T69" s="110"/>
      <c r="U69" s="112"/>
      <c r="V69" s="112"/>
      <c r="W69" s="112"/>
      <c r="X69" s="110"/>
    </row>
    <row r="70" spans="1:25" ht="15" customHeight="1" x14ac:dyDescent="0.2">
      <c r="A70" s="416" t="s">
        <v>93</v>
      </c>
      <c r="B70" s="282">
        <f>+B67/B69</f>
        <v>242.8</v>
      </c>
      <c r="C70" s="282">
        <f>+C67/B69</f>
        <v>214.8</v>
      </c>
      <c r="D70" s="282">
        <f>+D67/B69</f>
        <v>18.100000000000001</v>
      </c>
      <c r="E70" s="282">
        <f>+E67/B69</f>
        <v>14.95</v>
      </c>
      <c r="F70" s="282">
        <f>+F67/B69</f>
        <v>10.5</v>
      </c>
      <c r="G70" s="282">
        <f>+G67/B69</f>
        <v>0.35</v>
      </c>
      <c r="H70" s="282">
        <f>+H67/B69</f>
        <v>22.4</v>
      </c>
      <c r="I70" s="282">
        <f>+I67/B69</f>
        <v>55.85</v>
      </c>
      <c r="J70" s="282">
        <f>+J67/B69</f>
        <v>58.1</v>
      </c>
      <c r="K70" s="282">
        <f>+K67/B69</f>
        <v>80.95</v>
      </c>
      <c r="L70" s="282">
        <f>+L67/B69</f>
        <v>718.8</v>
      </c>
      <c r="M70" s="282">
        <f>+M67/B69</f>
        <v>177.15</v>
      </c>
      <c r="N70" s="282">
        <f>+N67/B69</f>
        <v>85.65</v>
      </c>
      <c r="O70" s="282">
        <f>+O67/B69</f>
        <v>14.2</v>
      </c>
      <c r="P70" s="282">
        <f>+P67/B69</f>
        <v>1.85</v>
      </c>
      <c r="Q70" s="282">
        <f>+Q67/B69</f>
        <v>0.45</v>
      </c>
      <c r="R70" s="282">
        <f>+R67/B69</f>
        <v>0</v>
      </c>
      <c r="S70" s="282">
        <f>+S67/B69</f>
        <v>0.15</v>
      </c>
      <c r="T70" s="282">
        <f>+T67/B69</f>
        <v>1.2</v>
      </c>
      <c r="U70" s="282">
        <f>+U67/B69</f>
        <v>0.7</v>
      </c>
      <c r="V70" s="282">
        <f>+V67/B69</f>
        <v>1</v>
      </c>
      <c r="W70" s="282">
        <f>+W67/B69</f>
        <v>282.35000000000002</v>
      </c>
      <c r="X70" s="282">
        <f>+X67/B69</f>
        <v>1001.15</v>
      </c>
      <c r="Y70" s="113"/>
    </row>
    <row r="71" spans="1:25" ht="15" customHeight="1" x14ac:dyDescent="0.2">
      <c r="A71" s="417"/>
      <c r="B71" s="253">
        <f>B70/X70</f>
        <v>0.24252110073415573</v>
      </c>
      <c r="C71" s="242">
        <f>+C70/X70</f>
        <v>0.21455326374669131</v>
      </c>
      <c r="D71" s="242">
        <f>+D70/X70</f>
        <v>1.8079208909753786E-2</v>
      </c>
      <c r="E71" s="242">
        <f>+E70/X70</f>
        <v>1.4932827248664036E-2</v>
      </c>
      <c r="F71" s="242">
        <f>+F70/X70</f>
        <v>1.0487938870299156E-2</v>
      </c>
      <c r="G71" s="242">
        <f>+G70/X70</f>
        <v>3.4959796234330519E-4</v>
      </c>
      <c r="H71" s="242">
        <f>+H70/X70</f>
        <v>2.2374269589971532E-2</v>
      </c>
      <c r="I71" s="242">
        <f>+I70/X70</f>
        <v>5.5785846276781702E-2</v>
      </c>
      <c r="J71" s="242">
        <f>+J70/W70</f>
        <v>0.20577297680184167</v>
      </c>
      <c r="K71" s="242">
        <f>+K70/X70</f>
        <v>8.0857014433401597E-2</v>
      </c>
      <c r="L71" s="243">
        <f>+L70/X70</f>
        <v>0.71797432952105078</v>
      </c>
      <c r="M71" s="242">
        <f>+M70/X70</f>
        <v>0.1769465115117615</v>
      </c>
      <c r="N71" s="242">
        <f>+N70/X70</f>
        <v>8.5551615642011691E-2</v>
      </c>
      <c r="O71" s="242">
        <f>+O70/X70</f>
        <v>1.4183688757928381E-2</v>
      </c>
      <c r="P71" s="242">
        <f>+P70/X70</f>
        <v>1.8478749438146133E-3</v>
      </c>
      <c r="Q71" s="242">
        <f>+Q70/X70</f>
        <v>4.494830944413924E-4</v>
      </c>
      <c r="R71" s="242">
        <f>+R70/X70</f>
        <v>0</v>
      </c>
      <c r="S71" s="242">
        <f>+S70/X70</f>
        <v>1.4982769814713079E-4</v>
      </c>
      <c r="T71" s="242">
        <f>+T70/X70</f>
        <v>1.1986215851770463E-3</v>
      </c>
      <c r="U71" s="242">
        <f>+U70/W70</f>
        <v>2.4791924915884538E-3</v>
      </c>
      <c r="V71" s="242">
        <f>+V70/X70</f>
        <v>9.9885132098087213E-4</v>
      </c>
      <c r="W71" s="243">
        <f>+W70/X70</f>
        <v>0.28202567047894922</v>
      </c>
      <c r="X71" s="242">
        <f>+W71+L71</f>
        <v>1</v>
      </c>
    </row>
    <row r="72" spans="1:25" ht="15" customHeight="1" x14ac:dyDescent="0.2">
      <c r="B72" s="115"/>
      <c r="C72" s="116"/>
      <c r="D72" s="116"/>
      <c r="E72" s="116"/>
      <c r="F72" s="116"/>
      <c r="G72" s="116"/>
      <c r="H72" s="116"/>
      <c r="I72" s="116"/>
      <c r="J72" s="116"/>
      <c r="K72" s="116"/>
      <c r="L72" s="116"/>
      <c r="M72" s="116"/>
      <c r="R72" s="116"/>
      <c r="S72" s="116"/>
      <c r="T72" s="116"/>
    </row>
    <row r="73" spans="1:25" ht="15" customHeight="1" x14ac:dyDescent="0.2">
      <c r="A73" s="117"/>
      <c r="B73" s="118"/>
      <c r="C73" s="119"/>
      <c r="D73" s="119"/>
      <c r="E73" s="119"/>
      <c r="F73" s="119"/>
      <c r="G73" s="119"/>
      <c r="H73" s="119"/>
      <c r="I73" s="119"/>
      <c r="J73" s="119"/>
      <c r="K73" s="119"/>
      <c r="L73" s="116"/>
    </row>
    <row r="78" spans="1:25" ht="15" customHeight="1" x14ac:dyDescent="0.2">
      <c r="M78" s="116"/>
      <c r="R78" s="116"/>
      <c r="S78" s="116"/>
      <c r="T78" s="116"/>
    </row>
    <row r="79" spans="1:25" ht="15" customHeight="1" x14ac:dyDescent="0.2">
      <c r="M79" s="116"/>
      <c r="R79" s="119"/>
      <c r="S79" s="119"/>
      <c r="T79" s="119"/>
    </row>
    <row r="80" spans="1:25" ht="15" customHeight="1" x14ac:dyDescent="0.2">
      <c r="B80" s="115"/>
      <c r="C80" s="116"/>
      <c r="D80" s="116"/>
      <c r="E80" s="116"/>
      <c r="F80" s="116"/>
      <c r="G80" s="116"/>
      <c r="H80" s="116"/>
      <c r="I80" s="116"/>
      <c r="J80" s="116"/>
      <c r="K80" s="116"/>
      <c r="L80" s="116"/>
      <c r="M80" s="116"/>
      <c r="R80" s="119"/>
      <c r="S80" s="119"/>
      <c r="T80" s="119"/>
    </row>
    <row r="81" spans="1:20" ht="15" customHeight="1" x14ac:dyDescent="0.2">
      <c r="A81" s="117"/>
      <c r="B81" s="118"/>
      <c r="C81" s="119"/>
      <c r="D81" s="119"/>
      <c r="E81" s="119"/>
      <c r="F81" s="119"/>
      <c r="G81" s="119"/>
      <c r="H81" s="119"/>
      <c r="I81" s="119"/>
      <c r="J81" s="119"/>
      <c r="K81" s="119"/>
      <c r="L81" s="116"/>
      <c r="M81" s="116"/>
      <c r="R81" s="119"/>
      <c r="S81" s="119"/>
      <c r="T81" s="119"/>
    </row>
    <row r="82" spans="1:20" ht="15" customHeight="1" x14ac:dyDescent="0.2">
      <c r="A82" s="117"/>
      <c r="B82" s="118"/>
      <c r="C82" s="119"/>
      <c r="D82" s="119"/>
      <c r="E82" s="119"/>
      <c r="F82" s="119"/>
      <c r="G82" s="119"/>
      <c r="H82" s="119"/>
      <c r="I82" s="119"/>
      <c r="J82" s="119"/>
      <c r="K82" s="119"/>
      <c r="L82" s="116"/>
      <c r="M82" s="116"/>
      <c r="R82" s="119"/>
      <c r="S82" s="119"/>
      <c r="T82" s="119"/>
    </row>
    <row r="83" spans="1:20" ht="15" customHeight="1" x14ac:dyDescent="0.2">
      <c r="A83" s="117"/>
      <c r="B83" s="118"/>
      <c r="C83" s="119"/>
      <c r="D83" s="119"/>
      <c r="E83" s="119"/>
      <c r="F83" s="119"/>
      <c r="G83" s="119"/>
      <c r="H83" s="119"/>
      <c r="I83" s="119"/>
      <c r="J83" s="119"/>
      <c r="K83" s="119"/>
      <c r="L83" s="116"/>
      <c r="M83" s="116"/>
      <c r="R83" s="119"/>
      <c r="S83" s="119"/>
      <c r="T83" s="119"/>
    </row>
    <row r="84" spans="1:20" ht="15" customHeight="1" x14ac:dyDescent="0.2">
      <c r="A84" s="117"/>
      <c r="B84" s="118"/>
      <c r="C84" s="119"/>
      <c r="D84" s="119"/>
      <c r="E84" s="119"/>
      <c r="F84" s="119"/>
      <c r="G84" s="119"/>
      <c r="H84" s="119"/>
      <c r="I84" s="119"/>
      <c r="J84" s="119"/>
      <c r="K84" s="119"/>
      <c r="L84" s="116"/>
      <c r="M84" s="116"/>
      <c r="R84" s="119"/>
      <c r="S84" s="119"/>
      <c r="T84" s="119"/>
    </row>
    <row r="85" spans="1:20" ht="15" customHeight="1" x14ac:dyDescent="0.2">
      <c r="A85" s="117"/>
      <c r="B85" s="118"/>
      <c r="C85" s="119"/>
      <c r="D85" s="119"/>
      <c r="E85" s="119"/>
      <c r="F85" s="119"/>
      <c r="G85" s="119"/>
      <c r="H85" s="119"/>
      <c r="I85" s="119"/>
      <c r="J85" s="119"/>
      <c r="K85" s="119"/>
      <c r="L85" s="116"/>
      <c r="M85" s="116"/>
      <c r="R85" s="119"/>
      <c r="S85" s="119"/>
      <c r="T85" s="119"/>
    </row>
    <row r="86" spans="1:20" ht="15" customHeight="1" x14ac:dyDescent="0.2">
      <c r="A86" s="117"/>
      <c r="B86" s="118"/>
      <c r="C86" s="119"/>
      <c r="D86" s="119"/>
      <c r="E86" s="119"/>
      <c r="F86" s="119"/>
      <c r="G86" s="119"/>
      <c r="H86" s="119"/>
      <c r="I86" s="119"/>
      <c r="J86" s="119"/>
      <c r="K86" s="119"/>
      <c r="L86" s="116"/>
      <c r="M86" s="116"/>
      <c r="R86" s="119"/>
      <c r="S86" s="119"/>
      <c r="T86" s="119"/>
    </row>
    <row r="87" spans="1:20" ht="15" customHeight="1" x14ac:dyDescent="0.2">
      <c r="A87" s="117"/>
      <c r="B87" s="118"/>
      <c r="C87" s="119"/>
      <c r="D87" s="119"/>
      <c r="E87" s="119"/>
      <c r="F87" s="119"/>
      <c r="G87" s="119"/>
      <c r="H87" s="119"/>
      <c r="I87" s="119"/>
      <c r="J87" s="119"/>
      <c r="K87" s="119"/>
      <c r="L87" s="116"/>
      <c r="M87" s="116"/>
      <c r="R87" s="119"/>
      <c r="S87" s="119"/>
      <c r="T87" s="119"/>
    </row>
    <row r="88" spans="1:20" ht="15" customHeight="1" x14ac:dyDescent="0.2">
      <c r="A88" s="117"/>
      <c r="B88" s="118"/>
      <c r="C88" s="119"/>
      <c r="D88" s="119"/>
      <c r="E88" s="119"/>
      <c r="F88" s="119"/>
      <c r="G88" s="119"/>
      <c r="H88" s="119"/>
      <c r="I88" s="119"/>
      <c r="J88" s="119"/>
      <c r="K88" s="119"/>
      <c r="L88" s="116"/>
      <c r="M88" s="116"/>
      <c r="R88" s="119"/>
      <c r="S88" s="119"/>
      <c r="T88" s="119"/>
    </row>
    <row r="89" spans="1:20" ht="15" customHeight="1" x14ac:dyDescent="0.2">
      <c r="A89" s="117"/>
      <c r="B89" s="118"/>
      <c r="C89" s="119"/>
      <c r="D89" s="119"/>
      <c r="E89" s="119"/>
      <c r="F89" s="119"/>
      <c r="G89" s="119"/>
      <c r="H89" s="119"/>
      <c r="I89" s="119"/>
      <c r="J89" s="119"/>
      <c r="K89" s="119"/>
      <c r="L89" s="116"/>
      <c r="M89" s="116"/>
      <c r="R89" s="119"/>
      <c r="S89" s="119"/>
      <c r="T89" s="119"/>
    </row>
    <row r="90" spans="1:20" ht="15" customHeight="1" x14ac:dyDescent="0.2">
      <c r="A90" s="117"/>
      <c r="B90" s="118"/>
      <c r="C90" s="119"/>
      <c r="D90" s="119"/>
      <c r="E90" s="119"/>
      <c r="F90" s="119"/>
      <c r="G90" s="119"/>
      <c r="H90" s="119"/>
      <c r="I90" s="119"/>
      <c r="J90" s="119"/>
      <c r="K90" s="119"/>
      <c r="L90" s="116"/>
      <c r="M90" s="116"/>
      <c r="R90" s="119"/>
      <c r="S90" s="119"/>
      <c r="T90" s="119"/>
    </row>
    <row r="91" spans="1:20" ht="15" customHeight="1" x14ac:dyDescent="0.2">
      <c r="A91" s="117"/>
      <c r="B91" s="118"/>
      <c r="C91" s="119"/>
      <c r="D91" s="119"/>
      <c r="E91" s="119"/>
      <c r="F91" s="119"/>
      <c r="G91" s="119"/>
      <c r="H91" s="119"/>
      <c r="I91" s="119"/>
      <c r="J91" s="119"/>
      <c r="K91" s="119"/>
      <c r="L91" s="116"/>
      <c r="M91" s="116"/>
      <c r="R91" s="119"/>
      <c r="S91" s="119"/>
      <c r="T91" s="119"/>
    </row>
    <row r="92" spans="1:20" ht="15" customHeight="1" x14ac:dyDescent="0.2">
      <c r="A92" s="117"/>
      <c r="B92" s="118"/>
      <c r="C92" s="119"/>
      <c r="D92" s="119"/>
      <c r="E92" s="119"/>
      <c r="F92" s="119"/>
      <c r="G92" s="119"/>
      <c r="H92" s="119"/>
      <c r="I92" s="119"/>
      <c r="J92" s="119"/>
      <c r="K92" s="119"/>
      <c r="L92" s="116"/>
      <c r="M92" s="116"/>
      <c r="R92" s="119"/>
      <c r="S92" s="119"/>
      <c r="T92" s="119"/>
    </row>
    <row r="93" spans="1:20" ht="15" customHeight="1" x14ac:dyDescent="0.2">
      <c r="A93" s="117"/>
      <c r="B93" s="118"/>
      <c r="C93" s="119"/>
      <c r="D93" s="119"/>
      <c r="E93" s="119"/>
      <c r="F93" s="119"/>
      <c r="G93" s="119"/>
      <c r="H93" s="119"/>
      <c r="I93" s="119"/>
      <c r="J93" s="119"/>
      <c r="K93" s="119"/>
      <c r="L93" s="116"/>
      <c r="M93" s="116"/>
      <c r="R93" s="119"/>
      <c r="S93" s="119"/>
      <c r="T93" s="119"/>
    </row>
    <row r="94" spans="1:20" ht="15" customHeight="1" x14ac:dyDescent="0.2">
      <c r="A94" s="117"/>
      <c r="B94" s="119"/>
      <c r="C94" s="119"/>
      <c r="D94" s="119"/>
      <c r="E94" s="119"/>
      <c r="F94" s="119"/>
      <c r="G94" s="119"/>
      <c r="H94" s="119"/>
      <c r="I94" s="119"/>
      <c r="J94" s="119"/>
      <c r="K94" s="119"/>
      <c r="L94" s="116"/>
      <c r="R94" s="120"/>
      <c r="S94" s="120"/>
      <c r="T94" s="120"/>
    </row>
    <row r="95" spans="1:20" ht="15" customHeight="1" x14ac:dyDescent="0.2">
      <c r="A95" s="117"/>
      <c r="B95" s="119"/>
      <c r="C95" s="119"/>
      <c r="D95" s="119"/>
      <c r="E95" s="119"/>
      <c r="F95" s="119"/>
      <c r="G95" s="119"/>
      <c r="H95" s="119"/>
      <c r="I95" s="119"/>
      <c r="J95" s="119"/>
      <c r="K95" s="119"/>
      <c r="L95" s="116"/>
      <c r="R95" s="120"/>
      <c r="S95" s="120"/>
      <c r="T95" s="120"/>
    </row>
    <row r="96" spans="1:20" ht="15" customHeight="1" x14ac:dyDescent="0.2">
      <c r="A96" s="117"/>
      <c r="B96" s="120"/>
      <c r="C96" s="120"/>
      <c r="D96" s="120"/>
      <c r="E96" s="120"/>
      <c r="F96" s="120"/>
      <c r="G96" s="120"/>
      <c r="H96" s="120"/>
      <c r="I96" s="120"/>
      <c r="J96" s="120"/>
      <c r="K96" s="120"/>
      <c r="R96" s="120"/>
      <c r="S96" s="120"/>
      <c r="T96" s="120"/>
    </row>
    <row r="97" spans="1:20" ht="15" customHeight="1" x14ac:dyDescent="0.2">
      <c r="A97" s="117"/>
      <c r="B97" s="120"/>
      <c r="C97" s="120"/>
      <c r="D97" s="120"/>
      <c r="E97" s="120"/>
      <c r="F97" s="120"/>
      <c r="G97" s="120"/>
      <c r="H97" s="120"/>
      <c r="I97" s="120"/>
      <c r="J97" s="120"/>
      <c r="K97" s="120"/>
      <c r="R97" s="120"/>
      <c r="S97" s="120"/>
      <c r="T97" s="120"/>
    </row>
    <row r="98" spans="1:20" ht="15" customHeight="1" x14ac:dyDescent="0.2">
      <c r="A98" s="117"/>
      <c r="B98" s="120"/>
      <c r="C98" s="120"/>
      <c r="D98" s="120"/>
      <c r="E98" s="120"/>
      <c r="F98" s="120"/>
      <c r="G98" s="120"/>
      <c r="H98" s="120"/>
      <c r="I98" s="120"/>
      <c r="J98" s="120"/>
      <c r="K98" s="120"/>
      <c r="R98" s="120"/>
      <c r="S98" s="120"/>
      <c r="T98" s="120"/>
    </row>
    <row r="99" spans="1:20" ht="15" customHeight="1" x14ac:dyDescent="0.2">
      <c r="A99" s="117"/>
      <c r="B99" s="120"/>
      <c r="C99" s="120"/>
      <c r="D99" s="120"/>
      <c r="E99" s="120"/>
      <c r="F99" s="120"/>
      <c r="G99" s="120"/>
      <c r="H99" s="120"/>
      <c r="I99" s="120"/>
      <c r="J99" s="120"/>
      <c r="K99" s="120"/>
    </row>
    <row r="100" spans="1:20" ht="15" customHeight="1" x14ac:dyDescent="0.2">
      <c r="A100" s="117"/>
      <c r="B100" s="120"/>
      <c r="C100" s="120"/>
      <c r="D100" s="120"/>
      <c r="E100" s="120"/>
      <c r="F100" s="120"/>
      <c r="G100" s="120"/>
      <c r="H100" s="120"/>
      <c r="I100" s="120"/>
      <c r="J100" s="120"/>
      <c r="K100" s="120"/>
    </row>
    <row r="105" spans="1:20" ht="15" customHeight="1" x14ac:dyDescent="0.2">
      <c r="M105" s="116"/>
      <c r="R105" s="116"/>
      <c r="S105" s="116"/>
      <c r="T105" s="116"/>
    </row>
    <row r="106" spans="1:20" ht="15" customHeight="1" x14ac:dyDescent="0.2">
      <c r="M106" s="116"/>
      <c r="R106" s="119"/>
      <c r="S106" s="119"/>
      <c r="T106" s="119"/>
    </row>
    <row r="107" spans="1:20" ht="15" customHeight="1" x14ac:dyDescent="0.2">
      <c r="B107" s="115"/>
      <c r="C107" s="116"/>
      <c r="D107" s="116"/>
      <c r="E107" s="116"/>
      <c r="F107" s="116"/>
      <c r="G107" s="116"/>
      <c r="H107" s="116"/>
      <c r="I107" s="116"/>
      <c r="J107" s="116"/>
      <c r="K107" s="116"/>
      <c r="L107" s="116"/>
      <c r="M107" s="116"/>
      <c r="R107" s="119"/>
      <c r="S107" s="119"/>
      <c r="T107" s="119"/>
    </row>
    <row r="108" spans="1:20" ht="15" customHeight="1" x14ac:dyDescent="0.2">
      <c r="A108" s="117"/>
      <c r="B108" s="118"/>
      <c r="C108" s="119"/>
      <c r="D108" s="119"/>
      <c r="E108" s="119"/>
      <c r="F108" s="119"/>
      <c r="G108" s="119"/>
      <c r="H108" s="119"/>
      <c r="I108" s="119"/>
      <c r="J108" s="119"/>
      <c r="K108" s="119"/>
      <c r="L108" s="116"/>
      <c r="M108" s="116"/>
      <c r="R108" s="119"/>
      <c r="S108" s="119"/>
      <c r="T108" s="119"/>
    </row>
    <row r="109" spans="1:20" ht="15" customHeight="1" x14ac:dyDescent="0.2">
      <c r="A109" s="117"/>
      <c r="B109" s="118"/>
      <c r="C109" s="119"/>
      <c r="D109" s="119"/>
      <c r="E109" s="119"/>
      <c r="F109" s="119"/>
      <c r="G109" s="119"/>
      <c r="H109" s="119"/>
      <c r="I109" s="119"/>
      <c r="J109" s="119"/>
      <c r="K109" s="119"/>
      <c r="L109" s="116"/>
      <c r="M109" s="116"/>
      <c r="R109" s="119"/>
      <c r="S109" s="119"/>
      <c r="T109" s="119"/>
    </row>
    <row r="110" spans="1:20" ht="15" customHeight="1" x14ac:dyDescent="0.2">
      <c r="A110" s="117"/>
      <c r="B110" s="118"/>
      <c r="C110" s="119"/>
      <c r="D110" s="119"/>
      <c r="E110" s="119"/>
      <c r="F110" s="119"/>
      <c r="G110" s="119"/>
      <c r="H110" s="119"/>
      <c r="I110" s="119"/>
      <c r="J110" s="119"/>
      <c r="K110" s="119"/>
      <c r="L110" s="116"/>
      <c r="M110" s="116"/>
      <c r="R110" s="119"/>
      <c r="S110" s="119"/>
      <c r="T110" s="119"/>
    </row>
    <row r="111" spans="1:20" ht="15" customHeight="1" x14ac:dyDescent="0.2">
      <c r="A111" s="117"/>
      <c r="B111" s="118"/>
      <c r="C111" s="119"/>
      <c r="D111" s="119"/>
      <c r="E111" s="119"/>
      <c r="F111" s="119"/>
      <c r="G111" s="119"/>
      <c r="H111" s="119"/>
      <c r="I111" s="119"/>
      <c r="J111" s="119"/>
      <c r="K111" s="119"/>
      <c r="L111" s="116"/>
      <c r="M111" s="116"/>
      <c r="R111" s="119"/>
      <c r="S111" s="119"/>
      <c r="T111" s="119"/>
    </row>
    <row r="112" spans="1:20" ht="15" customHeight="1" x14ac:dyDescent="0.2">
      <c r="A112" s="117"/>
      <c r="B112" s="118"/>
      <c r="C112" s="119"/>
      <c r="D112" s="119"/>
      <c r="E112" s="119"/>
      <c r="F112" s="119"/>
      <c r="G112" s="119"/>
      <c r="H112" s="119"/>
      <c r="I112" s="119"/>
      <c r="J112" s="119"/>
      <c r="K112" s="119"/>
      <c r="L112" s="116"/>
      <c r="M112" s="116"/>
      <c r="R112" s="119"/>
      <c r="S112" s="119"/>
      <c r="T112" s="119"/>
    </row>
    <row r="113" spans="1:20" ht="15" customHeight="1" x14ac:dyDescent="0.2">
      <c r="A113" s="117"/>
      <c r="B113" s="118"/>
      <c r="C113" s="119"/>
      <c r="D113" s="119"/>
      <c r="E113" s="119"/>
      <c r="F113" s="119"/>
      <c r="G113" s="119"/>
      <c r="H113" s="119"/>
      <c r="I113" s="119"/>
      <c r="J113" s="119"/>
      <c r="K113" s="119"/>
      <c r="L113" s="116"/>
      <c r="M113" s="116"/>
      <c r="R113" s="119"/>
      <c r="S113" s="119"/>
      <c r="T113" s="119"/>
    </row>
    <row r="114" spans="1:20" ht="15" customHeight="1" x14ac:dyDescent="0.2">
      <c r="A114" s="117"/>
      <c r="B114" s="118"/>
      <c r="C114" s="119"/>
      <c r="D114" s="119"/>
      <c r="E114" s="119"/>
      <c r="F114" s="119"/>
      <c r="G114" s="119"/>
      <c r="H114" s="119"/>
      <c r="I114" s="119"/>
      <c r="J114" s="119"/>
      <c r="K114" s="119"/>
      <c r="L114" s="116"/>
      <c r="M114" s="116"/>
      <c r="R114" s="119"/>
      <c r="S114" s="119"/>
      <c r="T114" s="119"/>
    </row>
    <row r="115" spans="1:20" ht="15" customHeight="1" x14ac:dyDescent="0.2">
      <c r="A115" s="117"/>
      <c r="B115" s="118"/>
      <c r="C115" s="119"/>
      <c r="D115" s="119"/>
      <c r="E115" s="119"/>
      <c r="F115" s="119"/>
      <c r="G115" s="119"/>
      <c r="H115" s="119"/>
      <c r="I115" s="119"/>
      <c r="J115" s="119"/>
      <c r="K115" s="119"/>
      <c r="L115" s="116"/>
      <c r="M115" s="116"/>
      <c r="R115" s="119"/>
      <c r="S115" s="119"/>
      <c r="T115" s="119"/>
    </row>
    <row r="116" spans="1:20" ht="15" customHeight="1" x14ac:dyDescent="0.2">
      <c r="A116" s="117"/>
      <c r="B116" s="118"/>
      <c r="C116" s="119"/>
      <c r="D116" s="119"/>
      <c r="E116" s="119"/>
      <c r="F116" s="119"/>
      <c r="G116" s="119"/>
      <c r="H116" s="119"/>
      <c r="I116" s="119"/>
      <c r="J116" s="119"/>
      <c r="K116" s="119"/>
      <c r="L116" s="116"/>
      <c r="M116" s="116"/>
      <c r="R116" s="119"/>
      <c r="S116" s="119"/>
      <c r="T116" s="119"/>
    </row>
    <row r="117" spans="1:20" ht="15" customHeight="1" x14ac:dyDescent="0.2">
      <c r="A117" s="117"/>
      <c r="B117" s="118"/>
      <c r="C117" s="119"/>
      <c r="D117" s="119"/>
      <c r="E117" s="119"/>
      <c r="F117" s="119"/>
      <c r="G117" s="119"/>
      <c r="H117" s="119"/>
      <c r="I117" s="119"/>
      <c r="J117" s="119"/>
      <c r="K117" s="119"/>
      <c r="L117" s="116"/>
      <c r="M117" s="116"/>
      <c r="R117" s="119"/>
      <c r="S117" s="119"/>
      <c r="T117" s="119"/>
    </row>
    <row r="118" spans="1:20" ht="15" customHeight="1" x14ac:dyDescent="0.2">
      <c r="A118" s="117"/>
      <c r="B118" s="118"/>
      <c r="C118" s="119"/>
      <c r="D118" s="119"/>
      <c r="E118" s="119"/>
      <c r="F118" s="119"/>
      <c r="G118" s="119"/>
      <c r="H118" s="119"/>
      <c r="I118" s="119"/>
      <c r="J118" s="119"/>
      <c r="K118" s="119"/>
      <c r="L118" s="116"/>
      <c r="M118" s="116"/>
      <c r="R118" s="119"/>
      <c r="S118" s="119"/>
      <c r="T118" s="119"/>
    </row>
    <row r="119" spans="1:20" ht="15" customHeight="1" x14ac:dyDescent="0.2">
      <c r="A119" s="117"/>
      <c r="B119" s="118"/>
      <c r="C119" s="119"/>
      <c r="D119" s="119"/>
      <c r="E119" s="119"/>
      <c r="F119" s="119"/>
      <c r="G119" s="119"/>
      <c r="H119" s="119"/>
      <c r="I119" s="119"/>
      <c r="J119" s="119"/>
      <c r="K119" s="119"/>
      <c r="L119" s="116"/>
      <c r="M119" s="116"/>
      <c r="R119" s="119"/>
      <c r="S119" s="119"/>
      <c r="T119" s="119"/>
    </row>
    <row r="120" spans="1:20" ht="15" customHeight="1" x14ac:dyDescent="0.2">
      <c r="A120" s="117"/>
      <c r="B120" s="118"/>
      <c r="C120" s="119"/>
      <c r="D120" s="119"/>
      <c r="E120" s="119"/>
      <c r="F120" s="119"/>
      <c r="G120" s="119"/>
      <c r="H120" s="119"/>
      <c r="I120" s="119"/>
      <c r="J120" s="119"/>
      <c r="K120" s="119"/>
      <c r="L120" s="116"/>
      <c r="M120" s="116"/>
      <c r="R120" s="119"/>
      <c r="S120" s="119"/>
      <c r="T120" s="119"/>
    </row>
    <row r="121" spans="1:20" ht="15" customHeight="1" x14ac:dyDescent="0.2">
      <c r="A121" s="117"/>
      <c r="B121" s="119"/>
      <c r="C121" s="119"/>
      <c r="D121" s="119"/>
      <c r="E121" s="119"/>
      <c r="F121" s="119"/>
      <c r="G121" s="119"/>
      <c r="H121" s="119"/>
      <c r="I121" s="119"/>
      <c r="J121" s="119"/>
      <c r="K121" s="119"/>
      <c r="L121" s="116"/>
      <c r="R121" s="120"/>
      <c r="S121" s="120"/>
      <c r="T121" s="120"/>
    </row>
    <row r="122" spans="1:20" ht="15" customHeight="1" x14ac:dyDescent="0.2">
      <c r="A122" s="117"/>
      <c r="B122" s="119"/>
      <c r="C122" s="119"/>
      <c r="D122" s="119"/>
      <c r="E122" s="119"/>
      <c r="F122" s="119"/>
      <c r="G122" s="119"/>
      <c r="H122" s="119"/>
      <c r="I122" s="119"/>
      <c r="J122" s="119"/>
      <c r="K122" s="119"/>
      <c r="L122" s="116"/>
      <c r="R122" s="120"/>
      <c r="S122" s="120"/>
      <c r="T122" s="120"/>
    </row>
    <row r="123" spans="1:20" ht="15" customHeight="1" x14ac:dyDescent="0.2">
      <c r="A123" s="117"/>
      <c r="B123" s="120"/>
      <c r="C123" s="120"/>
      <c r="D123" s="120"/>
      <c r="E123" s="120"/>
      <c r="F123" s="120"/>
      <c r="G123" s="120"/>
      <c r="H123" s="120"/>
      <c r="I123" s="120"/>
      <c r="J123" s="120"/>
      <c r="K123" s="120"/>
      <c r="R123" s="120"/>
      <c r="S123" s="120"/>
      <c r="T123" s="120"/>
    </row>
    <row r="124" spans="1:20" ht="15" customHeight="1" x14ac:dyDescent="0.2">
      <c r="A124" s="117"/>
      <c r="B124" s="120"/>
      <c r="C124" s="120"/>
      <c r="D124" s="120"/>
      <c r="E124" s="120"/>
      <c r="F124" s="120"/>
      <c r="G124" s="120"/>
      <c r="H124" s="120"/>
      <c r="I124" s="120"/>
      <c r="J124" s="120"/>
      <c r="K124" s="120"/>
      <c r="R124" s="120"/>
      <c r="S124" s="120"/>
      <c r="T124" s="120"/>
    </row>
    <row r="125" spans="1:20" ht="15" customHeight="1" x14ac:dyDescent="0.2">
      <c r="A125" s="117"/>
      <c r="B125" s="120"/>
      <c r="C125" s="120"/>
      <c r="D125" s="120"/>
      <c r="E125" s="120"/>
      <c r="F125" s="120"/>
      <c r="G125" s="120"/>
      <c r="H125" s="120"/>
      <c r="I125" s="120"/>
      <c r="J125" s="120"/>
      <c r="K125" s="120"/>
      <c r="R125" s="120"/>
      <c r="S125" s="120"/>
      <c r="T125" s="120"/>
    </row>
    <row r="126" spans="1:20" ht="15" customHeight="1" x14ac:dyDescent="0.2">
      <c r="A126" s="117"/>
      <c r="B126" s="120"/>
      <c r="C126" s="120"/>
      <c r="D126" s="120"/>
      <c r="E126" s="120"/>
      <c r="F126" s="120"/>
      <c r="G126" s="120"/>
      <c r="H126" s="120"/>
      <c r="I126" s="120"/>
      <c r="J126" s="120"/>
      <c r="K126" s="120"/>
    </row>
    <row r="127" spans="1:20" ht="15" customHeight="1" x14ac:dyDescent="0.2">
      <c r="A127" s="117"/>
      <c r="B127" s="120"/>
      <c r="C127" s="120"/>
      <c r="D127" s="120"/>
      <c r="E127" s="120"/>
      <c r="F127" s="120"/>
      <c r="G127" s="120"/>
      <c r="H127" s="120"/>
      <c r="I127" s="120"/>
      <c r="J127" s="120"/>
      <c r="K127" s="120"/>
    </row>
  </sheetData>
  <sheetProtection sheet="1" objects="1" scenarios="1" selectLockedCells="1"/>
  <mergeCells count="37">
    <mergeCell ref="A10:A11"/>
    <mergeCell ref="A20:A21"/>
    <mergeCell ref="A22:A23"/>
    <mergeCell ref="A12:A13"/>
    <mergeCell ref="A16:A17"/>
    <mergeCell ref="A14:A15"/>
    <mergeCell ref="A18:A19"/>
    <mergeCell ref="A67:A68"/>
    <mergeCell ref="A70:A71"/>
    <mergeCell ref="A40:A41"/>
    <mergeCell ref="A48:A49"/>
    <mergeCell ref="A64:A65"/>
    <mergeCell ref="A54:A55"/>
    <mergeCell ref="A46:A47"/>
    <mergeCell ref="A50:A51"/>
    <mergeCell ref="A52:A53"/>
    <mergeCell ref="A58:A59"/>
    <mergeCell ref="A62:A63"/>
    <mergeCell ref="A60:A61"/>
    <mergeCell ref="A56:A57"/>
    <mergeCell ref="A44:A45"/>
    <mergeCell ref="A4:A5"/>
    <mergeCell ref="A6:A7"/>
    <mergeCell ref="A8:A9"/>
    <mergeCell ref="A1:X1"/>
    <mergeCell ref="B2:L2"/>
    <mergeCell ref="M2:W2"/>
    <mergeCell ref="X2:X3"/>
    <mergeCell ref="A28:A29"/>
    <mergeCell ref="A24:A25"/>
    <mergeCell ref="A42:A43"/>
    <mergeCell ref="A34:A35"/>
    <mergeCell ref="A36:A37"/>
    <mergeCell ref="A38:A39"/>
    <mergeCell ref="A26:A27"/>
    <mergeCell ref="A30:A31"/>
    <mergeCell ref="A32:A33"/>
  </mergeCells>
  <phoneticPr fontId="0" type="noConversion"/>
  <pageMargins left="0.75" right="0.75" top="1" bottom="1" header="0.5" footer="0.5"/>
  <pageSetup paperSize="9" orientation="portrait" r:id="rId1"/>
  <headerFooter alignWithMargins="0"/>
  <ignoredErrors>
    <ignoredError sqref="B71 C71:K71 E69 B5 J69 C5 I69 D5 H69 E5 F69 F5 K69 G5 C69 H5 D69 I5 J5 K5 B7 C7 D7 E7 F7 G7 H7 I7 J7 K7 B9 C9 D9 E9 F9 G9 H9 I9 J9 K9 B11 C11 D11 E11 F11 G11 H11 I11 J11 K11 B13 C13 D13 E13 F13 G13 H13 I13 J13 K13 B15 C15 D15 E15 F15 G15 H15 I15 J15 K15 B17 C17 D17 E17 F17 G17 H17 I17 J17 K17 D19 E19 F19 B19 C19 G19 H19 I19 J19 K19 B21 C21 D21 E21 F21 G21 H21 I21 J21 K21 B23 C23 D23 E23 F23 G23 H23 I23 J23 K23 B25 C25 D25 E25 F25 G25 H25 I25 J25 K25 E27 F27 B27 C27 D27 G27 H27 I27 J27 K27 B29 C29 D29 E29 F29 G29 H29 I29 J29 K29 B31 C31 D31 E31 F31 G31 H31 I31 J31 K31 B33 C33 D33 E33 F33 G33 H33 I33 J33 K33 D35 B35 C35 E35 F35 G35 H35 I35 J35 K35 B37 C37 D37 E37 F37 G37 H37 I37 J37 K37 B39 C39 D39 E39 F39 G39 H39 I39 J39 K39 D41 E41 F41 G41 H41 B41 C41 I41 J41 K41 B43 C43 D43 E43 F43 G43 H43 I43 J43 K43 B45 C45 D45 E45 F45 G45 H45 I45 J45 K45 B47 C47 D47 E47 F47 G47 H47 I47 J47 K47 D49 E49 F49 G49 H49 B49 C49 I49 J49 K49 B51 C51 D51 E51 F51 G51 H51 I51 J51 K51 B53 C53 D53 E53 F53 G53 H53 I53 J53 K53 B55 C55 D55 E55 F55 G55 H55 I55 J55 K55 D57 B57 C57 E57 F57 G57 H57 I57 J57 K57 B59 C59 D59 E59 F59 G59 H59 I59 J59 K59 B61 C61 D61 E61 F61 G61 H61 I61 J61 K61 B63 C63 D63 E63 F63 G63 H63 I63 J63 K63 B65:B66 D65:D66 C65:C66 K65:K66 F65:F66 H65:H66 I65:I66 J65:J66 E65:E66 G65:G66 G69" evalError="1"/>
    <ignoredError sqref="L4" formulaRange="1"/>
    <ignoredError sqref="M71:S71 T71:W71 L71 X71 Q68:Q69 X68:X69 T68:T69 P68:P69 M5 U68:U69 N5 M68:M69 O5 N68:N69 P5 O68:O69 Q5 R68:R69 R5 S5 S68:S69 T5 W68:W69 U5 L69 V5 M7 N7 O7 P7 Q7 R7 S7 T7 U7 V7 M9 N9 O9 P9 Q9 R9 S9 T9 U9 V9 M11 N11 O11 P11 Q11 R11 S11 T11 U11 V11 M13 N13 O13 P13 Q13 R13 S13 T13 U13 V13 M15 N15 O15 P15 Q15 R15 S15 T15 U15 V15 M17 N17 O17 P17 Q17 R17 S17 T17 U17 V17 M19 N19 O19 P19 Q19 R19 S19 T19 U19 V19 M21 N21 O21 P21 Q21 R21 S21 T21 U21 V21 M23 N23 O23 P23 Q23 R23 S23 T23 U23 V23 M25 N25 O25 P25 Q25 R25 S25 T25 U25 V25 M27 N27 O27 P27 Q27 R27 S27 T27 U27 V27 M29 N29 O29 P29 Q29 R29 S29 T29 U29 V29 M31 N31 O31 P31 Q31 R31 S31 T31 U31 V31 M33 N33 O33 P33 Q33 R33 T33 S33 U33 V33 M35 N35 O35 P35 Q35 R35 S35 T35 U35 V35 M37 N37 O37 P37 Q37 R37 S37 T37 U37 V37 M39 N39 O39 P39 Q39 R39 S39 T39 U39 V39 M41 N41 O41 P41 Q41 R41 S41 T41 U41 V41 M43 N43 O43 P43 Q43 R43 S43 T43 U43 V43 M45 N45 O45 P45 Q45 R45 S45 T45 U45 V45 M47 N47 O47 P47 Q47 R47 S47 T47 U47 V47 M49 N49 O49 P49 Q49 R49 S49 T49 U49 V49 M51 N51 O51 P51 Q51 R51 S51 T51 U51 V51 M53 N53 O53 P53 Q53 R53 S53 T53 U53 V53 M55 N55 O55 P55 Q55 R55 S55 T55 U55 V55 M57 N57 O57 P57 Q57 S57 R57 T57 U57 V57 M59 N59 O59 P59 Q59 R59 S59 T59 U59 V59 M61 N61 O61 P61 Q61 R61 S61 T61 U61 V61 M63 N63 O63 P63 Q63 R63 S63 T63 U63 V63 L63 L65:L66 W5:W66 S65:S66 R65:R66 O65:O66 N65:N66 M65:M66 U65:U66 P65:P66 T65:T66 X5:X66 Q65:Q66 V65:V66 V68:V69" evalError="1" formula="1"/>
    <ignoredError sqref="L5:L62 L64" evalError="1" formula="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tabColor indexed="47"/>
  </sheetPr>
  <dimension ref="A2:R115"/>
  <sheetViews>
    <sheetView workbookViewId="0">
      <pane ySplit="7" topLeftCell="A32" activePane="bottomLeft" state="frozenSplit"/>
      <selection activeCell="A7" sqref="A7:A37"/>
      <selection pane="bottomLeft" activeCell="R67" sqref="R67:R68"/>
    </sheetView>
  </sheetViews>
  <sheetFormatPr defaultColWidth="9.28515625" defaultRowHeight="12.75" customHeight="1" x14ac:dyDescent="0.2"/>
  <cols>
    <col min="1" max="1" width="12.28515625" style="54" bestFit="1" customWidth="1"/>
    <col min="2" max="3" width="10.42578125" style="18" bestFit="1" customWidth="1"/>
    <col min="4" max="5" width="9.5703125" style="18" bestFit="1" customWidth="1"/>
    <col min="6" max="6" width="10.42578125" style="18" bestFit="1" customWidth="1"/>
    <col min="7" max="7" width="11.7109375" style="18" bestFit="1" customWidth="1"/>
    <col min="8" max="8" width="0.7109375" style="20" customWidth="1"/>
    <col min="9" max="10" width="9.5703125" style="18" bestFit="1" customWidth="1"/>
    <col min="11" max="14" width="9.140625" style="18" customWidth="1"/>
    <col min="15" max="15" width="6.85546875" style="18" bestFit="1" customWidth="1"/>
    <col min="16" max="16" width="10.42578125" style="21" bestFit="1" customWidth="1"/>
    <col min="17" max="17" width="10.85546875" style="17" bestFit="1" customWidth="1"/>
    <col min="18" max="18" width="38.7109375" style="18" customWidth="1"/>
    <col min="19" max="16384" width="9.28515625" style="18"/>
  </cols>
  <sheetData>
    <row r="2" spans="1:18" ht="15.75" x14ac:dyDescent="0.2">
      <c r="A2" s="431" t="str">
        <f>'GENEL HASILAT'!A3 &amp; " - ÜCRET GRUP ANALİZİ"</f>
        <v>EKİM 2024 - ÜCRET GRUP ANALİZİ</v>
      </c>
      <c r="B2" s="431"/>
      <c r="C2" s="431"/>
      <c r="D2" s="431"/>
      <c r="E2" s="431"/>
      <c r="F2" s="431"/>
      <c r="G2" s="431"/>
      <c r="H2" s="431"/>
      <c r="I2" s="431"/>
      <c r="J2" s="431"/>
      <c r="K2" s="431"/>
      <c r="L2" s="431"/>
      <c r="M2" s="431"/>
      <c r="N2" s="431"/>
      <c r="O2" s="431"/>
      <c r="P2" s="431"/>
    </row>
    <row r="3" spans="1:18" ht="12.75" customHeight="1" x14ac:dyDescent="0.2">
      <c r="A3" s="19"/>
    </row>
    <row r="4" spans="1:18" ht="12.75" customHeight="1" x14ac:dyDescent="0.2">
      <c r="A4" s="19"/>
      <c r="B4" s="432" t="s">
        <v>34</v>
      </c>
      <c r="C4" s="432"/>
      <c r="D4" s="432"/>
      <c r="E4" s="432"/>
      <c r="F4" s="432"/>
      <c r="G4" s="432"/>
      <c r="H4" s="22"/>
      <c r="I4" s="433" t="s">
        <v>35</v>
      </c>
      <c r="J4" s="433"/>
      <c r="K4" s="433"/>
      <c r="L4" s="433"/>
      <c r="M4" s="433"/>
      <c r="N4" s="433"/>
    </row>
    <row r="5" spans="1:18" ht="12.75" customHeight="1" thickBot="1" x14ac:dyDescent="0.25">
      <c r="A5" s="23"/>
      <c r="B5" s="24"/>
      <c r="C5" s="24"/>
      <c r="D5" s="24"/>
      <c r="E5" s="24"/>
      <c r="F5" s="24"/>
      <c r="G5" s="25"/>
      <c r="H5" s="26"/>
      <c r="I5" s="25"/>
      <c r="J5" s="26"/>
      <c r="K5" s="26"/>
      <c r="L5" s="26"/>
      <c r="M5" s="26"/>
      <c r="N5" s="26"/>
    </row>
    <row r="6" spans="1:18" ht="12.75" customHeight="1" thickTop="1" x14ac:dyDescent="0.2">
      <c r="A6" s="434" t="s">
        <v>1</v>
      </c>
      <c r="B6" s="426" t="s">
        <v>60</v>
      </c>
      <c r="C6" s="436" t="s">
        <v>61</v>
      </c>
      <c r="D6" s="436" t="s">
        <v>62</v>
      </c>
      <c r="E6" s="436" t="s">
        <v>63</v>
      </c>
      <c r="F6" s="438" t="s">
        <v>64</v>
      </c>
      <c r="G6" s="424" t="s">
        <v>65</v>
      </c>
      <c r="H6" s="27"/>
      <c r="I6" s="426" t="s">
        <v>60</v>
      </c>
      <c r="J6" s="428" t="s">
        <v>61</v>
      </c>
      <c r="K6" s="436" t="s">
        <v>62</v>
      </c>
      <c r="L6" s="436" t="s">
        <v>63</v>
      </c>
      <c r="M6" s="436" t="s">
        <v>64</v>
      </c>
      <c r="N6" s="424" t="s">
        <v>65</v>
      </c>
      <c r="O6" s="28"/>
      <c r="P6" s="423" t="s">
        <v>10</v>
      </c>
      <c r="Q6" s="430" t="s">
        <v>57</v>
      </c>
      <c r="R6" s="423" t="s">
        <v>66</v>
      </c>
    </row>
    <row r="7" spans="1:18" ht="12.75" customHeight="1" thickBot="1" x14ac:dyDescent="0.25">
      <c r="A7" s="435"/>
      <c r="B7" s="427"/>
      <c r="C7" s="437"/>
      <c r="D7" s="437"/>
      <c r="E7" s="437"/>
      <c r="F7" s="439"/>
      <c r="G7" s="425"/>
      <c r="H7" s="27"/>
      <c r="I7" s="427"/>
      <c r="J7" s="429"/>
      <c r="K7" s="437"/>
      <c r="L7" s="437"/>
      <c r="M7" s="437"/>
      <c r="N7" s="425"/>
      <c r="O7" s="28"/>
      <c r="P7" s="423"/>
      <c r="Q7" s="430"/>
      <c r="R7" s="423"/>
    </row>
    <row r="8" spans="1:18" thickTop="1" thickBot="1" x14ac:dyDescent="0.25">
      <c r="A8" s="29"/>
      <c r="B8" s="280">
        <v>60</v>
      </c>
      <c r="C8" s="280">
        <v>85</v>
      </c>
      <c r="D8" s="280">
        <v>125</v>
      </c>
      <c r="E8" s="280">
        <v>140</v>
      </c>
      <c r="F8" s="280">
        <v>200</v>
      </c>
      <c r="G8" s="280"/>
      <c r="H8" s="280"/>
      <c r="I8" s="280">
        <v>70</v>
      </c>
      <c r="J8" s="280">
        <v>110</v>
      </c>
      <c r="K8" s="280">
        <v>135</v>
      </c>
      <c r="L8" s="280">
        <v>180</v>
      </c>
      <c r="M8" s="281">
        <v>245</v>
      </c>
      <c r="N8" s="280"/>
    </row>
    <row r="9" spans="1:18" ht="12.75" customHeight="1" thickTop="1" thickBot="1" x14ac:dyDescent="0.25">
      <c r="A9" s="419">
        <f>'GENEL HASILAT'!A7</f>
        <v>45566</v>
      </c>
      <c r="B9" s="121">
        <f>$B$8</f>
        <v>60</v>
      </c>
      <c r="C9" s="122">
        <f>$C$8</f>
        <v>85</v>
      </c>
      <c r="D9" s="122">
        <f>$D$8</f>
        <v>125</v>
      </c>
      <c r="E9" s="122">
        <f>$E$8</f>
        <v>140</v>
      </c>
      <c r="F9" s="122">
        <f>$F$8</f>
        <v>200</v>
      </c>
      <c r="G9" s="101">
        <f>G11/G10</f>
        <v>901.74825174825173</v>
      </c>
      <c r="H9" s="30"/>
      <c r="I9" s="31">
        <f>$I$8</f>
        <v>70</v>
      </c>
      <c r="J9" s="32">
        <f>$J$8</f>
        <v>110</v>
      </c>
      <c r="K9" s="32">
        <f>$K$8</f>
        <v>135</v>
      </c>
      <c r="L9" s="32">
        <f>$L$8</f>
        <v>180</v>
      </c>
      <c r="M9" s="32">
        <f>$M$8</f>
        <v>245</v>
      </c>
      <c r="N9" s="33">
        <f>N11/N10</f>
        <v>915</v>
      </c>
    </row>
    <row r="10" spans="1:18" ht="12.75" customHeight="1" thickTop="1" thickBot="1" x14ac:dyDescent="0.25">
      <c r="A10" s="420"/>
      <c r="B10" s="123">
        <v>260</v>
      </c>
      <c r="C10" s="97">
        <v>285</v>
      </c>
      <c r="D10" s="97">
        <v>40</v>
      </c>
      <c r="E10" s="97">
        <v>19</v>
      </c>
      <c r="F10" s="97">
        <v>8</v>
      </c>
      <c r="G10" s="98">
        <v>143</v>
      </c>
      <c r="H10" s="34"/>
      <c r="I10" s="99">
        <v>82</v>
      </c>
      <c r="J10" s="97">
        <v>108</v>
      </c>
      <c r="K10" s="97">
        <v>22</v>
      </c>
      <c r="L10" s="97">
        <v>1</v>
      </c>
      <c r="M10" s="97">
        <v>0</v>
      </c>
      <c r="N10" s="98">
        <v>1</v>
      </c>
      <c r="O10" s="35" t="s">
        <v>67</v>
      </c>
      <c r="P10" s="36">
        <f>P11/120*100</f>
        <v>166433.33333333331</v>
      </c>
      <c r="R10" s="421"/>
    </row>
    <row r="11" spans="1:18" ht="12.75" customHeight="1" thickTop="1" thickBot="1" x14ac:dyDescent="0.25">
      <c r="A11" s="420"/>
      <c r="B11" s="124">
        <f>B10*B9</f>
        <v>15600</v>
      </c>
      <c r="C11" s="125">
        <f>C10*C9</f>
        <v>24225</v>
      </c>
      <c r="D11" s="125">
        <f>D10*D9</f>
        <v>5000</v>
      </c>
      <c r="E11" s="125">
        <f>E10*E9</f>
        <v>2660</v>
      </c>
      <c r="F11" s="125">
        <f>F10*F9</f>
        <v>1600</v>
      </c>
      <c r="G11" s="126">
        <v>128950</v>
      </c>
      <c r="H11" s="37"/>
      <c r="I11" s="38">
        <f>I10*I9</f>
        <v>5740</v>
      </c>
      <c r="J11" s="39">
        <f>J10*J9</f>
        <v>11880</v>
      </c>
      <c r="K11" s="39">
        <f>K10*K9</f>
        <v>2970</v>
      </c>
      <c r="L11" s="39">
        <f>L10*L9</f>
        <v>180</v>
      </c>
      <c r="M11" s="39">
        <f>M10*M9</f>
        <v>0</v>
      </c>
      <c r="N11" s="127">
        <v>915</v>
      </c>
      <c r="O11" s="40" t="s">
        <v>68</v>
      </c>
      <c r="P11" s="41">
        <f>SUM(B11:G11,I11:N11)</f>
        <v>199720</v>
      </c>
      <c r="Q11" s="67">
        <f>'GENEL HASILAT'!AD7-P11</f>
        <v>0</v>
      </c>
      <c r="R11" s="422"/>
    </row>
    <row r="12" spans="1:18" ht="12.75" customHeight="1" thickTop="1" thickBot="1" x14ac:dyDescent="0.25">
      <c r="A12" s="419">
        <f>'GENEL HASILAT'!A8</f>
        <v>45567</v>
      </c>
      <c r="B12" s="121">
        <f>$B$8</f>
        <v>60</v>
      </c>
      <c r="C12" s="122">
        <f>$C$8</f>
        <v>85</v>
      </c>
      <c r="D12" s="122">
        <f>$D$8</f>
        <v>125</v>
      </c>
      <c r="E12" s="122">
        <f>$E$8</f>
        <v>140</v>
      </c>
      <c r="F12" s="122">
        <f>$F$8</f>
        <v>200</v>
      </c>
      <c r="G12" s="101">
        <f>G14/G13</f>
        <v>859.32432432432438</v>
      </c>
      <c r="H12" s="30"/>
      <c r="I12" s="31">
        <f>$I$8</f>
        <v>70</v>
      </c>
      <c r="J12" s="32">
        <f>$J$8</f>
        <v>110</v>
      </c>
      <c r="K12" s="32">
        <f>$K$8</f>
        <v>135</v>
      </c>
      <c r="L12" s="32">
        <f>$L$8</f>
        <v>180</v>
      </c>
      <c r="M12" s="32">
        <f>$M$8</f>
        <v>245</v>
      </c>
      <c r="N12" s="33" t="e">
        <f t="shared" ref="N12" si="0">N14/N13</f>
        <v>#DIV/0!</v>
      </c>
      <c r="P12" s="43"/>
    </row>
    <row r="13" spans="1:18" ht="12.75" customHeight="1" thickTop="1" thickBot="1" x14ac:dyDescent="0.25">
      <c r="A13" s="420"/>
      <c r="B13" s="123">
        <v>264</v>
      </c>
      <c r="C13" s="97">
        <v>238</v>
      </c>
      <c r="D13" s="97">
        <v>16</v>
      </c>
      <c r="E13" s="97">
        <v>14</v>
      </c>
      <c r="F13" s="97">
        <v>14</v>
      </c>
      <c r="G13" s="98">
        <v>111</v>
      </c>
      <c r="H13" s="34"/>
      <c r="I13" s="99">
        <v>70</v>
      </c>
      <c r="J13" s="97">
        <v>70</v>
      </c>
      <c r="K13" s="97">
        <v>7</v>
      </c>
      <c r="L13" s="97">
        <v>1</v>
      </c>
      <c r="M13" s="97">
        <v>0</v>
      </c>
      <c r="N13" s="98">
        <v>0</v>
      </c>
      <c r="O13" s="35" t="s">
        <v>67</v>
      </c>
      <c r="P13" s="36">
        <f>P14/120*100</f>
        <v>126616.66666666667</v>
      </c>
      <c r="R13" s="421"/>
    </row>
    <row r="14" spans="1:18" ht="12.75" customHeight="1" thickTop="1" thickBot="1" x14ac:dyDescent="0.25">
      <c r="A14" s="420"/>
      <c r="B14" s="124">
        <f>B13*B12</f>
        <v>15840</v>
      </c>
      <c r="C14" s="125">
        <f>C13*C12</f>
        <v>20230</v>
      </c>
      <c r="D14" s="125">
        <f>D13*D12</f>
        <v>2000</v>
      </c>
      <c r="E14" s="125">
        <f>E13*E12</f>
        <v>1960</v>
      </c>
      <c r="F14" s="125">
        <f>F13*F12</f>
        <v>2800</v>
      </c>
      <c r="G14" s="126">
        <v>95385</v>
      </c>
      <c r="H14" s="37"/>
      <c r="I14" s="38">
        <f t="shared" ref="I14:M14" si="1">I13*I12</f>
        <v>4900</v>
      </c>
      <c r="J14" s="39">
        <f t="shared" si="1"/>
        <v>7700</v>
      </c>
      <c r="K14" s="39">
        <f t="shared" si="1"/>
        <v>945</v>
      </c>
      <c r="L14" s="39">
        <f t="shared" si="1"/>
        <v>180</v>
      </c>
      <c r="M14" s="39">
        <f t="shared" si="1"/>
        <v>0</v>
      </c>
      <c r="N14" s="127">
        <v>0</v>
      </c>
      <c r="O14" s="40" t="s">
        <v>68</v>
      </c>
      <c r="P14" s="41">
        <f>SUM(B14:G14,I14:N14)</f>
        <v>151940</v>
      </c>
      <c r="Q14" s="42">
        <f>'GENEL HASILAT'!AD8-P14</f>
        <v>0</v>
      </c>
      <c r="R14" s="422"/>
    </row>
    <row r="15" spans="1:18" s="20" customFormat="1" ht="12.75" customHeight="1" thickTop="1" thickBot="1" x14ac:dyDescent="0.25">
      <c r="A15" s="419">
        <f>'GENEL HASILAT'!A9</f>
        <v>45568</v>
      </c>
      <c r="B15" s="121">
        <f>$B$8</f>
        <v>60</v>
      </c>
      <c r="C15" s="122">
        <f>$C$8</f>
        <v>85</v>
      </c>
      <c r="D15" s="122">
        <f>$D$8</f>
        <v>125</v>
      </c>
      <c r="E15" s="122">
        <f>$E$8</f>
        <v>140</v>
      </c>
      <c r="F15" s="122">
        <f>$F$8</f>
        <v>200</v>
      </c>
      <c r="G15" s="101">
        <f>G17/G16</f>
        <v>761.4</v>
      </c>
      <c r="H15" s="30"/>
      <c r="I15" s="31">
        <f>$I$8</f>
        <v>70</v>
      </c>
      <c r="J15" s="32">
        <f>$J$8</f>
        <v>110</v>
      </c>
      <c r="K15" s="32">
        <f>$K$8</f>
        <v>135</v>
      </c>
      <c r="L15" s="32">
        <f>$L$8</f>
        <v>180</v>
      </c>
      <c r="M15" s="32">
        <f>$M$8</f>
        <v>245</v>
      </c>
      <c r="N15" s="33">
        <f t="shared" ref="N15" si="2">N17/N16</f>
        <v>1160</v>
      </c>
      <c r="O15" s="18"/>
      <c r="P15" s="43"/>
      <c r="Q15" s="17"/>
      <c r="R15" s="18"/>
    </row>
    <row r="16" spans="1:18" s="20" customFormat="1" ht="12.75" customHeight="1" thickTop="1" thickBot="1" x14ac:dyDescent="0.25">
      <c r="A16" s="420"/>
      <c r="B16" s="123">
        <v>260</v>
      </c>
      <c r="C16" s="97">
        <v>225</v>
      </c>
      <c r="D16" s="97">
        <v>19</v>
      </c>
      <c r="E16" s="97">
        <v>11</v>
      </c>
      <c r="F16" s="97">
        <v>7</v>
      </c>
      <c r="G16" s="98">
        <v>150</v>
      </c>
      <c r="H16" s="34"/>
      <c r="I16" s="99">
        <v>81</v>
      </c>
      <c r="J16" s="97">
        <v>77</v>
      </c>
      <c r="K16" s="97">
        <v>10</v>
      </c>
      <c r="L16" s="97">
        <v>0</v>
      </c>
      <c r="M16" s="97">
        <v>0</v>
      </c>
      <c r="N16" s="98">
        <v>1</v>
      </c>
      <c r="O16" s="35" t="s">
        <v>67</v>
      </c>
      <c r="P16" s="36">
        <f>P17/120*100</f>
        <v>142416.66666666669</v>
      </c>
      <c r="Q16" s="17"/>
      <c r="R16" s="421"/>
    </row>
    <row r="17" spans="1:18" s="20" customFormat="1" ht="12.75" customHeight="1" thickTop="1" thickBot="1" x14ac:dyDescent="0.25">
      <c r="A17" s="420"/>
      <c r="B17" s="124">
        <f>B16*B15</f>
        <v>15600</v>
      </c>
      <c r="C17" s="125">
        <f>C16*C15</f>
        <v>19125</v>
      </c>
      <c r="D17" s="125">
        <f>D16*D15</f>
        <v>2375</v>
      </c>
      <c r="E17" s="125">
        <f>E16*E15</f>
        <v>1540</v>
      </c>
      <c r="F17" s="125">
        <f>F16*F15</f>
        <v>1400</v>
      </c>
      <c r="G17" s="126">
        <v>114210</v>
      </c>
      <c r="H17" s="37"/>
      <c r="I17" s="38">
        <f t="shared" ref="I17:M17" si="3">I16*I15</f>
        <v>5670</v>
      </c>
      <c r="J17" s="39">
        <f t="shared" si="3"/>
        <v>8470</v>
      </c>
      <c r="K17" s="39">
        <f t="shared" si="3"/>
        <v>1350</v>
      </c>
      <c r="L17" s="39">
        <f t="shared" si="3"/>
        <v>0</v>
      </c>
      <c r="M17" s="39">
        <f t="shared" si="3"/>
        <v>0</v>
      </c>
      <c r="N17" s="127">
        <v>1160</v>
      </c>
      <c r="O17" s="40" t="s">
        <v>68</v>
      </c>
      <c r="P17" s="41">
        <f>SUM(B17:G17,I17:N17)</f>
        <v>170900</v>
      </c>
      <c r="Q17" s="42">
        <f>'GENEL HASILAT'!AD9-P17</f>
        <v>0</v>
      </c>
      <c r="R17" s="422"/>
    </row>
    <row r="18" spans="1:18" s="20" customFormat="1" ht="12.75" customHeight="1" thickTop="1" thickBot="1" x14ac:dyDescent="0.25">
      <c r="A18" s="419">
        <f>'GENEL HASILAT'!A10</f>
        <v>45569</v>
      </c>
      <c r="B18" s="121">
        <f>$B$8</f>
        <v>60</v>
      </c>
      <c r="C18" s="122">
        <f>$C$8</f>
        <v>85</v>
      </c>
      <c r="D18" s="122">
        <f>$D$8</f>
        <v>125</v>
      </c>
      <c r="E18" s="122">
        <f>$E$8</f>
        <v>140</v>
      </c>
      <c r="F18" s="122">
        <f>$F$8</f>
        <v>200</v>
      </c>
      <c r="G18" s="101">
        <f t="shared" ref="G18" si="4">G20/G19</f>
        <v>821.53846153846155</v>
      </c>
      <c r="H18" s="30"/>
      <c r="I18" s="31">
        <f>$I$8</f>
        <v>70</v>
      </c>
      <c r="J18" s="32">
        <f>$J$8</f>
        <v>110</v>
      </c>
      <c r="K18" s="32">
        <f>$K$8</f>
        <v>135</v>
      </c>
      <c r="L18" s="32">
        <f>$L$8</f>
        <v>180</v>
      </c>
      <c r="M18" s="32">
        <f>$M$8</f>
        <v>245</v>
      </c>
      <c r="N18" s="33" t="e">
        <f t="shared" ref="N18" si="5">N20/N19</f>
        <v>#DIV/0!</v>
      </c>
      <c r="O18" s="18"/>
      <c r="P18" s="43"/>
      <c r="Q18" s="17"/>
      <c r="R18" s="18"/>
    </row>
    <row r="19" spans="1:18" s="20" customFormat="1" ht="12.75" customHeight="1" thickTop="1" thickBot="1" x14ac:dyDescent="0.25">
      <c r="A19" s="420"/>
      <c r="B19" s="123">
        <v>181</v>
      </c>
      <c r="C19" s="97">
        <v>183</v>
      </c>
      <c r="D19" s="97">
        <v>23</v>
      </c>
      <c r="E19" s="97">
        <v>8</v>
      </c>
      <c r="F19" s="97">
        <v>14</v>
      </c>
      <c r="G19" s="98">
        <v>130</v>
      </c>
      <c r="H19" s="34"/>
      <c r="I19" s="99">
        <v>67</v>
      </c>
      <c r="J19" s="97">
        <v>82</v>
      </c>
      <c r="K19" s="97">
        <v>27</v>
      </c>
      <c r="L19" s="97">
        <v>1</v>
      </c>
      <c r="M19" s="97">
        <v>0</v>
      </c>
      <c r="N19" s="98">
        <v>0</v>
      </c>
      <c r="O19" s="35" t="s">
        <v>67</v>
      </c>
      <c r="P19" s="36">
        <f>P20/120*100</f>
        <v>131287.5</v>
      </c>
      <c r="Q19" s="17"/>
      <c r="R19" s="421" t="s">
        <v>184</v>
      </c>
    </row>
    <row r="20" spans="1:18" s="20" customFormat="1" ht="12.75" customHeight="1" thickTop="1" thickBot="1" x14ac:dyDescent="0.25">
      <c r="A20" s="420"/>
      <c r="B20" s="124">
        <f t="shared" ref="B20:F20" si="6">B19*B18</f>
        <v>10860</v>
      </c>
      <c r="C20" s="125">
        <f t="shared" si="6"/>
        <v>15555</v>
      </c>
      <c r="D20" s="125">
        <f t="shared" si="6"/>
        <v>2875</v>
      </c>
      <c r="E20" s="125">
        <f t="shared" si="6"/>
        <v>1120</v>
      </c>
      <c r="F20" s="125">
        <f t="shared" si="6"/>
        <v>2800</v>
      </c>
      <c r="G20" s="126">
        <f>285+650+1700+2800+1455+1575+7560+7200+5480+1450+3700+12000+3540+1850+13160+11000+1085+2250+2280+6000+2680+4200+4620+1600+1940+2140+2600</f>
        <v>106800</v>
      </c>
      <c r="H20" s="37"/>
      <c r="I20" s="38">
        <f t="shared" ref="I20:M20" si="7">I19*I18</f>
        <v>4690</v>
      </c>
      <c r="J20" s="39">
        <f t="shared" si="7"/>
        <v>9020</v>
      </c>
      <c r="K20" s="39">
        <f t="shared" si="7"/>
        <v>3645</v>
      </c>
      <c r="L20" s="39">
        <f t="shared" si="7"/>
        <v>180</v>
      </c>
      <c r="M20" s="39">
        <f t="shared" si="7"/>
        <v>0</v>
      </c>
      <c r="N20" s="127">
        <v>0</v>
      </c>
      <c r="O20" s="40" t="s">
        <v>68</v>
      </c>
      <c r="P20" s="41">
        <f>SUM(B20:G20,I20:N20)</f>
        <v>157545</v>
      </c>
      <c r="Q20" s="42">
        <f>'GENEL HASILAT'!AD10-P20</f>
        <v>800</v>
      </c>
      <c r="R20" s="422"/>
    </row>
    <row r="21" spans="1:18" s="20" customFormat="1" ht="12.75" customHeight="1" thickTop="1" thickBot="1" x14ac:dyDescent="0.25">
      <c r="A21" s="419">
        <f>'GENEL HASILAT'!A11</f>
        <v>45570</v>
      </c>
      <c r="B21" s="121">
        <f>$B$8</f>
        <v>60</v>
      </c>
      <c r="C21" s="122">
        <f>$C$8</f>
        <v>85</v>
      </c>
      <c r="D21" s="122">
        <f>$D$8</f>
        <v>125</v>
      </c>
      <c r="E21" s="122">
        <f>$E$8</f>
        <v>140</v>
      </c>
      <c r="F21" s="122">
        <f>$F$8</f>
        <v>200</v>
      </c>
      <c r="G21" s="101">
        <f t="shared" ref="G21" si="8">G23/G22</f>
        <v>974.35897435897436</v>
      </c>
      <c r="H21" s="30"/>
      <c r="I21" s="31">
        <f>$I$8</f>
        <v>70</v>
      </c>
      <c r="J21" s="32">
        <f>$J$8</f>
        <v>110</v>
      </c>
      <c r="K21" s="32">
        <f>$K$8</f>
        <v>135</v>
      </c>
      <c r="L21" s="32">
        <f>$L$8</f>
        <v>180</v>
      </c>
      <c r="M21" s="32">
        <f>$M$8</f>
        <v>245</v>
      </c>
      <c r="N21" s="33">
        <f t="shared" ref="N21" si="9">N23/N22</f>
        <v>1641.6666666666667</v>
      </c>
      <c r="O21" s="18"/>
      <c r="P21" s="43"/>
      <c r="Q21" s="17"/>
      <c r="R21" s="18"/>
    </row>
    <row r="22" spans="1:18" s="20" customFormat="1" ht="12.75" customHeight="1" thickTop="1" thickBot="1" x14ac:dyDescent="0.25">
      <c r="A22" s="420"/>
      <c r="B22" s="123">
        <v>263</v>
      </c>
      <c r="C22" s="97">
        <v>214</v>
      </c>
      <c r="D22" s="97">
        <v>19</v>
      </c>
      <c r="E22" s="97">
        <v>21</v>
      </c>
      <c r="F22" s="97">
        <v>9</v>
      </c>
      <c r="G22" s="98">
        <v>156</v>
      </c>
      <c r="H22" s="34"/>
      <c r="I22" s="99">
        <v>122</v>
      </c>
      <c r="J22" s="97">
        <v>94</v>
      </c>
      <c r="K22" s="97">
        <v>25</v>
      </c>
      <c r="L22" s="97">
        <v>3</v>
      </c>
      <c r="M22" s="97">
        <v>0</v>
      </c>
      <c r="N22" s="98">
        <v>3</v>
      </c>
      <c r="O22" s="35" t="s">
        <v>67</v>
      </c>
      <c r="P22" s="36">
        <f>P23/120*100</f>
        <v>184004.16666666669</v>
      </c>
      <c r="Q22" s="17"/>
      <c r="R22" s="421"/>
    </row>
    <row r="23" spans="1:18" s="20" customFormat="1" ht="12.75" customHeight="1" thickTop="1" thickBot="1" x14ac:dyDescent="0.25">
      <c r="A23" s="420"/>
      <c r="B23" s="124">
        <f t="shared" ref="B23:F23" si="10">B22*B21</f>
        <v>15780</v>
      </c>
      <c r="C23" s="125">
        <f t="shared" si="10"/>
        <v>18190</v>
      </c>
      <c r="D23" s="125">
        <f t="shared" si="10"/>
        <v>2375</v>
      </c>
      <c r="E23" s="125">
        <f t="shared" si="10"/>
        <v>2940</v>
      </c>
      <c r="F23" s="125">
        <f t="shared" si="10"/>
        <v>1800</v>
      </c>
      <c r="G23" s="126">
        <v>152000</v>
      </c>
      <c r="H23" s="37"/>
      <c r="I23" s="38">
        <f t="shared" ref="I23:M23" si="11">I22*I21</f>
        <v>8540</v>
      </c>
      <c r="J23" s="39">
        <f t="shared" si="11"/>
        <v>10340</v>
      </c>
      <c r="K23" s="39">
        <f t="shared" si="11"/>
        <v>3375</v>
      </c>
      <c r="L23" s="39">
        <f t="shared" si="11"/>
        <v>540</v>
      </c>
      <c r="M23" s="39">
        <f t="shared" si="11"/>
        <v>0</v>
      </c>
      <c r="N23" s="127">
        <f>1360+1715+1850</f>
        <v>4925</v>
      </c>
      <c r="O23" s="40" t="s">
        <v>68</v>
      </c>
      <c r="P23" s="41">
        <f>SUM(B23:G23,I23:N23)</f>
        <v>220805</v>
      </c>
      <c r="Q23" s="42">
        <f>'GENEL HASILAT'!AD11-P23</f>
        <v>0</v>
      </c>
      <c r="R23" s="422"/>
    </row>
    <row r="24" spans="1:18" s="20" customFormat="1" ht="12.75" customHeight="1" thickTop="1" thickBot="1" x14ac:dyDescent="0.25">
      <c r="A24" s="419">
        <f>'GENEL HASILAT'!A12</f>
        <v>45571</v>
      </c>
      <c r="B24" s="121">
        <f>$B$8</f>
        <v>60</v>
      </c>
      <c r="C24" s="122">
        <f>$C$8</f>
        <v>85</v>
      </c>
      <c r="D24" s="122">
        <f>$D$8</f>
        <v>125</v>
      </c>
      <c r="E24" s="122">
        <f>$E$8</f>
        <v>140</v>
      </c>
      <c r="F24" s="122">
        <f>$F$8</f>
        <v>200</v>
      </c>
      <c r="G24" s="101">
        <f t="shared" ref="G24" si="12">G26/G25</f>
        <v>739.9751243781094</v>
      </c>
      <c r="H24" s="30"/>
      <c r="I24" s="31">
        <f>$I$8</f>
        <v>70</v>
      </c>
      <c r="J24" s="32">
        <f>$J$8</f>
        <v>110</v>
      </c>
      <c r="K24" s="32">
        <f>$K$8</f>
        <v>135</v>
      </c>
      <c r="L24" s="32">
        <f>$L$8</f>
        <v>180</v>
      </c>
      <c r="M24" s="32">
        <f>$M$8</f>
        <v>245</v>
      </c>
      <c r="N24" s="33" t="e">
        <f t="shared" ref="N24" si="13">N26/N25</f>
        <v>#DIV/0!</v>
      </c>
      <c r="O24" s="18"/>
      <c r="P24" s="43"/>
      <c r="Q24" s="17"/>
      <c r="R24" s="18"/>
    </row>
    <row r="25" spans="1:18" s="20" customFormat="1" ht="12.75" customHeight="1" thickTop="1" thickBot="1" x14ac:dyDescent="0.25">
      <c r="A25" s="420"/>
      <c r="B25" s="123">
        <v>259</v>
      </c>
      <c r="C25" s="97">
        <v>232</v>
      </c>
      <c r="D25" s="97">
        <v>17</v>
      </c>
      <c r="E25" s="97">
        <v>15</v>
      </c>
      <c r="F25" s="97">
        <v>8</v>
      </c>
      <c r="G25" s="98">
        <f>35+28+26+48+13+47+18+18+24+28+22+95</f>
        <v>402</v>
      </c>
      <c r="H25" s="100"/>
      <c r="I25" s="99">
        <v>121</v>
      </c>
      <c r="J25" s="97">
        <v>77</v>
      </c>
      <c r="K25" s="97">
        <v>7</v>
      </c>
      <c r="L25" s="97">
        <v>2</v>
      </c>
      <c r="M25" s="97">
        <v>0</v>
      </c>
      <c r="N25" s="98">
        <v>0</v>
      </c>
      <c r="O25" s="35" t="s">
        <v>67</v>
      </c>
      <c r="P25" s="36">
        <f>P26/120*100</f>
        <v>297333.33333333337</v>
      </c>
      <c r="Q25" s="17"/>
      <c r="R25" s="421" t="s">
        <v>208</v>
      </c>
    </row>
    <row r="26" spans="1:18" s="20" customFormat="1" ht="12.75" customHeight="1" thickTop="1" thickBot="1" x14ac:dyDescent="0.25">
      <c r="A26" s="420"/>
      <c r="B26" s="124">
        <f t="shared" ref="B26:F26" si="14">B25*B24</f>
        <v>15540</v>
      </c>
      <c r="C26" s="125">
        <f t="shared" si="14"/>
        <v>19720</v>
      </c>
      <c r="D26" s="125">
        <f t="shared" si="14"/>
        <v>2125</v>
      </c>
      <c r="E26" s="125">
        <f t="shared" si="14"/>
        <v>2100</v>
      </c>
      <c r="F26" s="125">
        <f t="shared" si="14"/>
        <v>1600</v>
      </c>
      <c r="G26" s="126">
        <f>2600+2140+1940+1740+1685+14400+33880+8400+4020+1260+13200+5700+2170+24000+16920+8325+7965+860+33600+32560+1450+7535+1980+27000+14040+6825+7275+460+11600+680+975+285</f>
        <v>297470</v>
      </c>
      <c r="H26" s="37"/>
      <c r="I26" s="38">
        <f t="shared" ref="I26:M26" si="15">I25*I24</f>
        <v>8470</v>
      </c>
      <c r="J26" s="39">
        <f t="shared" si="15"/>
        <v>8470</v>
      </c>
      <c r="K26" s="39">
        <f t="shared" si="15"/>
        <v>945</v>
      </c>
      <c r="L26" s="39">
        <f t="shared" si="15"/>
        <v>360</v>
      </c>
      <c r="M26" s="39">
        <f t="shared" si="15"/>
        <v>0</v>
      </c>
      <c r="N26" s="127">
        <v>0</v>
      </c>
      <c r="O26" s="40" t="s">
        <v>68</v>
      </c>
      <c r="P26" s="44">
        <f>SUM(B26:G26,I26:N26)</f>
        <v>356800</v>
      </c>
      <c r="Q26" s="42">
        <f>'GENEL HASILAT'!AD12-P26</f>
        <v>4600</v>
      </c>
      <c r="R26" s="422"/>
    </row>
    <row r="27" spans="1:18" s="20" customFormat="1" ht="12.75" customHeight="1" thickTop="1" thickBot="1" x14ac:dyDescent="0.25">
      <c r="A27" s="419">
        <f>'GENEL HASILAT'!A13</f>
        <v>45572</v>
      </c>
      <c r="B27" s="121">
        <f>$B$8</f>
        <v>60</v>
      </c>
      <c r="C27" s="122">
        <f>$C$8</f>
        <v>85</v>
      </c>
      <c r="D27" s="122">
        <f>$D$8</f>
        <v>125</v>
      </c>
      <c r="E27" s="122">
        <f>$E$8</f>
        <v>140</v>
      </c>
      <c r="F27" s="122">
        <f>$F$8</f>
        <v>200</v>
      </c>
      <c r="G27" s="101">
        <f t="shared" ref="G27" si="16">G29/G28</f>
        <v>768.54779411764707</v>
      </c>
      <c r="H27" s="30"/>
      <c r="I27" s="31">
        <f>$I$8</f>
        <v>70</v>
      </c>
      <c r="J27" s="32">
        <f>$J$8</f>
        <v>110</v>
      </c>
      <c r="K27" s="32">
        <f>$K$8</f>
        <v>135</v>
      </c>
      <c r="L27" s="32">
        <f>$L$8</f>
        <v>180</v>
      </c>
      <c r="M27" s="32">
        <f>$M$8</f>
        <v>245</v>
      </c>
      <c r="N27" s="33">
        <f t="shared" ref="N27" si="17">N29/N28</f>
        <v>490</v>
      </c>
      <c r="O27" s="18"/>
      <c r="P27" s="43"/>
      <c r="Q27" s="17"/>
      <c r="R27" s="18"/>
    </row>
    <row r="28" spans="1:18" s="20" customFormat="1" ht="12.75" customHeight="1" thickTop="1" thickBot="1" x14ac:dyDescent="0.25">
      <c r="A28" s="420"/>
      <c r="B28" s="123">
        <v>215</v>
      </c>
      <c r="C28" s="97">
        <v>167</v>
      </c>
      <c r="D28" s="97">
        <v>19</v>
      </c>
      <c r="E28" s="97">
        <v>19</v>
      </c>
      <c r="F28" s="97">
        <v>12</v>
      </c>
      <c r="G28" s="98">
        <v>272</v>
      </c>
      <c r="H28" s="100"/>
      <c r="I28" s="99">
        <v>90</v>
      </c>
      <c r="J28" s="97">
        <v>82</v>
      </c>
      <c r="K28" s="97">
        <v>14</v>
      </c>
      <c r="L28" s="97">
        <v>3</v>
      </c>
      <c r="M28" s="97">
        <v>1</v>
      </c>
      <c r="N28" s="98">
        <v>1</v>
      </c>
      <c r="O28" s="35" t="s">
        <v>67</v>
      </c>
      <c r="P28" s="36">
        <f>P29/120*100</f>
        <v>218383.33333333334</v>
      </c>
      <c r="Q28" s="17"/>
      <c r="R28" s="421" t="s">
        <v>216</v>
      </c>
    </row>
    <row r="29" spans="1:18" s="20" customFormat="1" ht="12.75" customHeight="1" thickTop="1" thickBot="1" x14ac:dyDescent="0.25">
      <c r="A29" s="420"/>
      <c r="B29" s="124">
        <f t="shared" ref="B29:F29" si="18">B28*B27</f>
        <v>12900</v>
      </c>
      <c r="C29" s="125">
        <f t="shared" si="18"/>
        <v>14195</v>
      </c>
      <c r="D29" s="125">
        <f t="shared" si="18"/>
        <v>2375</v>
      </c>
      <c r="E29" s="125">
        <f t="shared" si="18"/>
        <v>2660</v>
      </c>
      <c r="F29" s="125">
        <f t="shared" si="18"/>
        <v>2400</v>
      </c>
      <c r="G29" s="126">
        <f>325+1020+6000+1940+2625+11880+31200+1320+4795+10875+34040+29600+3540+925+7520+20000+7875+6840+4800+1285+4020+1485+3050+1540+1600+1740+2125+2140+2940</f>
        <v>209045</v>
      </c>
      <c r="H29" s="37"/>
      <c r="I29" s="38">
        <f t="shared" ref="I29:M29" si="19">I28*I27</f>
        <v>6300</v>
      </c>
      <c r="J29" s="39">
        <f t="shared" si="19"/>
        <v>9020</v>
      </c>
      <c r="K29" s="39">
        <f t="shared" si="19"/>
        <v>1890</v>
      </c>
      <c r="L29" s="39">
        <f t="shared" si="19"/>
        <v>540</v>
      </c>
      <c r="M29" s="39">
        <f t="shared" si="19"/>
        <v>245</v>
      </c>
      <c r="N29" s="127">
        <v>490</v>
      </c>
      <c r="O29" s="40" t="s">
        <v>68</v>
      </c>
      <c r="P29" s="44">
        <f>SUM(B29:G29,I29:N29)</f>
        <v>262060</v>
      </c>
      <c r="Q29" s="42">
        <f>'GENEL HASILAT'!AD13-P29</f>
        <v>600</v>
      </c>
      <c r="R29" s="422"/>
    </row>
    <row r="30" spans="1:18" s="20" customFormat="1" ht="12.75" customHeight="1" thickTop="1" thickBot="1" x14ac:dyDescent="0.25">
      <c r="A30" s="419">
        <f>'GENEL HASILAT'!A14</f>
        <v>45573</v>
      </c>
      <c r="B30" s="121">
        <f>$B$8</f>
        <v>60</v>
      </c>
      <c r="C30" s="122">
        <f>$C$8</f>
        <v>85</v>
      </c>
      <c r="D30" s="122">
        <f>$D$8</f>
        <v>125</v>
      </c>
      <c r="E30" s="122">
        <f>$E$8</f>
        <v>140</v>
      </c>
      <c r="F30" s="122">
        <f>$F$8</f>
        <v>200</v>
      </c>
      <c r="G30" s="101">
        <f t="shared" ref="G30" si="20">G32/G31</f>
        <v>855.398773006135</v>
      </c>
      <c r="H30" s="30"/>
      <c r="I30" s="31">
        <f>$I$8</f>
        <v>70</v>
      </c>
      <c r="J30" s="32">
        <f>$J$8</f>
        <v>110</v>
      </c>
      <c r="K30" s="32">
        <f>$K$8</f>
        <v>135</v>
      </c>
      <c r="L30" s="32">
        <f>$L$8</f>
        <v>180</v>
      </c>
      <c r="M30" s="32">
        <f>$M$8</f>
        <v>245</v>
      </c>
      <c r="N30" s="33" t="e">
        <f t="shared" ref="N30" si="21">N32/N31</f>
        <v>#DIV/0!</v>
      </c>
      <c r="O30" s="18"/>
      <c r="P30" s="43"/>
      <c r="Q30" s="17"/>
      <c r="R30" s="18"/>
    </row>
    <row r="31" spans="1:18" s="20" customFormat="1" ht="12.75" customHeight="1" thickTop="1" thickBot="1" x14ac:dyDescent="0.25">
      <c r="A31" s="420"/>
      <c r="B31" s="123">
        <v>192</v>
      </c>
      <c r="C31" s="97">
        <v>217</v>
      </c>
      <c r="D31" s="97">
        <v>16</v>
      </c>
      <c r="E31" s="97">
        <v>12</v>
      </c>
      <c r="F31" s="97">
        <v>12</v>
      </c>
      <c r="G31" s="98">
        <v>163</v>
      </c>
      <c r="H31" s="100"/>
      <c r="I31" s="99">
        <v>84</v>
      </c>
      <c r="J31" s="97">
        <v>98</v>
      </c>
      <c r="K31" s="97">
        <v>17</v>
      </c>
      <c r="L31" s="97">
        <v>3</v>
      </c>
      <c r="M31" s="97">
        <v>0</v>
      </c>
      <c r="N31" s="98">
        <v>0</v>
      </c>
      <c r="O31" s="35" t="s">
        <v>67</v>
      </c>
      <c r="P31" s="36">
        <f>P32/120*100</f>
        <v>162475</v>
      </c>
      <c r="Q31" s="17"/>
      <c r="R31" s="421"/>
    </row>
    <row r="32" spans="1:18" s="20" customFormat="1" ht="12.75" customHeight="1" thickTop="1" thickBot="1" x14ac:dyDescent="0.25">
      <c r="A32" s="420"/>
      <c r="B32" s="124">
        <f t="shared" ref="B32:F32" si="22">B31*B30</f>
        <v>11520</v>
      </c>
      <c r="C32" s="125">
        <f t="shared" si="22"/>
        <v>18445</v>
      </c>
      <c r="D32" s="125">
        <f t="shared" si="22"/>
        <v>2000</v>
      </c>
      <c r="E32" s="125">
        <f t="shared" si="22"/>
        <v>1680</v>
      </c>
      <c r="F32" s="125">
        <f t="shared" si="22"/>
        <v>2400</v>
      </c>
      <c r="G32" s="126">
        <v>139430</v>
      </c>
      <c r="H32" s="37"/>
      <c r="I32" s="38">
        <f t="shared" ref="I32:M32" si="23">I31*I30</f>
        <v>5880</v>
      </c>
      <c r="J32" s="39">
        <f t="shared" si="23"/>
        <v>10780</v>
      </c>
      <c r="K32" s="39">
        <f t="shared" si="23"/>
        <v>2295</v>
      </c>
      <c r="L32" s="39">
        <f t="shared" si="23"/>
        <v>540</v>
      </c>
      <c r="M32" s="39">
        <f t="shared" si="23"/>
        <v>0</v>
      </c>
      <c r="N32" s="127">
        <v>0</v>
      </c>
      <c r="O32" s="40" t="s">
        <v>68</v>
      </c>
      <c r="P32" s="44">
        <f>SUM(B32:G32,I32:N32)</f>
        <v>194970</v>
      </c>
      <c r="Q32" s="42">
        <f>'GENEL HASILAT'!AD14-P32</f>
        <v>0</v>
      </c>
      <c r="R32" s="422"/>
    </row>
    <row r="33" spans="1:18" s="20" customFormat="1" ht="12.75" customHeight="1" thickTop="1" thickBot="1" x14ac:dyDescent="0.25">
      <c r="A33" s="419">
        <f>'GENEL HASILAT'!A15</f>
        <v>45574</v>
      </c>
      <c r="B33" s="121">
        <f>$B$8</f>
        <v>60</v>
      </c>
      <c r="C33" s="122">
        <f>$C$8</f>
        <v>85</v>
      </c>
      <c r="D33" s="122">
        <f>$D$8</f>
        <v>125</v>
      </c>
      <c r="E33" s="122">
        <f>$E$8</f>
        <v>140</v>
      </c>
      <c r="F33" s="122">
        <f>$F$8</f>
        <v>200</v>
      </c>
      <c r="G33" s="101">
        <f t="shared" ref="G33" si="24">G35/G34</f>
        <v>767.93333333333328</v>
      </c>
      <c r="H33" s="30"/>
      <c r="I33" s="31">
        <f>$I$8</f>
        <v>70</v>
      </c>
      <c r="J33" s="32">
        <f>$J$8</f>
        <v>110</v>
      </c>
      <c r="K33" s="32">
        <f>$K$8</f>
        <v>135</v>
      </c>
      <c r="L33" s="32">
        <f>$L$8</f>
        <v>180</v>
      </c>
      <c r="M33" s="32">
        <f>$M$8</f>
        <v>245</v>
      </c>
      <c r="N33" s="33" t="e">
        <f t="shared" ref="N33" si="25">N35/N34</f>
        <v>#DIV/0!</v>
      </c>
      <c r="O33" s="18"/>
      <c r="P33" s="43"/>
      <c r="Q33" s="17"/>
      <c r="R33" s="18"/>
    </row>
    <row r="34" spans="1:18" s="20" customFormat="1" ht="12.75" customHeight="1" thickTop="1" thickBot="1" x14ac:dyDescent="0.25">
      <c r="A34" s="420"/>
      <c r="B34" s="123">
        <v>204</v>
      </c>
      <c r="C34" s="97">
        <v>208</v>
      </c>
      <c r="D34" s="97">
        <v>14</v>
      </c>
      <c r="E34" s="97">
        <v>17</v>
      </c>
      <c r="F34" s="97">
        <v>10</v>
      </c>
      <c r="G34" s="98">
        <v>150</v>
      </c>
      <c r="H34" s="100"/>
      <c r="I34" s="99">
        <v>73</v>
      </c>
      <c r="J34" s="97">
        <v>81</v>
      </c>
      <c r="K34" s="97">
        <v>6</v>
      </c>
      <c r="L34" s="97">
        <v>4</v>
      </c>
      <c r="M34" s="97">
        <v>1</v>
      </c>
      <c r="N34" s="98">
        <v>0</v>
      </c>
      <c r="O34" s="35" t="s">
        <v>67</v>
      </c>
      <c r="P34" s="36">
        <f>P35/120*100</f>
        <v>139195.83333333331</v>
      </c>
      <c r="Q34" s="17"/>
      <c r="R34" s="421" t="s">
        <v>227</v>
      </c>
    </row>
    <row r="35" spans="1:18" s="20" customFormat="1" ht="12.75" customHeight="1" thickTop="1" thickBot="1" x14ac:dyDescent="0.25">
      <c r="A35" s="420"/>
      <c r="B35" s="124">
        <f t="shared" ref="B35:F35" si="26">B34*B33</f>
        <v>12240</v>
      </c>
      <c r="C35" s="125">
        <f t="shared" si="26"/>
        <v>17680</v>
      </c>
      <c r="D35" s="125">
        <f t="shared" si="26"/>
        <v>1750</v>
      </c>
      <c r="E35" s="125">
        <f t="shared" si="26"/>
        <v>2380</v>
      </c>
      <c r="F35" s="125">
        <f t="shared" si="26"/>
        <v>2000</v>
      </c>
      <c r="G35" s="126">
        <v>115190</v>
      </c>
      <c r="H35" s="37"/>
      <c r="I35" s="38">
        <f t="shared" ref="I35:M35" si="27">I34*I33</f>
        <v>5110</v>
      </c>
      <c r="J35" s="39">
        <f t="shared" si="27"/>
        <v>8910</v>
      </c>
      <c r="K35" s="39">
        <f t="shared" si="27"/>
        <v>810</v>
      </c>
      <c r="L35" s="39">
        <f t="shared" si="27"/>
        <v>720</v>
      </c>
      <c r="M35" s="39">
        <f t="shared" si="27"/>
        <v>245</v>
      </c>
      <c r="N35" s="127">
        <v>0</v>
      </c>
      <c r="O35" s="40" t="s">
        <v>68</v>
      </c>
      <c r="P35" s="44">
        <f>SUM(B35:G35,I35:N35)</f>
        <v>167035</v>
      </c>
      <c r="Q35" s="42">
        <f>'GENEL HASILAT'!AD15-P35</f>
        <v>14085</v>
      </c>
      <c r="R35" s="422"/>
    </row>
    <row r="36" spans="1:18" s="20" customFormat="1" ht="12.75" customHeight="1" thickTop="1" thickBot="1" x14ac:dyDescent="0.25">
      <c r="A36" s="419">
        <f>'GENEL HASILAT'!A16</f>
        <v>45575</v>
      </c>
      <c r="B36" s="121">
        <f>$B$8</f>
        <v>60</v>
      </c>
      <c r="C36" s="122">
        <f>$C$8</f>
        <v>85</v>
      </c>
      <c r="D36" s="122">
        <f>$D$8</f>
        <v>125</v>
      </c>
      <c r="E36" s="122">
        <f>$E$8</f>
        <v>140</v>
      </c>
      <c r="F36" s="122">
        <f>$F$8</f>
        <v>200</v>
      </c>
      <c r="G36" s="101">
        <f t="shared" ref="G36" si="28">G38/G37</f>
        <v>741.31443298969077</v>
      </c>
      <c r="H36" s="30"/>
      <c r="I36" s="31">
        <f>$I$8</f>
        <v>70</v>
      </c>
      <c r="J36" s="32">
        <f>$J$8</f>
        <v>110</v>
      </c>
      <c r="K36" s="32">
        <f>$K$8</f>
        <v>135</v>
      </c>
      <c r="L36" s="32">
        <f>$L$8</f>
        <v>180</v>
      </c>
      <c r="M36" s="32">
        <f>$M$8</f>
        <v>245</v>
      </c>
      <c r="N36" s="33">
        <f t="shared" ref="N36" si="29">N38/N37</f>
        <v>1160</v>
      </c>
      <c r="O36" s="18"/>
      <c r="P36" s="43"/>
      <c r="Q36" s="17"/>
      <c r="R36" s="18"/>
    </row>
    <row r="37" spans="1:18" s="20" customFormat="1" ht="12.75" customHeight="1" thickTop="1" thickBot="1" x14ac:dyDescent="0.25">
      <c r="A37" s="420"/>
      <c r="B37" s="123">
        <v>243</v>
      </c>
      <c r="C37" s="97">
        <v>205</v>
      </c>
      <c r="D37" s="97">
        <v>9</v>
      </c>
      <c r="E37" s="97">
        <v>10</v>
      </c>
      <c r="F37" s="97">
        <v>13</v>
      </c>
      <c r="G37" s="98">
        <v>194</v>
      </c>
      <c r="H37" s="100"/>
      <c r="I37" s="99">
        <v>75</v>
      </c>
      <c r="J37" s="97">
        <v>76</v>
      </c>
      <c r="K37" s="97">
        <v>5</v>
      </c>
      <c r="L37" s="97">
        <v>1</v>
      </c>
      <c r="M37" s="97">
        <v>0</v>
      </c>
      <c r="N37" s="98">
        <v>1</v>
      </c>
      <c r="O37" s="35" t="s">
        <v>67</v>
      </c>
      <c r="P37" s="36">
        <f>P38/120*100</f>
        <v>163808.33333333331</v>
      </c>
      <c r="Q37" s="17"/>
      <c r="R37" s="421"/>
    </row>
    <row r="38" spans="1:18" s="20" customFormat="1" ht="12.75" customHeight="1" thickTop="1" thickBot="1" x14ac:dyDescent="0.25">
      <c r="A38" s="420"/>
      <c r="B38" s="124">
        <f t="shared" ref="B38:F38" si="30">B37*B36</f>
        <v>14580</v>
      </c>
      <c r="C38" s="125">
        <f t="shared" si="30"/>
        <v>17425</v>
      </c>
      <c r="D38" s="125">
        <f t="shared" si="30"/>
        <v>1125</v>
      </c>
      <c r="E38" s="125">
        <f t="shared" si="30"/>
        <v>1400</v>
      </c>
      <c r="F38" s="125">
        <f t="shared" si="30"/>
        <v>2600</v>
      </c>
      <c r="G38" s="126">
        <v>143815</v>
      </c>
      <c r="H38" s="37"/>
      <c r="I38" s="38">
        <f t="shared" ref="I38:M38" si="31">I37*I36</f>
        <v>5250</v>
      </c>
      <c r="J38" s="39">
        <f t="shared" si="31"/>
        <v>8360</v>
      </c>
      <c r="K38" s="39">
        <f t="shared" si="31"/>
        <v>675</v>
      </c>
      <c r="L38" s="39">
        <f t="shared" si="31"/>
        <v>180</v>
      </c>
      <c r="M38" s="39">
        <f t="shared" si="31"/>
        <v>0</v>
      </c>
      <c r="N38" s="127">
        <v>1160</v>
      </c>
      <c r="O38" s="40" t="s">
        <v>68</v>
      </c>
      <c r="P38" s="44">
        <f>SUM(B38:G38,I38:N38)</f>
        <v>196570</v>
      </c>
      <c r="Q38" s="42">
        <f>'GENEL HASILAT'!AD16-P38</f>
        <v>0</v>
      </c>
      <c r="R38" s="422"/>
    </row>
    <row r="39" spans="1:18" s="20" customFormat="1" ht="12.75" customHeight="1" thickTop="1" thickBot="1" x14ac:dyDescent="0.25">
      <c r="A39" s="419">
        <f>'GENEL HASILAT'!A17</f>
        <v>45576</v>
      </c>
      <c r="B39" s="121">
        <f>$B$8</f>
        <v>60</v>
      </c>
      <c r="C39" s="122">
        <f>$C$8</f>
        <v>85</v>
      </c>
      <c r="D39" s="122">
        <f>$D$8</f>
        <v>125</v>
      </c>
      <c r="E39" s="122">
        <f>$E$8</f>
        <v>140</v>
      </c>
      <c r="F39" s="122">
        <f>$F$8</f>
        <v>200</v>
      </c>
      <c r="G39" s="101">
        <f t="shared" ref="G39" si="32">G41/G40</f>
        <v>891.7127071823204</v>
      </c>
      <c r="H39" s="30"/>
      <c r="I39" s="31">
        <f>$I$8</f>
        <v>70</v>
      </c>
      <c r="J39" s="32">
        <f>$J$8</f>
        <v>110</v>
      </c>
      <c r="K39" s="32">
        <f>$K$8</f>
        <v>135</v>
      </c>
      <c r="L39" s="32">
        <f>$L$8</f>
        <v>180</v>
      </c>
      <c r="M39" s="32">
        <f>$M$8</f>
        <v>245</v>
      </c>
      <c r="N39" s="33" t="e">
        <f t="shared" ref="N39" si="33">N41/N40</f>
        <v>#DIV/0!</v>
      </c>
      <c r="O39" s="18"/>
      <c r="P39" s="43"/>
      <c r="Q39" s="17"/>
      <c r="R39" s="18"/>
    </row>
    <row r="40" spans="1:18" s="20" customFormat="1" ht="12.75" customHeight="1" thickTop="1" thickBot="1" x14ac:dyDescent="0.25">
      <c r="A40" s="420"/>
      <c r="B40" s="123">
        <v>181</v>
      </c>
      <c r="C40" s="97">
        <v>171</v>
      </c>
      <c r="D40" s="97">
        <v>13</v>
      </c>
      <c r="E40" s="97">
        <v>8</v>
      </c>
      <c r="F40" s="97">
        <v>9</v>
      </c>
      <c r="G40" s="98">
        <v>181</v>
      </c>
      <c r="H40" s="100"/>
      <c r="I40" s="99">
        <v>95</v>
      </c>
      <c r="J40" s="97">
        <v>79</v>
      </c>
      <c r="K40" s="97">
        <v>17</v>
      </c>
      <c r="L40" s="97">
        <v>1</v>
      </c>
      <c r="M40" s="97">
        <v>1</v>
      </c>
      <c r="N40" s="98">
        <v>0</v>
      </c>
      <c r="O40" s="35" t="s">
        <v>67</v>
      </c>
      <c r="P40" s="36">
        <f>P41/120*100</f>
        <v>174500</v>
      </c>
      <c r="Q40" s="17"/>
      <c r="R40" s="421" t="s">
        <v>246</v>
      </c>
    </row>
    <row r="41" spans="1:18" s="20" customFormat="1" ht="12.75" customHeight="1" thickTop="1" thickBot="1" x14ac:dyDescent="0.25">
      <c r="A41" s="420"/>
      <c r="B41" s="124">
        <f t="shared" ref="B41:F41" si="34">B40*B39</f>
        <v>10860</v>
      </c>
      <c r="C41" s="125">
        <f t="shared" si="34"/>
        <v>14535</v>
      </c>
      <c r="D41" s="125">
        <f t="shared" si="34"/>
        <v>1625</v>
      </c>
      <c r="E41" s="125">
        <f t="shared" si="34"/>
        <v>1120</v>
      </c>
      <c r="F41" s="125">
        <f t="shared" si="34"/>
        <v>1800</v>
      </c>
      <c r="G41" s="126">
        <v>161400</v>
      </c>
      <c r="H41" s="37"/>
      <c r="I41" s="38">
        <f t="shared" ref="I41:M41" si="35">I40*I39</f>
        <v>6650</v>
      </c>
      <c r="J41" s="39">
        <f t="shared" si="35"/>
        <v>8690</v>
      </c>
      <c r="K41" s="39">
        <f t="shared" si="35"/>
        <v>2295</v>
      </c>
      <c r="L41" s="39">
        <f t="shared" si="35"/>
        <v>180</v>
      </c>
      <c r="M41" s="39">
        <f t="shared" si="35"/>
        <v>245</v>
      </c>
      <c r="N41" s="127">
        <v>0</v>
      </c>
      <c r="O41" s="40" t="s">
        <v>68</v>
      </c>
      <c r="P41" s="44">
        <f>SUM(B41:G41,I41:N41)</f>
        <v>209400</v>
      </c>
      <c r="Q41" s="42">
        <f>'GENEL HASILAT'!AD17-P41</f>
        <v>8400</v>
      </c>
      <c r="R41" s="422"/>
    </row>
    <row r="42" spans="1:18" s="20" customFormat="1" ht="12.75" customHeight="1" thickTop="1" thickBot="1" x14ac:dyDescent="0.25">
      <c r="A42" s="419">
        <f>'GENEL HASILAT'!A18</f>
        <v>45577</v>
      </c>
      <c r="B42" s="121">
        <f>$B$8</f>
        <v>60</v>
      </c>
      <c r="C42" s="122">
        <f>$C$8</f>
        <v>85</v>
      </c>
      <c r="D42" s="122">
        <f>$D$8</f>
        <v>125</v>
      </c>
      <c r="E42" s="122">
        <f>$E$8</f>
        <v>140</v>
      </c>
      <c r="F42" s="122">
        <f>$F$8</f>
        <v>200</v>
      </c>
      <c r="G42" s="101">
        <f t="shared" ref="G42" si="36">G44/G43</f>
        <v>899.03726708074532</v>
      </c>
      <c r="H42" s="30"/>
      <c r="I42" s="31">
        <f>$I$8</f>
        <v>70</v>
      </c>
      <c r="J42" s="32">
        <f>$J$8</f>
        <v>110</v>
      </c>
      <c r="K42" s="32">
        <f>$K$8</f>
        <v>135</v>
      </c>
      <c r="L42" s="32">
        <f>$L$8</f>
        <v>180</v>
      </c>
      <c r="M42" s="32">
        <f>$M$8</f>
        <v>245</v>
      </c>
      <c r="N42" s="33">
        <f t="shared" ref="N42" si="37">N44/N43</f>
        <v>1115</v>
      </c>
      <c r="O42" s="18"/>
      <c r="P42" s="43"/>
      <c r="Q42" s="17"/>
      <c r="R42" s="18"/>
    </row>
    <row r="43" spans="1:18" s="20" customFormat="1" ht="12.75" customHeight="1" thickTop="1" thickBot="1" x14ac:dyDescent="0.25">
      <c r="A43" s="420"/>
      <c r="B43" s="123">
        <v>239</v>
      </c>
      <c r="C43" s="97">
        <v>212</v>
      </c>
      <c r="D43" s="97">
        <v>18</v>
      </c>
      <c r="E43" s="97">
        <v>16</v>
      </c>
      <c r="F43" s="97">
        <v>10</v>
      </c>
      <c r="G43" s="98">
        <f>8+9+3+13+23+9+22+16+19+9+10+5+11+2+2</f>
        <v>161</v>
      </c>
      <c r="H43" s="100"/>
      <c r="I43" s="99">
        <v>131</v>
      </c>
      <c r="J43" s="97">
        <v>96</v>
      </c>
      <c r="K43" s="97">
        <v>20</v>
      </c>
      <c r="L43" s="97">
        <v>0</v>
      </c>
      <c r="M43" s="97">
        <v>0</v>
      </c>
      <c r="N43" s="98">
        <v>1</v>
      </c>
      <c r="O43" s="35" t="s">
        <v>67</v>
      </c>
      <c r="P43" s="36">
        <f>P44/120*100</f>
        <v>172616.66666666669</v>
      </c>
      <c r="Q43" s="17"/>
      <c r="R43" s="421"/>
    </row>
    <row r="44" spans="1:18" s="20" customFormat="1" ht="12.75" customHeight="1" thickTop="1" thickBot="1" x14ac:dyDescent="0.25">
      <c r="A44" s="420"/>
      <c r="B44" s="124">
        <f t="shared" ref="B44:F44" si="38">B43*B42</f>
        <v>14340</v>
      </c>
      <c r="C44" s="125">
        <f t="shared" si="38"/>
        <v>18020</v>
      </c>
      <c r="D44" s="125">
        <f t="shared" si="38"/>
        <v>2250</v>
      </c>
      <c r="E44" s="125">
        <f t="shared" si="38"/>
        <v>2240</v>
      </c>
      <c r="F44" s="125">
        <f t="shared" si="38"/>
        <v>2000</v>
      </c>
      <c r="G44" s="126">
        <f>285+975+1360+3600+1455+525+6480+12000+2055+725+5920+15200+2655+3700+11280+17000+2170+2250+7980+6000+1285+5360+1460+2970+3050+10780+4800+1885+2940+3400+3200</f>
        <v>144745</v>
      </c>
      <c r="H44" s="37"/>
      <c r="I44" s="38">
        <f t="shared" ref="I44:M44" si="39">I43*I42</f>
        <v>9170</v>
      </c>
      <c r="J44" s="39">
        <f t="shared" si="39"/>
        <v>10560</v>
      </c>
      <c r="K44" s="39">
        <f t="shared" si="39"/>
        <v>2700</v>
      </c>
      <c r="L44" s="39">
        <f t="shared" si="39"/>
        <v>0</v>
      </c>
      <c r="M44" s="39">
        <f t="shared" si="39"/>
        <v>0</v>
      </c>
      <c r="N44" s="127">
        <v>1115</v>
      </c>
      <c r="O44" s="40" t="s">
        <v>68</v>
      </c>
      <c r="P44" s="44">
        <f>SUM(B44:G44,I44:N44)</f>
        <v>207140</v>
      </c>
      <c r="Q44" s="42">
        <f>'GENEL HASILAT'!AD18-P44</f>
        <v>0</v>
      </c>
      <c r="R44" s="422"/>
    </row>
    <row r="45" spans="1:18" s="20" customFormat="1" ht="12.75" customHeight="1" thickTop="1" thickBot="1" x14ac:dyDescent="0.25">
      <c r="A45" s="419">
        <f>'GENEL HASILAT'!A19</f>
        <v>45578</v>
      </c>
      <c r="B45" s="121">
        <f>$B$8</f>
        <v>60</v>
      </c>
      <c r="C45" s="122">
        <f>$C$8</f>
        <v>85</v>
      </c>
      <c r="D45" s="122">
        <f>$D$8</f>
        <v>125</v>
      </c>
      <c r="E45" s="122">
        <f>$E$8</f>
        <v>140</v>
      </c>
      <c r="F45" s="122">
        <f>$F$8</f>
        <v>200</v>
      </c>
      <c r="G45" s="101">
        <f t="shared" ref="G45" si="40">G47/G46</f>
        <v>786.55555555555554</v>
      </c>
      <c r="H45" s="30"/>
      <c r="I45" s="31">
        <f>$I$8</f>
        <v>70</v>
      </c>
      <c r="J45" s="32">
        <f>$J$8</f>
        <v>110</v>
      </c>
      <c r="K45" s="32">
        <f>$K$8</f>
        <v>135</v>
      </c>
      <c r="L45" s="32">
        <f>$L$8</f>
        <v>180</v>
      </c>
      <c r="M45" s="32">
        <f>$M$8</f>
        <v>245</v>
      </c>
      <c r="N45" s="33">
        <f t="shared" ref="N45" si="41">N47/N46</f>
        <v>625</v>
      </c>
      <c r="O45" s="18"/>
      <c r="P45" s="43"/>
      <c r="Q45" s="17"/>
      <c r="R45" s="18"/>
    </row>
    <row r="46" spans="1:18" s="20" customFormat="1" ht="12.75" customHeight="1" thickTop="1" thickBot="1" x14ac:dyDescent="0.25">
      <c r="A46" s="420"/>
      <c r="B46" s="123">
        <v>256</v>
      </c>
      <c r="C46" s="97">
        <v>200</v>
      </c>
      <c r="D46" s="97">
        <v>6</v>
      </c>
      <c r="E46" s="97">
        <v>9</v>
      </c>
      <c r="F46" s="97">
        <v>11</v>
      </c>
      <c r="G46" s="98">
        <f>13+42+19+23+66+40+29+28+15+10+17+8+5</f>
        <v>315</v>
      </c>
      <c r="H46" s="100"/>
      <c r="I46" s="99">
        <v>115</v>
      </c>
      <c r="J46" s="97">
        <v>58</v>
      </c>
      <c r="K46" s="97">
        <v>11</v>
      </c>
      <c r="L46" s="97">
        <v>1</v>
      </c>
      <c r="M46" s="97">
        <v>2</v>
      </c>
      <c r="N46" s="98">
        <v>2</v>
      </c>
      <c r="O46" s="35" t="s">
        <v>67</v>
      </c>
      <c r="P46" s="36">
        <f>P47/120*100</f>
        <v>251808.33333333334</v>
      </c>
      <c r="Q46" s="17"/>
      <c r="R46" s="421" t="s">
        <v>260</v>
      </c>
    </row>
    <row r="47" spans="1:18" s="20" customFormat="1" ht="12.75" customHeight="1" thickTop="1" thickBot="1" x14ac:dyDescent="0.25">
      <c r="A47" s="420"/>
      <c r="B47" s="124">
        <f t="shared" ref="B47:F47" si="42">B46*B45</f>
        <v>15360</v>
      </c>
      <c r="C47" s="125">
        <f t="shared" si="42"/>
        <v>17000</v>
      </c>
      <c r="D47" s="125">
        <f t="shared" si="42"/>
        <v>750</v>
      </c>
      <c r="E47" s="125">
        <f t="shared" si="42"/>
        <v>1260</v>
      </c>
      <c r="F47" s="125">
        <f t="shared" si="42"/>
        <v>2200</v>
      </c>
      <c r="G47" s="126">
        <f>260+2600+1360+10000+920+7275+9975+12420+24000+1320+16440+11600+17760+20000+1770+1850+12220+15000+1125+7980+6000+1285+1325+4020+8400+1485+1525+24640+12800+1885+1925+2000+2200+2400</f>
        <v>247765</v>
      </c>
      <c r="H47" s="37"/>
      <c r="I47" s="38">
        <f t="shared" ref="I47:M47" si="43">I46*I45</f>
        <v>8050</v>
      </c>
      <c r="J47" s="39">
        <f t="shared" si="43"/>
        <v>6380</v>
      </c>
      <c r="K47" s="39">
        <f t="shared" si="43"/>
        <v>1485</v>
      </c>
      <c r="L47" s="39">
        <f t="shared" si="43"/>
        <v>180</v>
      </c>
      <c r="M47" s="39">
        <f t="shared" si="43"/>
        <v>490</v>
      </c>
      <c r="N47" s="127">
        <v>1250</v>
      </c>
      <c r="O47" s="40" t="s">
        <v>68</v>
      </c>
      <c r="P47" s="44">
        <f>SUM(B47:G47,I47:N47)</f>
        <v>302170</v>
      </c>
      <c r="Q47" s="42">
        <f>'GENEL HASILAT'!AD19-P47</f>
        <v>3285</v>
      </c>
      <c r="R47" s="422"/>
    </row>
    <row r="48" spans="1:18" s="20" customFormat="1" ht="12.75" customHeight="1" thickTop="1" thickBot="1" x14ac:dyDescent="0.25">
      <c r="A48" s="419">
        <f>'GENEL HASILAT'!A20</f>
        <v>45579</v>
      </c>
      <c r="B48" s="121">
        <f>$B$8</f>
        <v>60</v>
      </c>
      <c r="C48" s="122">
        <f>$C$8</f>
        <v>85</v>
      </c>
      <c r="D48" s="122">
        <f>$D$8</f>
        <v>125</v>
      </c>
      <c r="E48" s="122">
        <f>$E$8</f>
        <v>140</v>
      </c>
      <c r="F48" s="122">
        <f>$F$8</f>
        <v>200</v>
      </c>
      <c r="G48" s="101">
        <f t="shared" ref="G48" si="44">G50/G49</f>
        <v>779.64157706093192</v>
      </c>
      <c r="H48" s="30"/>
      <c r="I48" s="31">
        <f>$I$8</f>
        <v>70</v>
      </c>
      <c r="J48" s="32">
        <f>$J$8</f>
        <v>110</v>
      </c>
      <c r="K48" s="32">
        <f>$K$8</f>
        <v>135</v>
      </c>
      <c r="L48" s="32">
        <f>$L$8</f>
        <v>180</v>
      </c>
      <c r="M48" s="32">
        <f>$M$8</f>
        <v>245</v>
      </c>
      <c r="N48" s="33">
        <f t="shared" ref="N48" si="45">N50/N49</f>
        <v>600</v>
      </c>
      <c r="O48" s="18"/>
      <c r="P48" s="43"/>
      <c r="Q48" s="17"/>
      <c r="R48" s="18"/>
    </row>
    <row r="49" spans="1:18" s="20" customFormat="1" ht="12.75" customHeight="1" thickTop="1" thickBot="1" x14ac:dyDescent="0.25">
      <c r="A49" s="420"/>
      <c r="B49" s="123">
        <v>223</v>
      </c>
      <c r="C49" s="97">
        <v>188</v>
      </c>
      <c r="D49" s="97">
        <v>14</v>
      </c>
      <c r="E49" s="97">
        <v>14</v>
      </c>
      <c r="F49" s="97">
        <v>11</v>
      </c>
      <c r="G49" s="98">
        <f>8+26+8+19+63+39+41+8+29+38</f>
        <v>279</v>
      </c>
      <c r="H49" s="100"/>
      <c r="I49" s="99">
        <v>117</v>
      </c>
      <c r="J49" s="97">
        <v>97</v>
      </c>
      <c r="K49" s="97">
        <v>16</v>
      </c>
      <c r="L49" s="97">
        <v>3</v>
      </c>
      <c r="M49" s="97">
        <v>0</v>
      </c>
      <c r="N49" s="98">
        <v>1</v>
      </c>
      <c r="O49" s="35" t="s">
        <v>67</v>
      </c>
      <c r="P49" s="36">
        <f>P50/120*100</f>
        <v>229125</v>
      </c>
      <c r="Q49" s="17"/>
      <c r="R49" s="421" t="s">
        <v>271</v>
      </c>
    </row>
    <row r="50" spans="1:18" s="20" customFormat="1" ht="12.75" customHeight="1" thickTop="1" thickBot="1" x14ac:dyDescent="0.25">
      <c r="A50" s="420"/>
      <c r="B50" s="124">
        <f t="shared" ref="B50:F50" si="46">B49*B48</f>
        <v>13380</v>
      </c>
      <c r="C50" s="125">
        <f t="shared" si="46"/>
        <v>15980</v>
      </c>
      <c r="D50" s="125">
        <f t="shared" si="46"/>
        <v>1750</v>
      </c>
      <c r="E50" s="125">
        <f t="shared" si="46"/>
        <v>1960</v>
      </c>
      <c r="F50" s="125">
        <f t="shared" si="46"/>
        <v>2200</v>
      </c>
      <c r="G50" s="126">
        <v>217520</v>
      </c>
      <c r="H50" s="37"/>
      <c r="I50" s="38">
        <f t="shared" ref="I50:M50" si="47">I49*I48</f>
        <v>8190</v>
      </c>
      <c r="J50" s="39">
        <f t="shared" si="47"/>
        <v>10670</v>
      </c>
      <c r="K50" s="39">
        <f t="shared" si="47"/>
        <v>2160</v>
      </c>
      <c r="L50" s="39">
        <f t="shared" si="47"/>
        <v>540</v>
      </c>
      <c r="M50" s="39">
        <f t="shared" si="47"/>
        <v>0</v>
      </c>
      <c r="N50" s="127">
        <v>600</v>
      </c>
      <c r="O50" s="40" t="s">
        <v>68</v>
      </c>
      <c r="P50" s="44">
        <f>SUM(B50:G50,I50:N50)</f>
        <v>274950</v>
      </c>
      <c r="Q50" s="42">
        <f>'GENEL HASILAT'!AD20-P50</f>
        <v>3200</v>
      </c>
      <c r="R50" s="422"/>
    </row>
    <row r="51" spans="1:18" s="20" customFormat="1" ht="12.75" customHeight="1" thickTop="1" thickBot="1" x14ac:dyDescent="0.25">
      <c r="A51" s="419">
        <f>'GENEL HASILAT'!A21</f>
        <v>45580</v>
      </c>
      <c r="B51" s="121">
        <f>$B$8</f>
        <v>60</v>
      </c>
      <c r="C51" s="122">
        <f>$C$8</f>
        <v>85</v>
      </c>
      <c r="D51" s="122">
        <f>$D$8</f>
        <v>125</v>
      </c>
      <c r="E51" s="122">
        <f>$E$8</f>
        <v>140</v>
      </c>
      <c r="F51" s="122">
        <f>$F$8</f>
        <v>200</v>
      </c>
      <c r="G51" s="101">
        <f t="shared" ref="G51" si="48">G53/G52</f>
        <v>822.43589743589746</v>
      </c>
      <c r="H51" s="30"/>
      <c r="I51" s="31">
        <f>$I$8</f>
        <v>70</v>
      </c>
      <c r="J51" s="32">
        <f>$J$8</f>
        <v>110</v>
      </c>
      <c r="K51" s="32">
        <f>$K$8</f>
        <v>135</v>
      </c>
      <c r="L51" s="32">
        <f>$L$8</f>
        <v>180</v>
      </c>
      <c r="M51" s="32">
        <f>$M$8</f>
        <v>245</v>
      </c>
      <c r="N51" s="33" t="e">
        <f t="shared" ref="N51" si="49">N53/N52</f>
        <v>#DIV/0!</v>
      </c>
      <c r="O51" s="18"/>
      <c r="P51" s="21"/>
      <c r="Q51" s="17"/>
      <c r="R51" s="18"/>
    </row>
    <row r="52" spans="1:18" s="20" customFormat="1" ht="12.75" customHeight="1" thickTop="1" thickBot="1" x14ac:dyDescent="0.25">
      <c r="A52" s="420"/>
      <c r="B52" s="123">
        <v>188</v>
      </c>
      <c r="C52" s="97">
        <v>201</v>
      </c>
      <c r="D52" s="97">
        <v>13</v>
      </c>
      <c r="E52" s="97">
        <v>9</v>
      </c>
      <c r="F52" s="97">
        <v>12</v>
      </c>
      <c r="G52" s="98">
        <v>156</v>
      </c>
      <c r="H52" s="100"/>
      <c r="I52" s="99">
        <v>78</v>
      </c>
      <c r="J52" s="97">
        <v>76</v>
      </c>
      <c r="K52" s="97">
        <v>10</v>
      </c>
      <c r="L52" s="97">
        <v>2</v>
      </c>
      <c r="M52" s="97">
        <v>1</v>
      </c>
      <c r="N52" s="98">
        <v>0</v>
      </c>
      <c r="O52" s="35" t="s">
        <v>67</v>
      </c>
      <c r="P52" s="36">
        <f>P53/120*100</f>
        <v>148104.16666666669</v>
      </c>
      <c r="Q52" s="17"/>
      <c r="R52" s="421"/>
    </row>
    <row r="53" spans="1:18" s="20" customFormat="1" ht="12.75" customHeight="1" thickTop="1" thickBot="1" x14ac:dyDescent="0.25">
      <c r="A53" s="420"/>
      <c r="B53" s="124">
        <f t="shared" ref="B53:F53" si="50">B52*B51</f>
        <v>11280</v>
      </c>
      <c r="C53" s="125">
        <f t="shared" si="50"/>
        <v>17085</v>
      </c>
      <c r="D53" s="125">
        <f t="shared" si="50"/>
        <v>1625</v>
      </c>
      <c r="E53" s="125">
        <f t="shared" si="50"/>
        <v>1260</v>
      </c>
      <c r="F53" s="125">
        <f t="shared" si="50"/>
        <v>2400</v>
      </c>
      <c r="G53" s="126">
        <v>128300</v>
      </c>
      <c r="H53" s="37"/>
      <c r="I53" s="38">
        <f t="shared" ref="I53:M53" si="51">I52*I51</f>
        <v>5460</v>
      </c>
      <c r="J53" s="39">
        <f t="shared" si="51"/>
        <v>8360</v>
      </c>
      <c r="K53" s="39">
        <f t="shared" si="51"/>
        <v>1350</v>
      </c>
      <c r="L53" s="39">
        <f t="shared" si="51"/>
        <v>360</v>
      </c>
      <c r="M53" s="39">
        <f t="shared" si="51"/>
        <v>245</v>
      </c>
      <c r="N53" s="127">
        <v>0</v>
      </c>
      <c r="O53" s="40" t="s">
        <v>68</v>
      </c>
      <c r="P53" s="44">
        <f>SUM(B53:G53,I53:N53)</f>
        <v>177725</v>
      </c>
      <c r="Q53" s="42">
        <f>'GENEL HASILAT'!AD21-P53</f>
        <v>0</v>
      </c>
      <c r="R53" s="422"/>
    </row>
    <row r="54" spans="1:18" s="20" customFormat="1" ht="12.75" customHeight="1" thickTop="1" thickBot="1" x14ac:dyDescent="0.25">
      <c r="A54" s="419">
        <f>'GENEL HASILAT'!A22</f>
        <v>45581</v>
      </c>
      <c r="B54" s="121">
        <f>$B$8</f>
        <v>60</v>
      </c>
      <c r="C54" s="122">
        <f>$C$8</f>
        <v>85</v>
      </c>
      <c r="D54" s="122">
        <f>$D$8</f>
        <v>125</v>
      </c>
      <c r="E54" s="122">
        <f>$E$8</f>
        <v>140</v>
      </c>
      <c r="F54" s="122">
        <f>$F$8</f>
        <v>200</v>
      </c>
      <c r="G54" s="101">
        <f t="shared" ref="G54" si="52">G56/G55</f>
        <v>737.86666666666667</v>
      </c>
      <c r="H54" s="30"/>
      <c r="I54" s="31">
        <f>$I$8</f>
        <v>70</v>
      </c>
      <c r="J54" s="32">
        <f>$J$8</f>
        <v>110</v>
      </c>
      <c r="K54" s="32">
        <f>$K$8</f>
        <v>135</v>
      </c>
      <c r="L54" s="32">
        <f>$L$8</f>
        <v>180</v>
      </c>
      <c r="M54" s="32">
        <f>$M$8</f>
        <v>245</v>
      </c>
      <c r="N54" s="33" t="e">
        <f t="shared" ref="N54" si="53">N56/N55</f>
        <v>#DIV/0!</v>
      </c>
      <c r="O54" s="18"/>
      <c r="P54" s="43"/>
      <c r="Q54" s="17"/>
      <c r="R54" s="18"/>
    </row>
    <row r="55" spans="1:18" s="20" customFormat="1" ht="12.75" customHeight="1" thickTop="1" thickBot="1" x14ac:dyDescent="0.25">
      <c r="A55" s="420"/>
      <c r="B55" s="123">
        <v>183</v>
      </c>
      <c r="C55" s="97">
        <v>222</v>
      </c>
      <c r="D55" s="97">
        <v>22</v>
      </c>
      <c r="E55" s="97">
        <v>8</v>
      </c>
      <c r="F55" s="97">
        <v>7</v>
      </c>
      <c r="G55" s="98">
        <v>150</v>
      </c>
      <c r="H55" s="100"/>
      <c r="I55" s="99">
        <v>96</v>
      </c>
      <c r="J55" s="97">
        <v>71</v>
      </c>
      <c r="K55" s="97">
        <v>17</v>
      </c>
      <c r="L55" s="97">
        <v>3</v>
      </c>
      <c r="M55" s="97"/>
      <c r="N55" s="98"/>
      <c r="O55" s="35" t="s">
        <v>67</v>
      </c>
      <c r="P55" s="36">
        <f>P56/120*100</f>
        <v>135970.83333333331</v>
      </c>
      <c r="Q55" s="17"/>
      <c r="R55" s="421"/>
    </row>
    <row r="56" spans="1:18" s="20" customFormat="1" ht="12.75" customHeight="1" thickTop="1" thickBot="1" x14ac:dyDescent="0.25">
      <c r="A56" s="420"/>
      <c r="B56" s="124">
        <f t="shared" ref="B56:F56" si="54">B55*B54</f>
        <v>10980</v>
      </c>
      <c r="C56" s="125">
        <f t="shared" si="54"/>
        <v>18870</v>
      </c>
      <c r="D56" s="125">
        <f t="shared" si="54"/>
        <v>2750</v>
      </c>
      <c r="E56" s="125">
        <f t="shared" si="54"/>
        <v>1120</v>
      </c>
      <c r="F56" s="125">
        <f t="shared" si="54"/>
        <v>1400</v>
      </c>
      <c r="G56" s="126">
        <v>110680</v>
      </c>
      <c r="H56" s="37"/>
      <c r="I56" s="38">
        <f t="shared" ref="I56:M56" si="55">I55*I54</f>
        <v>6720</v>
      </c>
      <c r="J56" s="39">
        <f t="shared" si="55"/>
        <v>7810</v>
      </c>
      <c r="K56" s="39">
        <f t="shared" si="55"/>
        <v>2295</v>
      </c>
      <c r="L56" s="39">
        <f t="shared" si="55"/>
        <v>540</v>
      </c>
      <c r="M56" s="39">
        <f t="shared" si="55"/>
        <v>0</v>
      </c>
      <c r="N56" s="127">
        <v>0</v>
      </c>
      <c r="O56" s="40" t="s">
        <v>68</v>
      </c>
      <c r="P56" s="44">
        <f>SUM(B56:G56,I56:N56)</f>
        <v>163165</v>
      </c>
      <c r="Q56" s="42">
        <f>'GENEL HASILAT'!AD22-P56</f>
        <v>0</v>
      </c>
      <c r="R56" s="422"/>
    </row>
    <row r="57" spans="1:18" s="20" customFormat="1" ht="12.75" customHeight="1" thickTop="1" thickBot="1" x14ac:dyDescent="0.25">
      <c r="A57" s="419">
        <f>'GENEL HASILAT'!A23</f>
        <v>45582</v>
      </c>
      <c r="B57" s="121">
        <f>$B$8</f>
        <v>60</v>
      </c>
      <c r="C57" s="122">
        <f>$C$8</f>
        <v>85</v>
      </c>
      <c r="D57" s="122">
        <f>$D$8</f>
        <v>125</v>
      </c>
      <c r="E57" s="122">
        <f>$E$8</f>
        <v>140</v>
      </c>
      <c r="F57" s="122">
        <f>$F$8</f>
        <v>200</v>
      </c>
      <c r="G57" s="101">
        <f t="shared" ref="G57" si="56">G59/G58</f>
        <v>799.27672955974845</v>
      </c>
      <c r="H57" s="30"/>
      <c r="I57" s="31">
        <f>$I$8</f>
        <v>70</v>
      </c>
      <c r="J57" s="32">
        <f>$J$8</f>
        <v>110</v>
      </c>
      <c r="K57" s="32">
        <f>$K$8</f>
        <v>135</v>
      </c>
      <c r="L57" s="32">
        <f>$L$8</f>
        <v>180</v>
      </c>
      <c r="M57" s="32">
        <f>$M$8</f>
        <v>245</v>
      </c>
      <c r="N57" s="33" t="e">
        <f t="shared" ref="N57" si="57">N59/N58</f>
        <v>#DIV/0!</v>
      </c>
      <c r="O57" s="18"/>
      <c r="P57" s="43"/>
      <c r="Q57" s="17"/>
      <c r="R57" s="18"/>
    </row>
    <row r="58" spans="1:18" s="20" customFormat="1" ht="12.75" customHeight="1" thickTop="1" thickBot="1" x14ac:dyDescent="0.25">
      <c r="A58" s="420"/>
      <c r="B58" s="123">
        <v>192</v>
      </c>
      <c r="C58" s="97">
        <v>182</v>
      </c>
      <c r="D58" s="97">
        <v>15</v>
      </c>
      <c r="E58" s="97">
        <v>19</v>
      </c>
      <c r="F58" s="97">
        <v>10</v>
      </c>
      <c r="G58" s="98">
        <v>159</v>
      </c>
      <c r="H58" s="100"/>
      <c r="I58" s="99">
        <v>68</v>
      </c>
      <c r="J58" s="97">
        <v>80</v>
      </c>
      <c r="K58" s="97">
        <v>8</v>
      </c>
      <c r="L58" s="97">
        <v>0</v>
      </c>
      <c r="M58" s="97">
        <v>0</v>
      </c>
      <c r="N58" s="98">
        <v>0</v>
      </c>
      <c r="O58" s="35" t="s">
        <v>67</v>
      </c>
      <c r="P58" s="36">
        <f>P59/120*100</f>
        <v>146041.66666666669</v>
      </c>
      <c r="Q58" s="17"/>
      <c r="R58" s="421" t="s">
        <v>294</v>
      </c>
    </row>
    <row r="59" spans="1:18" s="20" customFormat="1" ht="12.75" customHeight="1" thickTop="1" thickBot="1" x14ac:dyDescent="0.25">
      <c r="A59" s="420"/>
      <c r="B59" s="124">
        <f t="shared" ref="B59:F59" si="58">B58*B57</f>
        <v>11520</v>
      </c>
      <c r="C59" s="125">
        <f t="shared" si="58"/>
        <v>15470</v>
      </c>
      <c r="D59" s="125">
        <f t="shared" si="58"/>
        <v>1875</v>
      </c>
      <c r="E59" s="125">
        <f t="shared" si="58"/>
        <v>2660</v>
      </c>
      <c r="F59" s="125">
        <f t="shared" si="58"/>
        <v>2000</v>
      </c>
      <c r="G59" s="126">
        <v>127085</v>
      </c>
      <c r="H59" s="37"/>
      <c r="I59" s="38">
        <f t="shared" ref="I59:M59" si="59">I58*I57</f>
        <v>4760</v>
      </c>
      <c r="J59" s="39">
        <f t="shared" si="59"/>
        <v>8800</v>
      </c>
      <c r="K59" s="39">
        <f t="shared" si="59"/>
        <v>1080</v>
      </c>
      <c r="L59" s="39">
        <f t="shared" si="59"/>
        <v>0</v>
      </c>
      <c r="M59" s="39">
        <f t="shared" si="59"/>
        <v>0</v>
      </c>
      <c r="N59" s="127">
        <v>0</v>
      </c>
      <c r="O59" s="40" t="s">
        <v>68</v>
      </c>
      <c r="P59" s="44">
        <f>SUM(B59:G59,I59:N59)</f>
        <v>175250</v>
      </c>
      <c r="Q59" s="42">
        <f>'GENEL HASILAT'!AD23-P59</f>
        <v>60</v>
      </c>
      <c r="R59" s="422"/>
    </row>
    <row r="60" spans="1:18" s="20" customFormat="1" ht="12.75" customHeight="1" thickTop="1" thickBot="1" x14ac:dyDescent="0.25">
      <c r="A60" s="419">
        <f>'GENEL HASILAT'!A24</f>
        <v>45583</v>
      </c>
      <c r="B60" s="121">
        <f>$B$8</f>
        <v>60</v>
      </c>
      <c r="C60" s="122">
        <f>$C$8</f>
        <v>85</v>
      </c>
      <c r="D60" s="122">
        <f>$D$8</f>
        <v>125</v>
      </c>
      <c r="E60" s="122">
        <f>$E$8</f>
        <v>140</v>
      </c>
      <c r="F60" s="122">
        <f>$F$8</f>
        <v>200</v>
      </c>
      <c r="G60" s="101">
        <f t="shared" ref="G60" si="60">G62/G61</f>
        <v>792.34636871508383</v>
      </c>
      <c r="H60" s="30"/>
      <c r="I60" s="31">
        <f>$I$8</f>
        <v>70</v>
      </c>
      <c r="J60" s="32">
        <f>$J$8</f>
        <v>110</v>
      </c>
      <c r="K60" s="32">
        <f>$K$8</f>
        <v>135</v>
      </c>
      <c r="L60" s="32">
        <f>$L$8</f>
        <v>180</v>
      </c>
      <c r="M60" s="32">
        <f>$M$8</f>
        <v>245</v>
      </c>
      <c r="N60" s="33" t="e">
        <f t="shared" ref="N60" si="61">N62/N61</f>
        <v>#DIV/0!</v>
      </c>
      <c r="O60" s="18"/>
      <c r="P60" s="43"/>
      <c r="Q60" s="17"/>
      <c r="R60" s="18"/>
    </row>
    <row r="61" spans="1:18" s="20" customFormat="1" ht="12.75" customHeight="1" thickTop="1" thickBot="1" x14ac:dyDescent="0.25">
      <c r="A61" s="420"/>
      <c r="B61" s="123">
        <v>202</v>
      </c>
      <c r="C61" s="97">
        <v>156</v>
      </c>
      <c r="D61" s="97">
        <v>15</v>
      </c>
      <c r="E61" s="97">
        <v>14</v>
      </c>
      <c r="F61" s="97">
        <v>16</v>
      </c>
      <c r="G61" s="98">
        <v>179</v>
      </c>
      <c r="H61" s="100"/>
      <c r="I61" s="99">
        <v>59</v>
      </c>
      <c r="J61" s="97">
        <v>73</v>
      </c>
      <c r="K61" s="97">
        <v>17</v>
      </c>
      <c r="L61" s="97">
        <v>3</v>
      </c>
      <c r="M61" s="97">
        <v>0</v>
      </c>
      <c r="N61" s="98">
        <v>0</v>
      </c>
      <c r="O61" s="35" t="s">
        <v>67</v>
      </c>
      <c r="P61" s="36">
        <f>P62/120*100</f>
        <v>157700</v>
      </c>
      <c r="Q61" s="17"/>
      <c r="R61" s="421"/>
    </row>
    <row r="62" spans="1:18" s="20" customFormat="1" ht="12.75" customHeight="1" thickTop="1" thickBot="1" x14ac:dyDescent="0.25">
      <c r="A62" s="420"/>
      <c r="B62" s="124">
        <f t="shared" ref="B62:F62" si="62">B61*B60</f>
        <v>12120</v>
      </c>
      <c r="C62" s="125">
        <f t="shared" si="62"/>
        <v>13260</v>
      </c>
      <c r="D62" s="125">
        <f t="shared" si="62"/>
        <v>1875</v>
      </c>
      <c r="E62" s="125">
        <f t="shared" si="62"/>
        <v>1960</v>
      </c>
      <c r="F62" s="125">
        <f t="shared" si="62"/>
        <v>3200</v>
      </c>
      <c r="G62" s="126">
        <v>141830</v>
      </c>
      <c r="H62" s="37"/>
      <c r="I62" s="38">
        <f t="shared" ref="I62:M62" si="63">I61*I60</f>
        <v>4130</v>
      </c>
      <c r="J62" s="39">
        <f t="shared" si="63"/>
        <v>8030</v>
      </c>
      <c r="K62" s="39">
        <f t="shared" si="63"/>
        <v>2295</v>
      </c>
      <c r="L62" s="39">
        <f t="shared" si="63"/>
        <v>540</v>
      </c>
      <c r="M62" s="39">
        <f t="shared" si="63"/>
        <v>0</v>
      </c>
      <c r="N62" s="127">
        <v>0</v>
      </c>
      <c r="O62" s="40" t="s">
        <v>68</v>
      </c>
      <c r="P62" s="44">
        <f>SUM(B62:G62,I62:N62)</f>
        <v>189240</v>
      </c>
      <c r="Q62" s="42">
        <f>'GENEL HASILAT'!AD24-P62</f>
        <v>0</v>
      </c>
      <c r="R62" s="422"/>
    </row>
    <row r="63" spans="1:18" s="20" customFormat="1" ht="12.75" customHeight="1" thickTop="1" thickBot="1" x14ac:dyDescent="0.25">
      <c r="A63" s="419">
        <f>'GENEL HASILAT'!A25</f>
        <v>45584</v>
      </c>
      <c r="B63" s="121">
        <f>$B$8</f>
        <v>60</v>
      </c>
      <c r="C63" s="122">
        <f>$C$8</f>
        <v>85</v>
      </c>
      <c r="D63" s="122">
        <f>$D$8</f>
        <v>125</v>
      </c>
      <c r="E63" s="122">
        <f>$E$8</f>
        <v>140</v>
      </c>
      <c r="F63" s="122">
        <f>$F$8</f>
        <v>200</v>
      </c>
      <c r="G63" s="101">
        <f t="shared" ref="G63" si="64">G65/G64</f>
        <v>881.54088050314465</v>
      </c>
      <c r="H63" s="30"/>
      <c r="I63" s="31">
        <f>$I$8</f>
        <v>70</v>
      </c>
      <c r="J63" s="32">
        <f>$J$8</f>
        <v>110</v>
      </c>
      <c r="K63" s="32">
        <f>$K$8</f>
        <v>135</v>
      </c>
      <c r="L63" s="32">
        <f>$L$8</f>
        <v>180</v>
      </c>
      <c r="M63" s="32">
        <f>$M$8</f>
        <v>245</v>
      </c>
      <c r="N63" s="33" t="e">
        <f t="shared" ref="N63" si="65">N65/N64</f>
        <v>#DIV/0!</v>
      </c>
      <c r="O63" s="18"/>
      <c r="P63" s="43"/>
      <c r="Q63" s="17"/>
      <c r="R63" s="18"/>
    </row>
    <row r="64" spans="1:18" s="20" customFormat="1" ht="12.75" customHeight="1" thickTop="1" thickBot="1" x14ac:dyDescent="0.25">
      <c r="A64" s="420"/>
      <c r="B64" s="123">
        <v>216</v>
      </c>
      <c r="C64" s="97">
        <v>170</v>
      </c>
      <c r="D64" s="97">
        <v>24</v>
      </c>
      <c r="E64" s="97">
        <v>14</v>
      </c>
      <c r="F64" s="97">
        <v>9</v>
      </c>
      <c r="G64" s="98">
        <v>159</v>
      </c>
      <c r="H64" s="100"/>
      <c r="I64" s="99">
        <v>121</v>
      </c>
      <c r="J64" s="97">
        <v>92</v>
      </c>
      <c r="K64" s="97">
        <v>8</v>
      </c>
      <c r="L64" s="97">
        <v>0</v>
      </c>
      <c r="M64" s="97">
        <v>0</v>
      </c>
      <c r="N64" s="98">
        <v>0</v>
      </c>
      <c r="O64" s="35" t="s">
        <v>67</v>
      </c>
      <c r="P64" s="36">
        <f>P65/120*100</f>
        <v>161670.83333333331</v>
      </c>
      <c r="Q64" s="17"/>
      <c r="R64" s="421"/>
    </row>
    <row r="65" spans="1:18" s="20" customFormat="1" ht="12.75" customHeight="1" thickTop="1" thickBot="1" x14ac:dyDescent="0.25">
      <c r="A65" s="420"/>
      <c r="B65" s="124">
        <f t="shared" ref="B65:F65" si="66">B64*B63</f>
        <v>12960</v>
      </c>
      <c r="C65" s="125">
        <f t="shared" si="66"/>
        <v>14450</v>
      </c>
      <c r="D65" s="125">
        <f t="shared" si="66"/>
        <v>3000</v>
      </c>
      <c r="E65" s="125">
        <f t="shared" si="66"/>
        <v>1960</v>
      </c>
      <c r="F65" s="125">
        <f t="shared" si="66"/>
        <v>1800</v>
      </c>
      <c r="G65" s="126">
        <v>140165</v>
      </c>
      <c r="H65" s="37"/>
      <c r="I65" s="38">
        <f t="shared" ref="I65:M65" si="67">I64*I63</f>
        <v>8470</v>
      </c>
      <c r="J65" s="39">
        <f t="shared" si="67"/>
        <v>10120</v>
      </c>
      <c r="K65" s="39">
        <f t="shared" si="67"/>
        <v>1080</v>
      </c>
      <c r="L65" s="39">
        <f t="shared" si="67"/>
        <v>0</v>
      </c>
      <c r="M65" s="39">
        <f t="shared" si="67"/>
        <v>0</v>
      </c>
      <c r="N65" s="127">
        <v>0</v>
      </c>
      <c r="O65" s="40" t="s">
        <v>68</v>
      </c>
      <c r="P65" s="44">
        <f>SUM(B65:G65,I65:N65)</f>
        <v>194005</v>
      </c>
      <c r="Q65" s="42">
        <f>'GENEL HASILAT'!AD25-P65</f>
        <v>0</v>
      </c>
      <c r="R65" s="422"/>
    </row>
    <row r="66" spans="1:18" s="20" customFormat="1" ht="12.75" customHeight="1" thickTop="1" thickBot="1" x14ac:dyDescent="0.25">
      <c r="A66" s="419">
        <f>'GENEL HASILAT'!A26</f>
        <v>45585</v>
      </c>
      <c r="B66" s="121">
        <f>$B$8</f>
        <v>60</v>
      </c>
      <c r="C66" s="122">
        <f>$C$8</f>
        <v>85</v>
      </c>
      <c r="D66" s="122">
        <f>$D$8</f>
        <v>125</v>
      </c>
      <c r="E66" s="122">
        <f>$E$8</f>
        <v>140</v>
      </c>
      <c r="F66" s="122">
        <f>$F$8</f>
        <v>200</v>
      </c>
      <c r="G66" s="101">
        <f t="shared" ref="G66" si="68">G68/G67</f>
        <v>761.28099173553721</v>
      </c>
      <c r="H66" s="30"/>
      <c r="I66" s="31">
        <f>$I$8</f>
        <v>70</v>
      </c>
      <c r="J66" s="32">
        <f>$J$8</f>
        <v>110</v>
      </c>
      <c r="K66" s="32">
        <f>$K$8</f>
        <v>135</v>
      </c>
      <c r="L66" s="32">
        <f>$L$8</f>
        <v>180</v>
      </c>
      <c r="M66" s="32">
        <f>$M$8</f>
        <v>245</v>
      </c>
      <c r="N66" s="33" t="e">
        <f t="shared" ref="N66" si="69">N68/N67</f>
        <v>#DIV/0!</v>
      </c>
      <c r="O66" s="18"/>
      <c r="P66" s="43"/>
      <c r="Q66" s="17"/>
      <c r="R66" s="18"/>
    </row>
    <row r="67" spans="1:18" s="20" customFormat="1" ht="12.75" customHeight="1" thickTop="1" thickBot="1" x14ac:dyDescent="0.25">
      <c r="A67" s="420"/>
      <c r="B67" s="123">
        <v>185</v>
      </c>
      <c r="C67" s="97">
        <v>212</v>
      </c>
      <c r="D67" s="97">
        <v>16</v>
      </c>
      <c r="E67" s="97">
        <v>10</v>
      </c>
      <c r="F67" s="97">
        <v>12</v>
      </c>
      <c r="G67" s="98">
        <f>5+35+47+91+12+9+28+36+23+33+9+5+8+16+3+3</f>
        <v>363</v>
      </c>
      <c r="H67" s="100"/>
      <c r="I67" s="99">
        <v>90</v>
      </c>
      <c r="J67" s="97">
        <v>68</v>
      </c>
      <c r="K67" s="97">
        <v>9</v>
      </c>
      <c r="L67" s="97">
        <v>4</v>
      </c>
      <c r="M67" s="97">
        <v>1</v>
      </c>
      <c r="N67" s="98">
        <v>0</v>
      </c>
      <c r="O67" s="35" t="s">
        <v>67</v>
      </c>
      <c r="P67" s="36">
        <f>P68/120*100</f>
        <v>272687.5</v>
      </c>
      <c r="Q67" s="17"/>
      <c r="R67" s="421"/>
    </row>
    <row r="68" spans="1:18" s="20" customFormat="1" ht="12.75" customHeight="1" thickTop="1" thickBot="1" x14ac:dyDescent="0.25">
      <c r="A68" s="420"/>
      <c r="B68" s="124">
        <f t="shared" ref="B68:F68" si="70">B67*B66</f>
        <v>11100</v>
      </c>
      <c r="C68" s="125">
        <f t="shared" si="70"/>
        <v>18020</v>
      </c>
      <c r="D68" s="125">
        <f t="shared" si="70"/>
        <v>2000</v>
      </c>
      <c r="E68" s="125">
        <f t="shared" si="70"/>
        <v>1400</v>
      </c>
      <c r="F68" s="125">
        <f t="shared" si="70"/>
        <v>2400</v>
      </c>
      <c r="G68" s="126">
        <f>855+650+1700+12000+920+7275+15750+16200+36600+2640+5480+6525+20720+25600+3540+7400+14100+31000+2170+4560+6000+3975+2680+9800+1485+24640+3200+1740+1800+2140+3200</f>
        <v>276345</v>
      </c>
      <c r="H68" s="37"/>
      <c r="I68" s="38">
        <f t="shared" ref="I68:M68" si="71">I67*I66</f>
        <v>6300</v>
      </c>
      <c r="J68" s="39">
        <f t="shared" si="71"/>
        <v>7480</v>
      </c>
      <c r="K68" s="39">
        <f t="shared" si="71"/>
        <v>1215</v>
      </c>
      <c r="L68" s="39">
        <f t="shared" si="71"/>
        <v>720</v>
      </c>
      <c r="M68" s="39">
        <f t="shared" si="71"/>
        <v>245</v>
      </c>
      <c r="N68" s="127">
        <v>0</v>
      </c>
      <c r="O68" s="40" t="s">
        <v>68</v>
      </c>
      <c r="P68" s="44">
        <f>SUM(B68:G68,I68:N68)</f>
        <v>327225</v>
      </c>
      <c r="Q68" s="42">
        <f>'GENEL HASILAT'!AD26-P68</f>
        <v>0</v>
      </c>
      <c r="R68" s="422"/>
    </row>
    <row r="69" spans="1:18" s="20" customFormat="1" ht="12.75" customHeight="1" thickTop="1" thickBot="1" x14ac:dyDescent="0.25">
      <c r="A69" s="419">
        <f>'GENEL HASILAT'!A27</f>
        <v>45586</v>
      </c>
      <c r="B69" s="121">
        <f>$B$8</f>
        <v>60</v>
      </c>
      <c r="C69" s="122">
        <f>$C$8</f>
        <v>85</v>
      </c>
      <c r="D69" s="122">
        <f>$D$8</f>
        <v>125</v>
      </c>
      <c r="E69" s="122">
        <f>$E$8</f>
        <v>140</v>
      </c>
      <c r="F69" s="122">
        <f>$F$8</f>
        <v>200</v>
      </c>
      <c r="G69" s="101" t="e">
        <f t="shared" ref="G69" si="72">G71/G70</f>
        <v>#DIV/0!</v>
      </c>
      <c r="H69" s="30"/>
      <c r="I69" s="31">
        <f>$I$8</f>
        <v>70</v>
      </c>
      <c r="J69" s="32">
        <f>$J$8</f>
        <v>110</v>
      </c>
      <c r="K69" s="32">
        <f>$K$8</f>
        <v>135</v>
      </c>
      <c r="L69" s="32">
        <f>$L$8</f>
        <v>180</v>
      </c>
      <c r="M69" s="32">
        <f>$M$8</f>
        <v>245</v>
      </c>
      <c r="N69" s="33" t="e">
        <f t="shared" ref="N69" si="73">N71/N70</f>
        <v>#DIV/0!</v>
      </c>
      <c r="O69" s="18"/>
      <c r="P69" s="43"/>
      <c r="Q69" s="17"/>
      <c r="R69" s="18"/>
    </row>
    <row r="70" spans="1:18" s="20" customFormat="1" ht="12.75" customHeight="1" thickTop="1" thickBot="1" x14ac:dyDescent="0.25">
      <c r="A70" s="420"/>
      <c r="B70" s="123"/>
      <c r="C70" s="97"/>
      <c r="D70" s="97"/>
      <c r="E70" s="97"/>
      <c r="F70" s="97"/>
      <c r="G70" s="98"/>
      <c r="H70" s="100"/>
      <c r="I70" s="99"/>
      <c r="J70" s="97"/>
      <c r="K70" s="97"/>
      <c r="L70" s="97"/>
      <c r="M70" s="97"/>
      <c r="N70" s="98"/>
      <c r="O70" s="35" t="s">
        <v>67</v>
      </c>
      <c r="P70" s="36">
        <f>P71/120*100</f>
        <v>0</v>
      </c>
      <c r="Q70" s="17"/>
      <c r="R70" s="421"/>
    </row>
    <row r="71" spans="1:18" s="20" customFormat="1" ht="12.75" customHeight="1" thickTop="1" thickBot="1" x14ac:dyDescent="0.25">
      <c r="A71" s="420"/>
      <c r="B71" s="124">
        <f t="shared" ref="B71:F71" si="74">B70*B69</f>
        <v>0</v>
      </c>
      <c r="C71" s="125">
        <f t="shared" si="74"/>
        <v>0</v>
      </c>
      <c r="D71" s="125">
        <f t="shared" si="74"/>
        <v>0</v>
      </c>
      <c r="E71" s="125">
        <f t="shared" si="74"/>
        <v>0</v>
      </c>
      <c r="F71" s="125">
        <f t="shared" si="74"/>
        <v>0</v>
      </c>
      <c r="G71" s="126">
        <v>0</v>
      </c>
      <c r="H71" s="37"/>
      <c r="I71" s="38">
        <f t="shared" ref="I71:M71" si="75">I70*I69</f>
        <v>0</v>
      </c>
      <c r="J71" s="39">
        <f t="shared" si="75"/>
        <v>0</v>
      </c>
      <c r="K71" s="39">
        <f t="shared" si="75"/>
        <v>0</v>
      </c>
      <c r="L71" s="39">
        <f t="shared" si="75"/>
        <v>0</v>
      </c>
      <c r="M71" s="39">
        <f t="shared" si="75"/>
        <v>0</v>
      </c>
      <c r="N71" s="127">
        <v>0</v>
      </c>
      <c r="O71" s="40" t="s">
        <v>68</v>
      </c>
      <c r="P71" s="44">
        <f>SUM(B71:G71,I71:N71)</f>
        <v>0</v>
      </c>
      <c r="Q71" s="42">
        <f>'GENEL HASILAT'!AD27-P71</f>
        <v>0</v>
      </c>
      <c r="R71" s="422"/>
    </row>
    <row r="72" spans="1:18" s="20" customFormat="1" ht="12.75" customHeight="1" thickTop="1" thickBot="1" x14ac:dyDescent="0.25">
      <c r="A72" s="419">
        <f>'GENEL HASILAT'!A28</f>
        <v>45587</v>
      </c>
      <c r="B72" s="121">
        <f>$B$8</f>
        <v>60</v>
      </c>
      <c r="C72" s="122">
        <f>$C$8</f>
        <v>85</v>
      </c>
      <c r="D72" s="122">
        <f>$D$8</f>
        <v>125</v>
      </c>
      <c r="E72" s="122">
        <f>$E$8</f>
        <v>140</v>
      </c>
      <c r="F72" s="122">
        <f>$F$8</f>
        <v>200</v>
      </c>
      <c r="G72" s="101" t="e">
        <f t="shared" ref="G72" si="76">G74/G73</f>
        <v>#DIV/0!</v>
      </c>
      <c r="H72" s="30"/>
      <c r="I72" s="31">
        <f>$I$8</f>
        <v>70</v>
      </c>
      <c r="J72" s="32">
        <f>$J$8</f>
        <v>110</v>
      </c>
      <c r="K72" s="32">
        <f>$K$8</f>
        <v>135</v>
      </c>
      <c r="L72" s="32">
        <f>$L$8</f>
        <v>180</v>
      </c>
      <c r="M72" s="32">
        <f>$M$8</f>
        <v>245</v>
      </c>
      <c r="N72" s="33" t="e">
        <f t="shared" ref="N72" si="77">N74/N73</f>
        <v>#DIV/0!</v>
      </c>
      <c r="O72" s="18"/>
      <c r="P72" s="43"/>
      <c r="Q72" s="17"/>
      <c r="R72" s="18"/>
    </row>
    <row r="73" spans="1:18" s="20" customFormat="1" ht="12.75" customHeight="1" thickTop="1" thickBot="1" x14ac:dyDescent="0.25">
      <c r="A73" s="420"/>
      <c r="B73" s="123"/>
      <c r="C73" s="97"/>
      <c r="D73" s="97"/>
      <c r="E73" s="97"/>
      <c r="F73" s="97"/>
      <c r="G73" s="98"/>
      <c r="H73" s="100"/>
      <c r="I73" s="99"/>
      <c r="J73" s="97"/>
      <c r="K73" s="97"/>
      <c r="L73" s="97"/>
      <c r="M73" s="97"/>
      <c r="N73" s="98"/>
      <c r="O73" s="35" t="s">
        <v>67</v>
      </c>
      <c r="P73" s="36">
        <f>P74/120*100</f>
        <v>0</v>
      </c>
      <c r="Q73" s="17"/>
      <c r="R73" s="421"/>
    </row>
    <row r="74" spans="1:18" s="20" customFormat="1" ht="12.75" customHeight="1" thickTop="1" thickBot="1" x14ac:dyDescent="0.25">
      <c r="A74" s="420"/>
      <c r="B74" s="124">
        <f t="shared" ref="B74:F74" si="78">B73*B72</f>
        <v>0</v>
      </c>
      <c r="C74" s="125">
        <f t="shared" si="78"/>
        <v>0</v>
      </c>
      <c r="D74" s="125">
        <f t="shared" si="78"/>
        <v>0</v>
      </c>
      <c r="E74" s="125">
        <f t="shared" si="78"/>
        <v>0</v>
      </c>
      <c r="F74" s="125">
        <f t="shared" si="78"/>
        <v>0</v>
      </c>
      <c r="G74" s="126">
        <v>0</v>
      </c>
      <c r="H74" s="37"/>
      <c r="I74" s="38">
        <f t="shared" ref="I74:M74" si="79">I73*I72</f>
        <v>0</v>
      </c>
      <c r="J74" s="39">
        <f t="shared" si="79"/>
        <v>0</v>
      </c>
      <c r="K74" s="39">
        <f t="shared" si="79"/>
        <v>0</v>
      </c>
      <c r="L74" s="39">
        <f t="shared" si="79"/>
        <v>0</v>
      </c>
      <c r="M74" s="39">
        <f t="shared" si="79"/>
        <v>0</v>
      </c>
      <c r="N74" s="127">
        <v>0</v>
      </c>
      <c r="O74" s="40" t="s">
        <v>68</v>
      </c>
      <c r="P74" s="44">
        <f>SUM(B74:G74,I74:N74)</f>
        <v>0</v>
      </c>
      <c r="Q74" s="42">
        <f>'GENEL HASILAT'!AD28-P74</f>
        <v>0</v>
      </c>
      <c r="R74" s="422"/>
    </row>
    <row r="75" spans="1:18" s="20" customFormat="1" ht="12.75" customHeight="1" thickTop="1" thickBot="1" x14ac:dyDescent="0.25">
      <c r="A75" s="419">
        <f>'GENEL HASILAT'!A29</f>
        <v>45588</v>
      </c>
      <c r="B75" s="121">
        <f>$B$8</f>
        <v>60</v>
      </c>
      <c r="C75" s="122">
        <f>$C$8</f>
        <v>85</v>
      </c>
      <c r="D75" s="122">
        <f>$D$8</f>
        <v>125</v>
      </c>
      <c r="E75" s="122">
        <f>$E$8</f>
        <v>140</v>
      </c>
      <c r="F75" s="122">
        <f>$F$8</f>
        <v>200</v>
      </c>
      <c r="G75" s="101" t="e">
        <f t="shared" ref="G75" si="80">G77/G76</f>
        <v>#DIV/0!</v>
      </c>
      <c r="H75" s="30"/>
      <c r="I75" s="31">
        <f>$I$8</f>
        <v>70</v>
      </c>
      <c r="J75" s="32">
        <f>$J$8</f>
        <v>110</v>
      </c>
      <c r="K75" s="32">
        <f>$K$8</f>
        <v>135</v>
      </c>
      <c r="L75" s="32">
        <f>$L$8</f>
        <v>180</v>
      </c>
      <c r="M75" s="32">
        <f>$M$8</f>
        <v>245</v>
      </c>
      <c r="N75" s="33" t="e">
        <f t="shared" ref="N75" si="81">N77/N76</f>
        <v>#DIV/0!</v>
      </c>
      <c r="O75" s="18"/>
      <c r="P75" s="43"/>
      <c r="Q75" s="17"/>
      <c r="R75" s="18"/>
    </row>
    <row r="76" spans="1:18" s="20" customFormat="1" ht="12.75" customHeight="1" thickTop="1" thickBot="1" x14ac:dyDescent="0.25">
      <c r="A76" s="420"/>
      <c r="B76" s="123"/>
      <c r="C76" s="97"/>
      <c r="D76" s="97"/>
      <c r="E76" s="97"/>
      <c r="F76" s="97"/>
      <c r="G76" s="98"/>
      <c r="H76" s="100"/>
      <c r="I76" s="99"/>
      <c r="J76" s="97"/>
      <c r="K76" s="97"/>
      <c r="L76" s="97"/>
      <c r="M76" s="97"/>
      <c r="N76" s="98"/>
      <c r="O76" s="35" t="s">
        <v>67</v>
      </c>
      <c r="P76" s="36">
        <f>P77/120*100</f>
        <v>0</v>
      </c>
      <c r="Q76" s="17"/>
      <c r="R76" s="421"/>
    </row>
    <row r="77" spans="1:18" s="20" customFormat="1" ht="12.75" customHeight="1" thickTop="1" thickBot="1" x14ac:dyDescent="0.25">
      <c r="A77" s="420"/>
      <c r="B77" s="124">
        <f t="shared" ref="B77:F77" si="82">B76*B75</f>
        <v>0</v>
      </c>
      <c r="C77" s="125">
        <f t="shared" si="82"/>
        <v>0</v>
      </c>
      <c r="D77" s="125">
        <f t="shared" si="82"/>
        <v>0</v>
      </c>
      <c r="E77" s="125">
        <f t="shared" si="82"/>
        <v>0</v>
      </c>
      <c r="F77" s="125">
        <f t="shared" si="82"/>
        <v>0</v>
      </c>
      <c r="G77" s="126">
        <v>0</v>
      </c>
      <c r="H77" s="37"/>
      <c r="I77" s="38">
        <f t="shared" ref="I77:M77" si="83">I76*I75</f>
        <v>0</v>
      </c>
      <c r="J77" s="39">
        <f t="shared" si="83"/>
        <v>0</v>
      </c>
      <c r="K77" s="39">
        <f t="shared" si="83"/>
        <v>0</v>
      </c>
      <c r="L77" s="39">
        <f t="shared" si="83"/>
        <v>0</v>
      </c>
      <c r="M77" s="39">
        <f t="shared" si="83"/>
        <v>0</v>
      </c>
      <c r="N77" s="127">
        <v>0</v>
      </c>
      <c r="O77" s="40" t="s">
        <v>68</v>
      </c>
      <c r="P77" s="44">
        <f>SUM(B77:G77,I77:N77)</f>
        <v>0</v>
      </c>
      <c r="Q77" s="42">
        <f>'GENEL HASILAT'!AD29-P77</f>
        <v>0</v>
      </c>
      <c r="R77" s="422"/>
    </row>
    <row r="78" spans="1:18" s="20" customFormat="1" ht="12.75" customHeight="1" thickTop="1" thickBot="1" x14ac:dyDescent="0.25">
      <c r="A78" s="419">
        <f>'GENEL HASILAT'!A30</f>
        <v>45589</v>
      </c>
      <c r="B78" s="121">
        <f>$B$8</f>
        <v>60</v>
      </c>
      <c r="C78" s="122">
        <f>$C$8</f>
        <v>85</v>
      </c>
      <c r="D78" s="122">
        <f>$D$8</f>
        <v>125</v>
      </c>
      <c r="E78" s="122">
        <f>$E$8</f>
        <v>140</v>
      </c>
      <c r="F78" s="122">
        <f>$F$8</f>
        <v>200</v>
      </c>
      <c r="G78" s="101" t="e">
        <f t="shared" ref="G78" si="84">G80/G79</f>
        <v>#DIV/0!</v>
      </c>
      <c r="H78" s="30"/>
      <c r="I78" s="31">
        <f>$I$8</f>
        <v>70</v>
      </c>
      <c r="J78" s="32">
        <f>$J$8</f>
        <v>110</v>
      </c>
      <c r="K78" s="32">
        <f>$K$8</f>
        <v>135</v>
      </c>
      <c r="L78" s="32">
        <f>$L$8</f>
        <v>180</v>
      </c>
      <c r="M78" s="32">
        <f>$M$8</f>
        <v>245</v>
      </c>
      <c r="N78" s="33" t="e">
        <f t="shared" ref="N78" si="85">N80/N79</f>
        <v>#DIV/0!</v>
      </c>
      <c r="O78" s="18"/>
      <c r="P78" s="43"/>
      <c r="Q78" s="17"/>
      <c r="R78" s="18"/>
    </row>
    <row r="79" spans="1:18" s="20" customFormat="1" ht="12.75" customHeight="1" thickTop="1" thickBot="1" x14ac:dyDescent="0.25">
      <c r="A79" s="420"/>
      <c r="B79" s="123"/>
      <c r="C79" s="97"/>
      <c r="D79" s="97"/>
      <c r="E79" s="97"/>
      <c r="F79" s="97"/>
      <c r="G79" s="98"/>
      <c r="H79" s="100"/>
      <c r="I79" s="99"/>
      <c r="J79" s="97"/>
      <c r="K79" s="97"/>
      <c r="L79" s="97"/>
      <c r="M79" s="97"/>
      <c r="N79" s="98"/>
      <c r="O79" s="35" t="s">
        <v>67</v>
      </c>
      <c r="P79" s="36">
        <f>P80/120*100</f>
        <v>0</v>
      </c>
      <c r="Q79" s="17"/>
      <c r="R79" s="421"/>
    </row>
    <row r="80" spans="1:18" s="20" customFormat="1" ht="12.75" customHeight="1" thickTop="1" thickBot="1" x14ac:dyDescent="0.25">
      <c r="A80" s="420"/>
      <c r="B80" s="124">
        <f t="shared" ref="B80:F80" si="86">B79*B78</f>
        <v>0</v>
      </c>
      <c r="C80" s="125">
        <f t="shared" si="86"/>
        <v>0</v>
      </c>
      <c r="D80" s="125">
        <f t="shared" si="86"/>
        <v>0</v>
      </c>
      <c r="E80" s="125">
        <f t="shared" si="86"/>
        <v>0</v>
      </c>
      <c r="F80" s="125">
        <f t="shared" si="86"/>
        <v>0</v>
      </c>
      <c r="G80" s="126">
        <v>0</v>
      </c>
      <c r="H80" s="37"/>
      <c r="I80" s="38">
        <f t="shared" ref="I80:M80" si="87">I79*I78</f>
        <v>0</v>
      </c>
      <c r="J80" s="39">
        <f t="shared" si="87"/>
        <v>0</v>
      </c>
      <c r="K80" s="39">
        <f t="shared" si="87"/>
        <v>0</v>
      </c>
      <c r="L80" s="39">
        <f t="shared" si="87"/>
        <v>0</v>
      </c>
      <c r="M80" s="39">
        <f t="shared" si="87"/>
        <v>0</v>
      </c>
      <c r="N80" s="127">
        <v>0</v>
      </c>
      <c r="O80" s="40" t="s">
        <v>68</v>
      </c>
      <c r="P80" s="44">
        <f>SUM(B80:G80,I80:N80)</f>
        <v>0</v>
      </c>
      <c r="Q80" s="42">
        <f>'GENEL HASILAT'!AD30-P80</f>
        <v>0</v>
      </c>
      <c r="R80" s="422"/>
    </row>
    <row r="81" spans="1:18" s="20" customFormat="1" ht="12.75" customHeight="1" thickTop="1" thickBot="1" x14ac:dyDescent="0.25">
      <c r="A81" s="419">
        <f>'GENEL HASILAT'!A31</f>
        <v>45590</v>
      </c>
      <c r="B81" s="121">
        <f>$B$8</f>
        <v>60</v>
      </c>
      <c r="C81" s="122">
        <f>$C$8</f>
        <v>85</v>
      </c>
      <c r="D81" s="122">
        <f>$D$8</f>
        <v>125</v>
      </c>
      <c r="E81" s="122">
        <f>$E$8</f>
        <v>140</v>
      </c>
      <c r="F81" s="122">
        <f>$F$8</f>
        <v>200</v>
      </c>
      <c r="G81" s="101" t="e">
        <f t="shared" ref="G81" si="88">G83/G82</f>
        <v>#DIV/0!</v>
      </c>
      <c r="H81" s="30"/>
      <c r="I81" s="31">
        <f>$I$8</f>
        <v>70</v>
      </c>
      <c r="J81" s="32">
        <f>$J$8</f>
        <v>110</v>
      </c>
      <c r="K81" s="32">
        <f>$K$8</f>
        <v>135</v>
      </c>
      <c r="L81" s="32">
        <f>$L$8</f>
        <v>180</v>
      </c>
      <c r="M81" s="32">
        <f>$M$8</f>
        <v>245</v>
      </c>
      <c r="N81" s="33" t="e">
        <f t="shared" ref="N81" si="89">N83/N82</f>
        <v>#DIV/0!</v>
      </c>
      <c r="O81" s="18"/>
      <c r="P81" s="43"/>
      <c r="Q81" s="17"/>
      <c r="R81" s="18"/>
    </row>
    <row r="82" spans="1:18" s="20" customFormat="1" ht="12.75" customHeight="1" thickTop="1" thickBot="1" x14ac:dyDescent="0.25">
      <c r="A82" s="420"/>
      <c r="B82" s="123"/>
      <c r="C82" s="97"/>
      <c r="D82" s="97"/>
      <c r="E82" s="97"/>
      <c r="F82" s="97"/>
      <c r="G82" s="98"/>
      <c r="H82" s="100"/>
      <c r="I82" s="99"/>
      <c r="J82" s="97"/>
      <c r="K82" s="97"/>
      <c r="L82" s="97"/>
      <c r="M82" s="97"/>
      <c r="N82" s="98"/>
      <c r="O82" s="35" t="s">
        <v>67</v>
      </c>
      <c r="P82" s="36">
        <f>P83/120*100</f>
        <v>0</v>
      </c>
      <c r="Q82" s="17"/>
      <c r="R82" s="421"/>
    </row>
    <row r="83" spans="1:18" s="20" customFormat="1" ht="12.75" customHeight="1" thickTop="1" thickBot="1" x14ac:dyDescent="0.25">
      <c r="A83" s="420"/>
      <c r="B83" s="124">
        <f t="shared" ref="B83:F83" si="90">B82*B81</f>
        <v>0</v>
      </c>
      <c r="C83" s="125">
        <f t="shared" si="90"/>
        <v>0</v>
      </c>
      <c r="D83" s="125">
        <f t="shared" si="90"/>
        <v>0</v>
      </c>
      <c r="E83" s="125">
        <f t="shared" si="90"/>
        <v>0</v>
      </c>
      <c r="F83" s="125">
        <f t="shared" si="90"/>
        <v>0</v>
      </c>
      <c r="G83" s="126">
        <v>0</v>
      </c>
      <c r="H83" s="37"/>
      <c r="I83" s="38">
        <f t="shared" ref="I83:M83" si="91">I82*I81</f>
        <v>0</v>
      </c>
      <c r="J83" s="39">
        <f t="shared" si="91"/>
        <v>0</v>
      </c>
      <c r="K83" s="39">
        <f t="shared" si="91"/>
        <v>0</v>
      </c>
      <c r="L83" s="39">
        <f t="shared" si="91"/>
        <v>0</v>
      </c>
      <c r="M83" s="39">
        <f t="shared" si="91"/>
        <v>0</v>
      </c>
      <c r="N83" s="127">
        <v>0</v>
      </c>
      <c r="O83" s="40" t="s">
        <v>68</v>
      </c>
      <c r="P83" s="44">
        <f>SUM(B83:G83,I83:N83)</f>
        <v>0</v>
      </c>
      <c r="Q83" s="42">
        <f>'GENEL HASILAT'!AD31-P83</f>
        <v>0</v>
      </c>
      <c r="R83" s="422"/>
    </row>
    <row r="84" spans="1:18" s="20" customFormat="1" ht="12.75" customHeight="1" thickTop="1" thickBot="1" x14ac:dyDescent="0.25">
      <c r="A84" s="419">
        <f>'GENEL HASILAT'!A32</f>
        <v>45591</v>
      </c>
      <c r="B84" s="121">
        <f>$B$8</f>
        <v>60</v>
      </c>
      <c r="C84" s="122">
        <f>$C$8</f>
        <v>85</v>
      </c>
      <c r="D84" s="122">
        <f>$D$8</f>
        <v>125</v>
      </c>
      <c r="E84" s="122">
        <f>$E$8</f>
        <v>140</v>
      </c>
      <c r="F84" s="122">
        <f>$F$8</f>
        <v>200</v>
      </c>
      <c r="G84" s="101" t="e">
        <f t="shared" ref="G84" si="92">G86/G85</f>
        <v>#DIV/0!</v>
      </c>
      <c r="H84" s="30"/>
      <c r="I84" s="31">
        <f>$I$8</f>
        <v>70</v>
      </c>
      <c r="J84" s="32">
        <f>$J$8</f>
        <v>110</v>
      </c>
      <c r="K84" s="32">
        <f>$K$8</f>
        <v>135</v>
      </c>
      <c r="L84" s="32">
        <f>$L$8</f>
        <v>180</v>
      </c>
      <c r="M84" s="32">
        <f>$M$8</f>
        <v>245</v>
      </c>
      <c r="N84" s="33" t="e">
        <f t="shared" ref="N84" si="93">N86/N85</f>
        <v>#DIV/0!</v>
      </c>
      <c r="O84" s="18"/>
      <c r="P84" s="43"/>
      <c r="Q84" s="17"/>
      <c r="R84" s="18"/>
    </row>
    <row r="85" spans="1:18" s="20" customFormat="1" ht="12.75" customHeight="1" thickTop="1" thickBot="1" x14ac:dyDescent="0.25">
      <c r="A85" s="420"/>
      <c r="B85" s="123"/>
      <c r="C85" s="97"/>
      <c r="D85" s="97"/>
      <c r="E85" s="97"/>
      <c r="F85" s="97"/>
      <c r="G85" s="98"/>
      <c r="H85" s="100"/>
      <c r="I85" s="99"/>
      <c r="J85" s="97"/>
      <c r="K85" s="97"/>
      <c r="L85" s="97"/>
      <c r="M85" s="97"/>
      <c r="N85" s="98"/>
      <c r="O85" s="35" t="s">
        <v>67</v>
      </c>
      <c r="P85" s="36">
        <f>P86/120*100</f>
        <v>0</v>
      </c>
      <c r="Q85" s="17"/>
      <c r="R85" s="421"/>
    </row>
    <row r="86" spans="1:18" s="20" customFormat="1" ht="12.75" customHeight="1" thickTop="1" thickBot="1" x14ac:dyDescent="0.25">
      <c r="A86" s="420"/>
      <c r="B86" s="124">
        <f t="shared" ref="B86:F86" si="94">B85*B84</f>
        <v>0</v>
      </c>
      <c r="C86" s="125">
        <f t="shared" si="94"/>
        <v>0</v>
      </c>
      <c r="D86" s="125">
        <f t="shared" si="94"/>
        <v>0</v>
      </c>
      <c r="E86" s="125">
        <f t="shared" si="94"/>
        <v>0</v>
      </c>
      <c r="F86" s="125">
        <f t="shared" si="94"/>
        <v>0</v>
      </c>
      <c r="G86" s="126">
        <v>0</v>
      </c>
      <c r="H86" s="37"/>
      <c r="I86" s="38">
        <f t="shared" ref="I86:M86" si="95">I85*I84</f>
        <v>0</v>
      </c>
      <c r="J86" s="39">
        <f t="shared" si="95"/>
        <v>0</v>
      </c>
      <c r="K86" s="39">
        <f t="shared" si="95"/>
        <v>0</v>
      </c>
      <c r="L86" s="39">
        <f t="shared" si="95"/>
        <v>0</v>
      </c>
      <c r="M86" s="39">
        <f t="shared" si="95"/>
        <v>0</v>
      </c>
      <c r="N86" s="127">
        <v>0</v>
      </c>
      <c r="O86" s="40" t="s">
        <v>68</v>
      </c>
      <c r="P86" s="44">
        <f>SUM(B86:G86,I86:N86)</f>
        <v>0</v>
      </c>
      <c r="Q86" s="42">
        <f>'GENEL HASILAT'!AD32-P86</f>
        <v>0</v>
      </c>
      <c r="R86" s="422"/>
    </row>
    <row r="87" spans="1:18" s="20" customFormat="1" ht="12.75" customHeight="1" thickTop="1" thickBot="1" x14ac:dyDescent="0.25">
      <c r="A87" s="419">
        <f>'GENEL HASILAT'!A33</f>
        <v>45592</v>
      </c>
      <c r="B87" s="121">
        <f>$B$8</f>
        <v>60</v>
      </c>
      <c r="C87" s="122">
        <f>$C$8</f>
        <v>85</v>
      </c>
      <c r="D87" s="122">
        <f>$D$8</f>
        <v>125</v>
      </c>
      <c r="E87" s="122">
        <f>$E$8</f>
        <v>140</v>
      </c>
      <c r="F87" s="122">
        <f>$F$8</f>
        <v>200</v>
      </c>
      <c r="G87" s="101" t="e">
        <f t="shared" ref="G87" si="96">G89/G88</f>
        <v>#DIV/0!</v>
      </c>
      <c r="H87" s="30"/>
      <c r="I87" s="31">
        <f>$I$8</f>
        <v>70</v>
      </c>
      <c r="J87" s="32">
        <f>$J$8</f>
        <v>110</v>
      </c>
      <c r="K87" s="32">
        <f>$K$8</f>
        <v>135</v>
      </c>
      <c r="L87" s="32">
        <f>$L$8</f>
        <v>180</v>
      </c>
      <c r="M87" s="32">
        <f>$M$8</f>
        <v>245</v>
      </c>
      <c r="N87" s="33" t="e">
        <f t="shared" ref="N87" si="97">N89/N88</f>
        <v>#DIV/0!</v>
      </c>
      <c r="O87" s="18"/>
      <c r="P87" s="43"/>
      <c r="Q87" s="17"/>
      <c r="R87" s="18"/>
    </row>
    <row r="88" spans="1:18" s="20" customFormat="1" ht="12.75" customHeight="1" thickTop="1" thickBot="1" x14ac:dyDescent="0.25">
      <c r="A88" s="420"/>
      <c r="B88" s="123"/>
      <c r="C88" s="97"/>
      <c r="D88" s="97"/>
      <c r="E88" s="97"/>
      <c r="F88" s="97"/>
      <c r="G88" s="98"/>
      <c r="H88" s="100"/>
      <c r="I88" s="99"/>
      <c r="J88" s="97"/>
      <c r="K88" s="97"/>
      <c r="L88" s="97"/>
      <c r="M88" s="97"/>
      <c r="N88" s="98"/>
      <c r="O88" s="35" t="s">
        <v>67</v>
      </c>
      <c r="P88" s="36">
        <f>P89/120*100</f>
        <v>0</v>
      </c>
      <c r="Q88" s="17"/>
      <c r="R88" s="421"/>
    </row>
    <row r="89" spans="1:18" s="20" customFormat="1" ht="12.75" customHeight="1" thickTop="1" thickBot="1" x14ac:dyDescent="0.25">
      <c r="A89" s="420"/>
      <c r="B89" s="124">
        <f t="shared" ref="B89:F89" si="98">B88*B87</f>
        <v>0</v>
      </c>
      <c r="C89" s="125">
        <f t="shared" si="98"/>
        <v>0</v>
      </c>
      <c r="D89" s="125">
        <f t="shared" si="98"/>
        <v>0</v>
      </c>
      <c r="E89" s="125">
        <f t="shared" si="98"/>
        <v>0</v>
      </c>
      <c r="F89" s="125">
        <f t="shared" si="98"/>
        <v>0</v>
      </c>
      <c r="G89" s="126">
        <v>0</v>
      </c>
      <c r="H89" s="37"/>
      <c r="I89" s="38">
        <f t="shared" ref="I89:M89" si="99">I88*I87</f>
        <v>0</v>
      </c>
      <c r="J89" s="39">
        <f t="shared" si="99"/>
        <v>0</v>
      </c>
      <c r="K89" s="39">
        <f t="shared" si="99"/>
        <v>0</v>
      </c>
      <c r="L89" s="39">
        <f t="shared" si="99"/>
        <v>0</v>
      </c>
      <c r="M89" s="39">
        <f t="shared" si="99"/>
        <v>0</v>
      </c>
      <c r="N89" s="127">
        <v>0</v>
      </c>
      <c r="O89" s="40" t="s">
        <v>68</v>
      </c>
      <c r="P89" s="44">
        <f>SUM(B89:G89,I89:N89)</f>
        <v>0</v>
      </c>
      <c r="Q89" s="42">
        <f>'GENEL HASILAT'!AD33-P89</f>
        <v>0</v>
      </c>
      <c r="R89" s="422"/>
    </row>
    <row r="90" spans="1:18" s="20" customFormat="1" ht="12.75" customHeight="1" thickTop="1" thickBot="1" x14ac:dyDescent="0.25">
      <c r="A90" s="419">
        <f>'GENEL HASILAT'!A34</f>
        <v>45593</v>
      </c>
      <c r="B90" s="121">
        <f>$B$8</f>
        <v>60</v>
      </c>
      <c r="C90" s="122">
        <f>$C$8</f>
        <v>85</v>
      </c>
      <c r="D90" s="122">
        <f>$D$8</f>
        <v>125</v>
      </c>
      <c r="E90" s="122">
        <f>$E$8</f>
        <v>140</v>
      </c>
      <c r="F90" s="122">
        <f>$F$8</f>
        <v>200</v>
      </c>
      <c r="G90" s="101" t="e">
        <f t="shared" ref="G90" si="100">G92/G91</f>
        <v>#DIV/0!</v>
      </c>
      <c r="H90" s="30"/>
      <c r="I90" s="31">
        <f>$I$8</f>
        <v>70</v>
      </c>
      <c r="J90" s="32">
        <f>$J$8</f>
        <v>110</v>
      </c>
      <c r="K90" s="32">
        <f>$K$8</f>
        <v>135</v>
      </c>
      <c r="L90" s="32">
        <f>$L$8</f>
        <v>180</v>
      </c>
      <c r="M90" s="32">
        <f>$M$8</f>
        <v>245</v>
      </c>
      <c r="N90" s="33" t="e">
        <f t="shared" ref="N90" si="101">N92/N91</f>
        <v>#DIV/0!</v>
      </c>
      <c r="O90" s="18"/>
      <c r="P90" s="43"/>
      <c r="Q90" s="17"/>
      <c r="R90" s="18"/>
    </row>
    <row r="91" spans="1:18" s="20" customFormat="1" ht="12.75" customHeight="1" thickTop="1" thickBot="1" x14ac:dyDescent="0.25">
      <c r="A91" s="420"/>
      <c r="B91" s="123"/>
      <c r="C91" s="97"/>
      <c r="D91" s="97"/>
      <c r="E91" s="97"/>
      <c r="F91" s="97"/>
      <c r="G91" s="98"/>
      <c r="H91" s="100"/>
      <c r="I91" s="99"/>
      <c r="J91" s="97"/>
      <c r="K91" s="97"/>
      <c r="L91" s="97"/>
      <c r="M91" s="97"/>
      <c r="N91" s="98"/>
      <c r="O91" s="35" t="s">
        <v>67</v>
      </c>
      <c r="P91" s="36">
        <f>P92/120*100</f>
        <v>0</v>
      </c>
      <c r="Q91" s="17"/>
      <c r="R91" s="421"/>
    </row>
    <row r="92" spans="1:18" s="20" customFormat="1" ht="12.75" customHeight="1" thickTop="1" thickBot="1" x14ac:dyDescent="0.25">
      <c r="A92" s="420"/>
      <c r="B92" s="124">
        <f t="shared" ref="B92:F92" si="102">B91*B90</f>
        <v>0</v>
      </c>
      <c r="C92" s="125">
        <f t="shared" si="102"/>
        <v>0</v>
      </c>
      <c r="D92" s="125">
        <f t="shared" si="102"/>
        <v>0</v>
      </c>
      <c r="E92" s="125">
        <f t="shared" si="102"/>
        <v>0</v>
      </c>
      <c r="F92" s="125">
        <f t="shared" si="102"/>
        <v>0</v>
      </c>
      <c r="G92" s="126">
        <v>0</v>
      </c>
      <c r="H92" s="37"/>
      <c r="I92" s="38">
        <f t="shared" ref="I92:M92" si="103">I91*I90</f>
        <v>0</v>
      </c>
      <c r="J92" s="39">
        <f t="shared" si="103"/>
        <v>0</v>
      </c>
      <c r="K92" s="39">
        <f t="shared" si="103"/>
        <v>0</v>
      </c>
      <c r="L92" s="39">
        <f t="shared" si="103"/>
        <v>0</v>
      </c>
      <c r="M92" s="39">
        <f t="shared" si="103"/>
        <v>0</v>
      </c>
      <c r="N92" s="127">
        <v>0</v>
      </c>
      <c r="O92" s="40" t="s">
        <v>68</v>
      </c>
      <c r="P92" s="44">
        <f>SUM(B92:G92,I92:N92)</f>
        <v>0</v>
      </c>
      <c r="Q92" s="42">
        <f>'GENEL HASILAT'!AD34-P92</f>
        <v>0</v>
      </c>
      <c r="R92" s="422"/>
    </row>
    <row r="93" spans="1:18" s="20" customFormat="1" ht="12.75" customHeight="1" thickTop="1" thickBot="1" x14ac:dyDescent="0.25">
      <c r="A93" s="419">
        <f>'GENEL HASILAT'!A35</f>
        <v>45594</v>
      </c>
      <c r="B93" s="121">
        <f>$B$8</f>
        <v>60</v>
      </c>
      <c r="C93" s="122">
        <f>$C$8</f>
        <v>85</v>
      </c>
      <c r="D93" s="122">
        <f>$D$8</f>
        <v>125</v>
      </c>
      <c r="E93" s="122">
        <f>$E$8</f>
        <v>140</v>
      </c>
      <c r="F93" s="122">
        <f>$F$8</f>
        <v>200</v>
      </c>
      <c r="G93" s="101" t="e">
        <f t="shared" ref="G93" si="104">G95/G94</f>
        <v>#DIV/0!</v>
      </c>
      <c r="H93" s="30"/>
      <c r="I93" s="31">
        <f>$I$8</f>
        <v>70</v>
      </c>
      <c r="J93" s="32">
        <f>$J$8</f>
        <v>110</v>
      </c>
      <c r="K93" s="32">
        <f>$K$8</f>
        <v>135</v>
      </c>
      <c r="L93" s="32">
        <f>$L$8</f>
        <v>180</v>
      </c>
      <c r="M93" s="32">
        <f>$M$8</f>
        <v>245</v>
      </c>
      <c r="N93" s="33" t="e">
        <f t="shared" ref="N93" si="105">N95/N94</f>
        <v>#DIV/0!</v>
      </c>
      <c r="O93" s="18"/>
      <c r="P93" s="43"/>
      <c r="Q93" s="17"/>
      <c r="R93" s="18"/>
    </row>
    <row r="94" spans="1:18" s="20" customFormat="1" ht="12.75" customHeight="1" thickTop="1" thickBot="1" x14ac:dyDescent="0.25">
      <c r="A94" s="420"/>
      <c r="B94" s="123"/>
      <c r="C94" s="97"/>
      <c r="D94" s="97"/>
      <c r="E94" s="97"/>
      <c r="F94" s="97"/>
      <c r="G94" s="98"/>
      <c r="H94" s="100"/>
      <c r="I94" s="99"/>
      <c r="J94" s="97"/>
      <c r="K94" s="97"/>
      <c r="L94" s="97"/>
      <c r="M94" s="97"/>
      <c r="N94" s="98"/>
      <c r="O94" s="35" t="s">
        <v>67</v>
      </c>
      <c r="P94" s="36">
        <f>P95/120*100</f>
        <v>0</v>
      </c>
      <c r="Q94" s="17"/>
      <c r="R94" s="421"/>
    </row>
    <row r="95" spans="1:18" s="20" customFormat="1" ht="12.75" customHeight="1" thickTop="1" thickBot="1" x14ac:dyDescent="0.25">
      <c r="A95" s="420"/>
      <c r="B95" s="124">
        <f t="shared" ref="B95:F95" si="106">B94*B93</f>
        <v>0</v>
      </c>
      <c r="C95" s="125">
        <f t="shared" si="106"/>
        <v>0</v>
      </c>
      <c r="D95" s="125">
        <f t="shared" si="106"/>
        <v>0</v>
      </c>
      <c r="E95" s="125">
        <f t="shared" si="106"/>
        <v>0</v>
      </c>
      <c r="F95" s="125">
        <f t="shared" si="106"/>
        <v>0</v>
      </c>
      <c r="G95" s="126">
        <v>0</v>
      </c>
      <c r="H95" s="37"/>
      <c r="I95" s="38">
        <f t="shared" ref="I95:M95" si="107">I94*I93</f>
        <v>0</v>
      </c>
      <c r="J95" s="39">
        <f t="shared" si="107"/>
        <v>0</v>
      </c>
      <c r="K95" s="39">
        <f t="shared" si="107"/>
        <v>0</v>
      </c>
      <c r="L95" s="39">
        <f t="shared" si="107"/>
        <v>0</v>
      </c>
      <c r="M95" s="39">
        <f t="shared" si="107"/>
        <v>0</v>
      </c>
      <c r="N95" s="127">
        <v>0</v>
      </c>
      <c r="O95" s="40" t="s">
        <v>68</v>
      </c>
      <c r="P95" s="44">
        <f>SUM(B95:G95,I95:N95)</f>
        <v>0</v>
      </c>
      <c r="Q95" s="42">
        <f>'GENEL HASILAT'!AD35-P95</f>
        <v>0</v>
      </c>
      <c r="R95" s="422"/>
    </row>
    <row r="96" spans="1:18" s="20" customFormat="1" ht="12.75" customHeight="1" thickTop="1" thickBot="1" x14ac:dyDescent="0.25">
      <c r="A96" s="419">
        <f>'GENEL HASILAT'!A36</f>
        <v>45595</v>
      </c>
      <c r="B96" s="121">
        <f>$B$8</f>
        <v>60</v>
      </c>
      <c r="C96" s="122">
        <f>$C$8</f>
        <v>85</v>
      </c>
      <c r="D96" s="122">
        <f>$D$8</f>
        <v>125</v>
      </c>
      <c r="E96" s="122">
        <f>$E$8</f>
        <v>140</v>
      </c>
      <c r="F96" s="122">
        <f>$F$8</f>
        <v>200</v>
      </c>
      <c r="G96" s="101" t="e">
        <f t="shared" ref="G96" si="108">G98/G97</f>
        <v>#DIV/0!</v>
      </c>
      <c r="H96" s="30"/>
      <c r="I96" s="31">
        <f>$I$8</f>
        <v>70</v>
      </c>
      <c r="J96" s="32">
        <f>$J$8</f>
        <v>110</v>
      </c>
      <c r="K96" s="32">
        <f>$K$8</f>
        <v>135</v>
      </c>
      <c r="L96" s="32">
        <f>$L$8</f>
        <v>180</v>
      </c>
      <c r="M96" s="32">
        <f>$M$8</f>
        <v>245</v>
      </c>
      <c r="N96" s="33" t="e">
        <f t="shared" ref="N96" si="109">N98/N97</f>
        <v>#DIV/0!</v>
      </c>
      <c r="O96" s="18"/>
      <c r="P96" s="43"/>
      <c r="Q96" s="17"/>
      <c r="R96" s="18"/>
    </row>
    <row r="97" spans="1:18" s="20" customFormat="1" ht="12.75" customHeight="1" thickTop="1" thickBot="1" x14ac:dyDescent="0.25">
      <c r="A97" s="420"/>
      <c r="B97" s="123"/>
      <c r="C97" s="97"/>
      <c r="D97" s="97"/>
      <c r="E97" s="97"/>
      <c r="F97" s="97"/>
      <c r="G97" s="98"/>
      <c r="H97" s="100"/>
      <c r="I97" s="99"/>
      <c r="J97" s="97"/>
      <c r="K97" s="97"/>
      <c r="L97" s="97"/>
      <c r="M97" s="97"/>
      <c r="N97" s="98"/>
      <c r="O97" s="35" t="s">
        <v>67</v>
      </c>
      <c r="P97" s="36">
        <f>P98/120*100</f>
        <v>0</v>
      </c>
      <c r="Q97" s="17"/>
      <c r="R97" s="421"/>
    </row>
    <row r="98" spans="1:18" s="20" customFormat="1" ht="12.75" customHeight="1" thickTop="1" thickBot="1" x14ac:dyDescent="0.25">
      <c r="A98" s="420"/>
      <c r="B98" s="124">
        <f t="shared" ref="B98:F98" si="110">B97*B96</f>
        <v>0</v>
      </c>
      <c r="C98" s="125">
        <f t="shared" si="110"/>
        <v>0</v>
      </c>
      <c r="D98" s="125">
        <f t="shared" si="110"/>
        <v>0</v>
      </c>
      <c r="E98" s="125">
        <f t="shared" si="110"/>
        <v>0</v>
      </c>
      <c r="F98" s="125">
        <f t="shared" si="110"/>
        <v>0</v>
      </c>
      <c r="G98" s="126">
        <v>0</v>
      </c>
      <c r="H98" s="37"/>
      <c r="I98" s="38">
        <f t="shared" ref="I98:M98" si="111">I97*I96</f>
        <v>0</v>
      </c>
      <c r="J98" s="39">
        <f t="shared" si="111"/>
        <v>0</v>
      </c>
      <c r="K98" s="39">
        <f t="shared" si="111"/>
        <v>0</v>
      </c>
      <c r="L98" s="39">
        <f t="shared" si="111"/>
        <v>0</v>
      </c>
      <c r="M98" s="39">
        <f t="shared" si="111"/>
        <v>0</v>
      </c>
      <c r="N98" s="127">
        <v>0</v>
      </c>
      <c r="O98" s="40" t="s">
        <v>68</v>
      </c>
      <c r="P98" s="44">
        <f>SUM(B98:G98,I98:N98)</f>
        <v>0</v>
      </c>
      <c r="Q98" s="42">
        <f>'GENEL HASILAT'!AD36-P98</f>
        <v>0</v>
      </c>
      <c r="R98" s="422"/>
    </row>
    <row r="99" spans="1:18" s="20" customFormat="1" ht="12.75" customHeight="1" thickTop="1" thickBot="1" x14ac:dyDescent="0.25">
      <c r="A99" s="419">
        <f>'GENEL HASILAT'!A37</f>
        <v>45596</v>
      </c>
      <c r="B99" s="121">
        <f>$B$8</f>
        <v>60</v>
      </c>
      <c r="C99" s="122">
        <f>$C$8</f>
        <v>85</v>
      </c>
      <c r="D99" s="122">
        <f>$D$8</f>
        <v>125</v>
      </c>
      <c r="E99" s="122">
        <f>$E$8</f>
        <v>140</v>
      </c>
      <c r="F99" s="122">
        <f>$F$8</f>
        <v>200</v>
      </c>
      <c r="G99" s="101" t="e">
        <f t="shared" ref="G99" si="112">G101/G100</f>
        <v>#DIV/0!</v>
      </c>
      <c r="H99" s="30"/>
      <c r="I99" s="31">
        <f>$I$8</f>
        <v>70</v>
      </c>
      <c r="J99" s="32">
        <f>$J$8</f>
        <v>110</v>
      </c>
      <c r="K99" s="32">
        <f>$K$8</f>
        <v>135</v>
      </c>
      <c r="L99" s="32">
        <f>$L$8</f>
        <v>180</v>
      </c>
      <c r="M99" s="32">
        <f>$M$8</f>
        <v>245</v>
      </c>
      <c r="N99" s="33" t="e">
        <f t="shared" ref="N99" si="113">N101/N100</f>
        <v>#DIV/0!</v>
      </c>
      <c r="O99" s="18"/>
      <c r="P99" s="43"/>
      <c r="Q99" s="17"/>
      <c r="R99" s="18"/>
    </row>
    <row r="100" spans="1:18" s="20" customFormat="1" ht="12.75" customHeight="1" thickTop="1" thickBot="1" x14ac:dyDescent="0.25">
      <c r="A100" s="420"/>
      <c r="B100" s="123"/>
      <c r="C100" s="97"/>
      <c r="D100" s="97"/>
      <c r="E100" s="97"/>
      <c r="F100" s="97"/>
      <c r="G100" s="98"/>
      <c r="H100" s="100"/>
      <c r="I100" s="99"/>
      <c r="J100" s="97"/>
      <c r="K100" s="97"/>
      <c r="L100" s="97"/>
      <c r="M100" s="97"/>
      <c r="N100" s="98"/>
      <c r="O100" s="35" t="s">
        <v>67</v>
      </c>
      <c r="P100" s="36">
        <f>P101/120*100</f>
        <v>0</v>
      </c>
      <c r="Q100" s="17"/>
      <c r="R100" s="421"/>
    </row>
    <row r="101" spans="1:18" s="20" customFormat="1" ht="12.75" customHeight="1" thickTop="1" thickBot="1" x14ac:dyDescent="0.25">
      <c r="A101" s="420"/>
      <c r="B101" s="124">
        <f t="shared" ref="B101:F101" si="114">B100*B99</f>
        <v>0</v>
      </c>
      <c r="C101" s="125">
        <f t="shared" si="114"/>
        <v>0</v>
      </c>
      <c r="D101" s="125">
        <f t="shared" si="114"/>
        <v>0</v>
      </c>
      <c r="E101" s="125">
        <f t="shared" si="114"/>
        <v>0</v>
      </c>
      <c r="F101" s="125">
        <f t="shared" si="114"/>
        <v>0</v>
      </c>
      <c r="G101" s="126">
        <v>0</v>
      </c>
      <c r="H101" s="37"/>
      <c r="I101" s="283">
        <f t="shared" ref="I101:M101" si="115">I100*I99</f>
        <v>0</v>
      </c>
      <c r="J101" s="284">
        <f t="shared" si="115"/>
        <v>0</v>
      </c>
      <c r="K101" s="284">
        <f t="shared" si="115"/>
        <v>0</v>
      </c>
      <c r="L101" s="284">
        <f t="shared" si="115"/>
        <v>0</v>
      </c>
      <c r="M101" s="284">
        <f t="shared" si="115"/>
        <v>0</v>
      </c>
      <c r="N101" s="285">
        <v>0</v>
      </c>
      <c r="O101" s="40" t="s">
        <v>68</v>
      </c>
      <c r="P101" s="44">
        <f>SUM(B101:G101,I101:N101)</f>
        <v>0</v>
      </c>
      <c r="Q101" s="42">
        <f>'GENEL HASILAT'!AD37-P101</f>
        <v>0</v>
      </c>
      <c r="R101" s="422"/>
    </row>
    <row r="102" spans="1:18" s="20" customFormat="1" ht="12.75" customHeight="1" thickBot="1" x14ac:dyDescent="0.25">
      <c r="A102" s="23"/>
      <c r="P102" s="45"/>
      <c r="Q102" s="46"/>
    </row>
    <row r="103" spans="1:18" s="20" customFormat="1" ht="12.75" customHeight="1" thickTop="1" x14ac:dyDescent="0.2">
      <c r="A103" s="153" t="s">
        <v>71</v>
      </c>
      <c r="B103" s="156">
        <f>B10+B13+B16+B19+B22+B25+B28+B31+B34+B37+B40+B43+B46+B49+B52+B55+B58+B61+B64+B67+B70+B73+B76+B79+B82+B85+B88+B91+B94+B97+B100</f>
        <v>4406</v>
      </c>
      <c r="C103" s="157">
        <f t="shared" ref="C103:H103" si="116">C10+C13+C16+C19+C22+C25+C28+C31+C34+C37+C40+C43+C46+C49+C52+C55+C58+C61+C64+C67+C70+C73+C76+C79+C82+C85+C88+C91+C94+C97+C100</f>
        <v>4088</v>
      </c>
      <c r="D103" s="157">
        <f t="shared" si="116"/>
        <v>348</v>
      </c>
      <c r="E103" s="157">
        <f t="shared" si="116"/>
        <v>267</v>
      </c>
      <c r="F103" s="157">
        <f t="shared" si="116"/>
        <v>214</v>
      </c>
      <c r="G103" s="158">
        <f t="shared" si="116"/>
        <v>3973</v>
      </c>
      <c r="H103" s="164">
        <f t="shared" si="116"/>
        <v>0</v>
      </c>
      <c r="I103" s="156">
        <f t="shared" ref="I103:N103" si="117">I10+I13+I16+I19+I22+I25+I28+I31+I34+I37+I40+I43+I46+I49+I52+I55+I58+I61+I64+I67+I70+I73+I76+I79+I82+I85+I88+I91+I94+I97+I100</f>
        <v>1835</v>
      </c>
      <c r="J103" s="157">
        <f t="shared" si="117"/>
        <v>1635</v>
      </c>
      <c r="K103" s="157">
        <f t="shared" si="117"/>
        <v>273</v>
      </c>
      <c r="L103" s="157">
        <f t="shared" si="117"/>
        <v>36</v>
      </c>
      <c r="M103" s="157">
        <f t="shared" si="117"/>
        <v>7</v>
      </c>
      <c r="N103" s="158">
        <f t="shared" si="117"/>
        <v>11</v>
      </c>
      <c r="O103" s="62"/>
      <c r="P103" s="63">
        <f>SUM(B103:G103,I103:N103)</f>
        <v>17093</v>
      </c>
      <c r="Q103" s="46"/>
    </row>
    <row r="104" spans="1:18" s="20" customFormat="1" ht="12.75" customHeight="1" x14ac:dyDescent="0.2">
      <c r="A104" s="154" t="s">
        <v>69</v>
      </c>
      <c r="B104" s="159">
        <f t="shared" ref="B104:G104" si="118">+B101+B98+B95+B92+B89+B86+B83+B80+B77+B74+B71+B68+B65+B62+B59+B56+B53+B50+B47+B44+B41+B38+B35+B32+B29+B26+B23+B20+B17+B14+B11</f>
        <v>264360</v>
      </c>
      <c r="C104" s="60">
        <f t="shared" si="118"/>
        <v>347480</v>
      </c>
      <c r="D104" s="60">
        <f t="shared" si="118"/>
        <v>43500</v>
      </c>
      <c r="E104" s="60">
        <f t="shared" si="118"/>
        <v>37380</v>
      </c>
      <c r="F104" s="60">
        <f t="shared" si="118"/>
        <v>42800</v>
      </c>
      <c r="G104" s="160">
        <f t="shared" si="118"/>
        <v>3198130</v>
      </c>
      <c r="H104" s="47"/>
      <c r="I104" s="159">
        <f t="shared" ref="I104:N104" si="119">+I101+I98+I95+I92+I89+I86+I83+I80+I77+I74+I71+I68+I65+I62+I59+I56+I53+I50+I47+I44+I41+I38+I35+I32+I29+I26+I23+I20+I17+I14+I11</f>
        <v>128450</v>
      </c>
      <c r="J104" s="60">
        <f t="shared" si="119"/>
        <v>179850</v>
      </c>
      <c r="K104" s="60">
        <f t="shared" si="119"/>
        <v>36855</v>
      </c>
      <c r="L104" s="60">
        <f t="shared" si="119"/>
        <v>6480</v>
      </c>
      <c r="M104" s="60">
        <f t="shared" si="119"/>
        <v>1715</v>
      </c>
      <c r="N104" s="160">
        <f t="shared" si="119"/>
        <v>11615</v>
      </c>
      <c r="O104" s="48"/>
      <c r="P104" s="61">
        <f>B104+C104+D104+E104+F104+G104+I104+J104+K104+L104+M104+N104</f>
        <v>4298615</v>
      </c>
      <c r="Q104" s="49"/>
    </row>
    <row r="105" spans="1:18" s="53" customFormat="1" ht="12.75" customHeight="1" thickBot="1" x14ac:dyDescent="0.25">
      <c r="A105" s="155" t="s">
        <v>70</v>
      </c>
      <c r="B105" s="161">
        <f t="shared" ref="B105:G105" si="120">B104/120*100</f>
        <v>220300</v>
      </c>
      <c r="C105" s="162">
        <f t="shared" si="120"/>
        <v>289566.66666666663</v>
      </c>
      <c r="D105" s="162">
        <f t="shared" si="120"/>
        <v>36250</v>
      </c>
      <c r="E105" s="162">
        <f t="shared" si="120"/>
        <v>31150</v>
      </c>
      <c r="F105" s="162">
        <f t="shared" si="120"/>
        <v>35666.666666666672</v>
      </c>
      <c r="G105" s="163">
        <f t="shared" si="120"/>
        <v>2665108.333333333</v>
      </c>
      <c r="H105" s="50"/>
      <c r="I105" s="161">
        <f t="shared" ref="I105:N105" si="121">I104/120*100</f>
        <v>107041.66666666667</v>
      </c>
      <c r="J105" s="162">
        <f t="shared" si="121"/>
        <v>149875</v>
      </c>
      <c r="K105" s="162">
        <f t="shared" si="121"/>
        <v>30712.5</v>
      </c>
      <c r="L105" s="162">
        <f t="shared" si="121"/>
        <v>5400</v>
      </c>
      <c r="M105" s="162">
        <f t="shared" si="121"/>
        <v>1429.1666666666665</v>
      </c>
      <c r="N105" s="163">
        <f t="shared" si="121"/>
        <v>9679.1666666666679</v>
      </c>
      <c r="O105" s="51"/>
      <c r="P105" s="52">
        <f>B105+C105+D105+E105+F105+G105+I105+J105+K105+L105+M105+N105</f>
        <v>3582179.1666666656</v>
      </c>
      <c r="Q105" s="68">
        <f>SUM(Q11:Q101)</f>
        <v>35030</v>
      </c>
    </row>
    <row r="106" spans="1:18" ht="12.75" customHeight="1" thickTop="1" x14ac:dyDescent="0.2">
      <c r="P106" s="55"/>
    </row>
    <row r="107" spans="1:18" ht="12.75" customHeight="1" x14ac:dyDescent="0.2">
      <c r="P107" s="56"/>
    </row>
    <row r="108" spans="1:18" s="58" customFormat="1" ht="12.75" customHeight="1" x14ac:dyDescent="0.2">
      <c r="A108" s="418"/>
      <c r="B108" s="418"/>
      <c r="C108" s="418"/>
      <c r="D108" s="418"/>
      <c r="E108" s="418"/>
      <c r="F108" s="418"/>
      <c r="G108" s="418"/>
      <c r="H108" s="418"/>
      <c r="I108" s="418"/>
      <c r="J108" s="418"/>
      <c r="K108" s="418"/>
      <c r="L108" s="418"/>
      <c r="M108" s="418"/>
      <c r="N108" s="418"/>
      <c r="O108" s="418"/>
      <c r="P108" s="418"/>
      <c r="Q108" s="57"/>
    </row>
    <row r="109" spans="1:18" s="58" customFormat="1" ht="12.75" customHeight="1" x14ac:dyDescent="0.2">
      <c r="A109" s="418"/>
      <c r="B109" s="418"/>
      <c r="C109" s="418"/>
      <c r="D109" s="418"/>
      <c r="E109" s="418"/>
      <c r="F109" s="418"/>
      <c r="G109" s="418"/>
      <c r="H109" s="418"/>
      <c r="I109" s="418"/>
      <c r="J109" s="418"/>
      <c r="K109" s="418"/>
      <c r="L109" s="418"/>
      <c r="M109" s="418"/>
      <c r="N109" s="418"/>
      <c r="O109" s="418"/>
      <c r="P109" s="418"/>
      <c r="Q109" s="57"/>
    </row>
    <row r="110" spans="1:18" s="58" customFormat="1" ht="12.75" customHeight="1" x14ac:dyDescent="0.2">
      <c r="A110" s="418"/>
      <c r="B110" s="418"/>
      <c r="C110" s="418"/>
      <c r="D110" s="418"/>
      <c r="E110" s="418"/>
      <c r="F110" s="418"/>
      <c r="G110" s="418"/>
      <c r="H110" s="418"/>
      <c r="I110" s="418"/>
      <c r="J110" s="418"/>
      <c r="K110" s="418"/>
      <c r="L110" s="418"/>
      <c r="M110" s="418"/>
      <c r="N110" s="418"/>
      <c r="O110" s="418"/>
      <c r="P110" s="418"/>
      <c r="Q110" s="57"/>
    </row>
    <row r="111" spans="1:18" s="58" customFormat="1" ht="12.75" customHeight="1" x14ac:dyDescent="0.2">
      <c r="A111" s="418"/>
      <c r="B111" s="418"/>
      <c r="C111" s="418"/>
      <c r="D111" s="418"/>
      <c r="E111" s="418"/>
      <c r="F111" s="418"/>
      <c r="G111" s="418"/>
      <c r="H111" s="418"/>
      <c r="I111" s="418"/>
      <c r="J111" s="418"/>
      <c r="K111" s="418"/>
      <c r="L111" s="418"/>
      <c r="M111" s="418"/>
      <c r="N111" s="418"/>
      <c r="O111" s="418"/>
      <c r="P111" s="418"/>
      <c r="Q111" s="57"/>
    </row>
    <row r="112" spans="1:18" ht="12.75" customHeight="1" x14ac:dyDescent="0.2">
      <c r="A112" s="418"/>
      <c r="B112" s="418"/>
      <c r="C112" s="418"/>
      <c r="D112" s="418"/>
      <c r="E112" s="418"/>
      <c r="F112" s="418"/>
      <c r="G112" s="418"/>
      <c r="H112" s="418"/>
      <c r="I112" s="418"/>
      <c r="J112" s="418"/>
      <c r="K112" s="418"/>
      <c r="L112" s="418"/>
      <c r="M112" s="418"/>
      <c r="N112" s="418"/>
      <c r="O112" s="418"/>
      <c r="P112" s="418"/>
    </row>
    <row r="113" spans="1:16" ht="12.75" customHeight="1" x14ac:dyDescent="0.2">
      <c r="A113" s="418"/>
      <c r="B113" s="418"/>
      <c r="C113" s="418"/>
      <c r="D113" s="418"/>
      <c r="E113" s="418"/>
      <c r="F113" s="418"/>
      <c r="G113" s="418"/>
      <c r="H113" s="418"/>
      <c r="I113" s="418"/>
      <c r="J113" s="418"/>
      <c r="K113" s="418"/>
      <c r="L113" s="418"/>
      <c r="M113" s="418"/>
      <c r="N113" s="418"/>
      <c r="O113" s="418"/>
      <c r="P113" s="418"/>
    </row>
    <row r="115" spans="1:16" ht="12.75" customHeight="1" x14ac:dyDescent="0.2">
      <c r="C115" s="59"/>
    </row>
  </sheetData>
  <sheetProtection sheet="1" objects="1" scenarios="1" selectLockedCells="1"/>
  <mergeCells count="82">
    <mergeCell ref="A2:P2"/>
    <mergeCell ref="B4:G4"/>
    <mergeCell ref="I4:N4"/>
    <mergeCell ref="A6:A7"/>
    <mergeCell ref="B6:B7"/>
    <mergeCell ref="C6:C7"/>
    <mergeCell ref="D6:D7"/>
    <mergeCell ref="M6:M7"/>
    <mergeCell ref="E6:E7"/>
    <mergeCell ref="F6:F7"/>
    <mergeCell ref="K6:K7"/>
    <mergeCell ref="P6:P7"/>
    <mergeCell ref="N6:N7"/>
    <mergeCell ref="L6:L7"/>
    <mergeCell ref="R6:R7"/>
    <mergeCell ref="R25:R26"/>
    <mergeCell ref="A27:A29"/>
    <mergeCell ref="R28:R29"/>
    <mergeCell ref="R10:R11"/>
    <mergeCell ref="R19:R20"/>
    <mergeCell ref="R16:R17"/>
    <mergeCell ref="A18:A20"/>
    <mergeCell ref="A21:A23"/>
    <mergeCell ref="R22:R23"/>
    <mergeCell ref="G6:G7"/>
    <mergeCell ref="I6:I7"/>
    <mergeCell ref="J6:J7"/>
    <mergeCell ref="A12:A14"/>
    <mergeCell ref="R13:R14"/>
    <mergeCell ref="Q6:Q7"/>
    <mergeCell ref="A24:A26"/>
    <mergeCell ref="A15:A17"/>
    <mergeCell ref="A45:A47"/>
    <mergeCell ref="A30:A32"/>
    <mergeCell ref="A9:A11"/>
    <mergeCell ref="R31:R32"/>
    <mergeCell ref="A48:A50"/>
    <mergeCell ref="R49:R50"/>
    <mergeCell ref="A42:A44"/>
    <mergeCell ref="R43:R44"/>
    <mergeCell ref="R37:R38"/>
    <mergeCell ref="R46:R47"/>
    <mergeCell ref="A33:A35"/>
    <mergeCell ref="R34:R35"/>
    <mergeCell ref="A36:A38"/>
    <mergeCell ref="A39:A41"/>
    <mergeCell ref="R40:R41"/>
    <mergeCell ref="A51:A53"/>
    <mergeCell ref="R52:R53"/>
    <mergeCell ref="A54:A56"/>
    <mergeCell ref="R55:R56"/>
    <mergeCell ref="A57:A59"/>
    <mergeCell ref="R58:R59"/>
    <mergeCell ref="A60:A62"/>
    <mergeCell ref="R61:R62"/>
    <mergeCell ref="A63:A65"/>
    <mergeCell ref="R64:R65"/>
    <mergeCell ref="A66:A68"/>
    <mergeCell ref="R67:R68"/>
    <mergeCell ref="A69:A71"/>
    <mergeCell ref="R70:R71"/>
    <mergeCell ref="A72:A74"/>
    <mergeCell ref="R73:R74"/>
    <mergeCell ref="A75:A77"/>
    <mergeCell ref="R76:R77"/>
    <mergeCell ref="A78:A80"/>
    <mergeCell ref="R79:R80"/>
    <mergeCell ref="A93:A95"/>
    <mergeCell ref="A81:A83"/>
    <mergeCell ref="R82:R83"/>
    <mergeCell ref="A84:A86"/>
    <mergeCell ref="R85:R86"/>
    <mergeCell ref="R94:R95"/>
    <mergeCell ref="A108:P113"/>
    <mergeCell ref="A87:A89"/>
    <mergeCell ref="R88:R89"/>
    <mergeCell ref="A90:A92"/>
    <mergeCell ref="R91:R92"/>
    <mergeCell ref="A96:A98"/>
    <mergeCell ref="R97:R98"/>
    <mergeCell ref="A99:A101"/>
    <mergeCell ref="R100:R101"/>
  </mergeCells>
  <phoneticPr fontId="18" type="noConversion"/>
  <pageMargins left="0.75" right="0.75" top="1" bottom="1" header="0.5" footer="0.5"/>
  <pageSetup paperSize="9" orientation="portrait" r:id="rId1"/>
  <headerFooter alignWithMargins="0"/>
  <ignoredErrors>
    <ignoredError sqref="G9 N9"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O43"/>
  <sheetViews>
    <sheetView zoomScale="75" workbookViewId="0">
      <pane ySplit="4" topLeftCell="A5" activePane="bottomLeft" state="frozenSplit"/>
      <selection activeCell="A7" sqref="A7:A37"/>
      <selection pane="bottomLeft" activeCell="L25" sqref="L25"/>
    </sheetView>
  </sheetViews>
  <sheetFormatPr defaultRowHeight="12" customHeight="1" x14ac:dyDescent="0.2"/>
  <cols>
    <col min="1" max="1" width="14.5703125" style="366" bestFit="1" customWidth="1"/>
    <col min="2" max="2" width="9.7109375" style="366" customWidth="1"/>
    <col min="3" max="3" width="9.85546875" style="366" customWidth="1"/>
    <col min="4" max="5" width="8.7109375" style="325" bestFit="1" customWidth="1"/>
    <col min="6" max="6" width="17.42578125" style="325" customWidth="1"/>
    <col min="7" max="10" width="8.7109375" style="325" bestFit="1" customWidth="1"/>
    <col min="11" max="11" width="19.5703125" style="325" bestFit="1" customWidth="1"/>
    <col min="12" max="12" width="14.42578125" style="325" bestFit="1" customWidth="1"/>
    <col min="13" max="13" width="12.140625" style="325" customWidth="1"/>
    <col min="14" max="14" width="11.5703125" style="325" customWidth="1"/>
    <col min="15" max="15" width="13.5703125" style="325" bestFit="1" customWidth="1"/>
    <col min="16" max="16384" width="9.140625" style="325"/>
  </cols>
  <sheetData>
    <row r="1" spans="1:15" ht="19.5" x14ac:dyDescent="0.2">
      <c r="A1" s="321"/>
      <c r="B1" s="321"/>
      <c r="C1" s="321"/>
      <c r="D1" s="321"/>
      <c r="E1" s="321"/>
      <c r="F1" s="321" t="str">
        <f>"OTOPARK ARAÇ GİRİŞ ÇIKIŞ TABLOSU " &amp; 'GENEL HASILAT'!A3</f>
        <v>OTOPARK ARAÇ GİRİŞ ÇIKIŞ TABLOSU EKİM 2024</v>
      </c>
      <c r="G1" s="321"/>
      <c r="H1" s="321"/>
      <c r="I1" s="321"/>
      <c r="J1" s="321"/>
      <c r="K1" s="321"/>
      <c r="L1" s="321"/>
      <c r="M1" s="322" t="s">
        <v>145</v>
      </c>
      <c r="N1" s="323">
        <v>2696</v>
      </c>
      <c r="O1" s="324">
        <f>'[1]OTOPARK GİRİŞ-ÇIKIŞ'!$P$34</f>
        <v>0</v>
      </c>
    </row>
    <row r="2" spans="1:15" s="327" customFormat="1" ht="17.25" customHeight="1" x14ac:dyDescent="0.2">
      <c r="A2" s="326"/>
      <c r="B2" s="447" t="s">
        <v>14</v>
      </c>
      <c r="C2" s="448"/>
      <c r="D2" s="449"/>
      <c r="E2" s="449"/>
      <c r="F2" s="450" t="s">
        <v>15</v>
      </c>
      <c r="G2" s="452" t="s">
        <v>16</v>
      </c>
      <c r="H2" s="453"/>
      <c r="I2" s="454"/>
      <c r="J2" s="454"/>
      <c r="K2" s="369" t="s">
        <v>17</v>
      </c>
      <c r="L2" s="368" t="s">
        <v>82</v>
      </c>
      <c r="M2" s="440" t="s">
        <v>6</v>
      </c>
      <c r="N2" s="441"/>
      <c r="O2" s="367" t="s">
        <v>146</v>
      </c>
    </row>
    <row r="3" spans="1:15" s="327" customFormat="1" ht="17.25" customHeight="1" x14ac:dyDescent="0.2">
      <c r="A3" s="328"/>
      <c r="B3" s="442" t="s">
        <v>18</v>
      </c>
      <c r="C3" s="443"/>
      <c r="D3" s="444" t="s">
        <v>19</v>
      </c>
      <c r="E3" s="445"/>
      <c r="F3" s="451"/>
      <c r="G3" s="444" t="s">
        <v>18</v>
      </c>
      <c r="H3" s="445"/>
      <c r="I3" s="446" t="s">
        <v>19</v>
      </c>
      <c r="J3" s="443"/>
      <c r="K3" s="329"/>
      <c r="L3" s="329"/>
      <c r="M3" s="329"/>
      <c r="N3" s="330"/>
      <c r="O3" s="331"/>
    </row>
    <row r="4" spans="1:15" s="327" customFormat="1" ht="17.25" customHeight="1" x14ac:dyDescent="0.2">
      <c r="A4" s="332" t="s">
        <v>1</v>
      </c>
      <c r="B4" s="333" t="s">
        <v>20</v>
      </c>
      <c r="C4" s="334" t="s">
        <v>21</v>
      </c>
      <c r="D4" s="333" t="s">
        <v>20</v>
      </c>
      <c r="E4" s="334" t="s">
        <v>21</v>
      </c>
      <c r="F4" s="451"/>
      <c r="G4" s="335" t="s">
        <v>20</v>
      </c>
      <c r="H4" s="336" t="s">
        <v>21</v>
      </c>
      <c r="I4" s="337" t="s">
        <v>20</v>
      </c>
      <c r="J4" s="336" t="s">
        <v>21</v>
      </c>
      <c r="K4" s="338" t="s">
        <v>21</v>
      </c>
      <c r="L4" s="333" t="s">
        <v>21</v>
      </c>
      <c r="M4" s="339" t="s">
        <v>20</v>
      </c>
      <c r="N4" s="340" t="s">
        <v>21</v>
      </c>
      <c r="O4" s="341" t="s">
        <v>147</v>
      </c>
    </row>
    <row r="5" spans="1:15" s="327" customFormat="1" ht="17.25" customHeight="1" x14ac:dyDescent="0.2">
      <c r="A5" s="342">
        <f>'GENEL HASILAT'!A7</f>
        <v>45566</v>
      </c>
      <c r="B5" s="343">
        <v>816</v>
      </c>
      <c r="C5" s="344">
        <v>820</v>
      </c>
      <c r="D5" s="343">
        <v>350</v>
      </c>
      <c r="E5" s="344">
        <v>300</v>
      </c>
      <c r="F5" s="345">
        <v>0</v>
      </c>
      <c r="G5" s="346">
        <v>329</v>
      </c>
      <c r="H5" s="347">
        <v>323</v>
      </c>
      <c r="I5" s="348">
        <v>651</v>
      </c>
      <c r="J5" s="347">
        <v>676</v>
      </c>
      <c r="K5" s="349">
        <v>21</v>
      </c>
      <c r="L5" s="343">
        <v>4</v>
      </c>
      <c r="M5" s="350">
        <f t="shared" ref="M5:M35" si="0">+G5+B5</f>
        <v>1145</v>
      </c>
      <c r="N5" s="351">
        <f t="shared" ref="N5:N35" si="1">+H5+C5</f>
        <v>1143</v>
      </c>
      <c r="O5" s="352">
        <f>$O$1+M5-N5</f>
        <v>2</v>
      </c>
    </row>
    <row r="6" spans="1:15" s="327" customFormat="1" ht="17.25" customHeight="1" x14ac:dyDescent="0.2">
      <c r="A6" s="342">
        <f>'GENEL HASILAT'!A8</f>
        <v>45567</v>
      </c>
      <c r="B6" s="343">
        <v>821</v>
      </c>
      <c r="C6" s="344">
        <v>707</v>
      </c>
      <c r="D6" s="343">
        <v>276</v>
      </c>
      <c r="E6" s="344">
        <v>236</v>
      </c>
      <c r="F6" s="345">
        <v>0</v>
      </c>
      <c r="G6" s="346">
        <v>350</v>
      </c>
      <c r="H6" s="347">
        <v>350</v>
      </c>
      <c r="I6" s="348">
        <v>616</v>
      </c>
      <c r="J6" s="347">
        <v>629</v>
      </c>
      <c r="K6" s="349">
        <v>15</v>
      </c>
      <c r="L6" s="343">
        <v>0</v>
      </c>
      <c r="M6" s="350">
        <f t="shared" si="0"/>
        <v>1171</v>
      </c>
      <c r="N6" s="351">
        <f t="shared" si="1"/>
        <v>1057</v>
      </c>
      <c r="O6" s="352">
        <f t="shared" ref="O6:O35" si="2">IF(B6&gt;0,O5+M6-N6,"0")</f>
        <v>116</v>
      </c>
    </row>
    <row r="7" spans="1:15" s="327" customFormat="1" ht="17.25" customHeight="1" x14ac:dyDescent="0.2">
      <c r="A7" s="342">
        <f>'GENEL HASILAT'!A9</f>
        <v>45568</v>
      </c>
      <c r="B7" s="343">
        <v>840</v>
      </c>
      <c r="C7" s="344">
        <v>721</v>
      </c>
      <c r="D7" s="343">
        <v>313</v>
      </c>
      <c r="E7" s="344">
        <v>266</v>
      </c>
      <c r="F7" s="345">
        <v>0</v>
      </c>
      <c r="G7" s="346">
        <v>318</v>
      </c>
      <c r="H7" s="347">
        <v>341</v>
      </c>
      <c r="I7" s="348">
        <v>733</v>
      </c>
      <c r="J7" s="347">
        <v>726</v>
      </c>
      <c r="K7" s="349">
        <v>18</v>
      </c>
      <c r="L7" s="343">
        <v>6</v>
      </c>
      <c r="M7" s="350">
        <f t="shared" si="0"/>
        <v>1158</v>
      </c>
      <c r="N7" s="351">
        <f t="shared" si="1"/>
        <v>1062</v>
      </c>
      <c r="O7" s="352">
        <f t="shared" si="2"/>
        <v>212</v>
      </c>
    </row>
    <row r="8" spans="1:15" s="327" customFormat="1" ht="17.25" customHeight="1" x14ac:dyDescent="0.2">
      <c r="A8" s="342">
        <f>'GENEL HASILAT'!A10</f>
        <v>45569</v>
      </c>
      <c r="B8" s="343">
        <v>831</v>
      </c>
      <c r="C8" s="344">
        <v>620</v>
      </c>
      <c r="D8" s="343">
        <v>351</v>
      </c>
      <c r="E8" s="344">
        <v>271</v>
      </c>
      <c r="F8" s="345">
        <v>1</v>
      </c>
      <c r="G8" s="346">
        <v>306</v>
      </c>
      <c r="H8" s="347">
        <v>329</v>
      </c>
      <c r="I8" s="348">
        <v>767</v>
      </c>
      <c r="J8" s="347">
        <v>700</v>
      </c>
      <c r="K8" s="349">
        <v>23</v>
      </c>
      <c r="L8" s="343">
        <v>6</v>
      </c>
      <c r="M8" s="350">
        <f t="shared" si="0"/>
        <v>1137</v>
      </c>
      <c r="N8" s="351">
        <f t="shared" si="1"/>
        <v>949</v>
      </c>
      <c r="O8" s="352">
        <f t="shared" si="2"/>
        <v>400</v>
      </c>
    </row>
    <row r="9" spans="1:15" s="327" customFormat="1" ht="17.25" customHeight="1" x14ac:dyDescent="0.2">
      <c r="A9" s="342">
        <f>'GENEL HASILAT'!A11</f>
        <v>45570</v>
      </c>
      <c r="B9" s="343">
        <v>728</v>
      </c>
      <c r="C9" s="344">
        <v>740</v>
      </c>
      <c r="D9" s="343">
        <v>410</v>
      </c>
      <c r="E9" s="344">
        <v>381</v>
      </c>
      <c r="F9" s="345">
        <v>0</v>
      </c>
      <c r="G9" s="346">
        <v>228</v>
      </c>
      <c r="H9" s="347">
        <v>247</v>
      </c>
      <c r="I9" s="348">
        <v>743</v>
      </c>
      <c r="J9" s="347">
        <v>699</v>
      </c>
      <c r="K9" s="349">
        <v>15</v>
      </c>
      <c r="L9" s="343">
        <v>10</v>
      </c>
      <c r="M9" s="350">
        <f t="shared" si="0"/>
        <v>956</v>
      </c>
      <c r="N9" s="351">
        <f t="shared" si="1"/>
        <v>987</v>
      </c>
      <c r="O9" s="352">
        <f t="shared" si="2"/>
        <v>369</v>
      </c>
    </row>
    <row r="10" spans="1:15" s="327" customFormat="1" ht="17.25" customHeight="1" x14ac:dyDescent="0.2">
      <c r="A10" s="342">
        <f>'GENEL HASILAT'!A12</f>
        <v>45571</v>
      </c>
      <c r="B10" s="343">
        <v>707</v>
      </c>
      <c r="C10" s="344">
        <v>943</v>
      </c>
      <c r="D10" s="343">
        <v>320</v>
      </c>
      <c r="E10" s="344">
        <v>350</v>
      </c>
      <c r="F10" s="345">
        <v>1</v>
      </c>
      <c r="G10" s="346">
        <v>224</v>
      </c>
      <c r="H10" s="347">
        <v>244</v>
      </c>
      <c r="I10" s="348">
        <v>648</v>
      </c>
      <c r="J10" s="347">
        <v>633</v>
      </c>
      <c r="K10" s="349">
        <v>17</v>
      </c>
      <c r="L10" s="343">
        <v>25</v>
      </c>
      <c r="M10" s="350">
        <f t="shared" si="0"/>
        <v>931</v>
      </c>
      <c r="N10" s="351">
        <f t="shared" si="1"/>
        <v>1187</v>
      </c>
      <c r="O10" s="352">
        <f t="shared" si="2"/>
        <v>113</v>
      </c>
    </row>
    <row r="11" spans="1:15" s="327" customFormat="1" ht="17.25" customHeight="1" x14ac:dyDescent="0.2">
      <c r="A11" s="342">
        <f>'GENEL HASILAT'!A13</f>
        <v>45572</v>
      </c>
      <c r="B11" s="343">
        <v>715</v>
      </c>
      <c r="C11" s="344">
        <v>736</v>
      </c>
      <c r="D11" s="343">
        <v>326</v>
      </c>
      <c r="E11" s="344">
        <v>308</v>
      </c>
      <c r="F11" s="345">
        <v>1</v>
      </c>
      <c r="G11" s="346">
        <v>324</v>
      </c>
      <c r="H11" s="347">
        <v>349</v>
      </c>
      <c r="I11" s="348">
        <v>721</v>
      </c>
      <c r="J11" s="347">
        <v>694</v>
      </c>
      <c r="K11" s="349">
        <v>12</v>
      </c>
      <c r="L11" s="343">
        <v>7</v>
      </c>
      <c r="M11" s="350">
        <f t="shared" si="0"/>
        <v>1039</v>
      </c>
      <c r="N11" s="351">
        <f t="shared" si="1"/>
        <v>1085</v>
      </c>
      <c r="O11" s="352">
        <f t="shared" si="2"/>
        <v>67</v>
      </c>
    </row>
    <row r="12" spans="1:15" s="327" customFormat="1" ht="17.25" customHeight="1" x14ac:dyDescent="0.2">
      <c r="A12" s="342">
        <f>'GENEL HASILAT'!A14</f>
        <v>45573</v>
      </c>
      <c r="B12" s="343">
        <v>646</v>
      </c>
      <c r="C12" s="344">
        <v>663</v>
      </c>
      <c r="D12" s="343">
        <v>299</v>
      </c>
      <c r="E12" s="344">
        <v>260</v>
      </c>
      <c r="F12" s="345">
        <v>0</v>
      </c>
      <c r="G12" s="346">
        <v>302</v>
      </c>
      <c r="H12" s="347">
        <v>345</v>
      </c>
      <c r="I12" s="348">
        <v>653</v>
      </c>
      <c r="J12" s="347">
        <v>590</v>
      </c>
      <c r="K12" s="349">
        <v>22</v>
      </c>
      <c r="L12" s="343">
        <v>8</v>
      </c>
      <c r="M12" s="350">
        <f t="shared" si="0"/>
        <v>948</v>
      </c>
      <c r="N12" s="351">
        <f t="shared" si="1"/>
        <v>1008</v>
      </c>
      <c r="O12" s="352">
        <f t="shared" si="2"/>
        <v>7</v>
      </c>
    </row>
    <row r="13" spans="1:15" s="327" customFormat="1" ht="17.25" customHeight="1" x14ac:dyDescent="0.2">
      <c r="A13" s="342">
        <f>'GENEL HASILAT'!A15</f>
        <v>45574</v>
      </c>
      <c r="B13" s="343">
        <v>683</v>
      </c>
      <c r="C13" s="344">
        <v>660</v>
      </c>
      <c r="D13" s="343">
        <v>242</v>
      </c>
      <c r="E13" s="344">
        <v>220</v>
      </c>
      <c r="F13" s="345">
        <v>2</v>
      </c>
      <c r="G13" s="346">
        <v>296</v>
      </c>
      <c r="H13" s="347">
        <v>345</v>
      </c>
      <c r="I13" s="348">
        <v>564</v>
      </c>
      <c r="J13" s="347">
        <v>573</v>
      </c>
      <c r="K13" s="349">
        <v>20</v>
      </c>
      <c r="L13" s="343">
        <v>8</v>
      </c>
      <c r="M13" s="350">
        <f t="shared" si="0"/>
        <v>979</v>
      </c>
      <c r="N13" s="351">
        <f t="shared" si="1"/>
        <v>1005</v>
      </c>
      <c r="O13" s="352">
        <f t="shared" si="2"/>
        <v>-19</v>
      </c>
    </row>
    <row r="14" spans="1:15" s="327" customFormat="1" ht="17.25" customHeight="1" x14ac:dyDescent="0.2">
      <c r="A14" s="342">
        <f>'GENEL HASILAT'!A16</f>
        <v>45575</v>
      </c>
      <c r="B14" s="343">
        <v>787</v>
      </c>
      <c r="C14" s="344">
        <v>705</v>
      </c>
      <c r="D14" s="343">
        <v>286</v>
      </c>
      <c r="E14" s="344">
        <v>252</v>
      </c>
      <c r="F14" s="345">
        <v>0</v>
      </c>
      <c r="G14" s="346">
        <v>329</v>
      </c>
      <c r="H14" s="347">
        <v>328</v>
      </c>
      <c r="I14" s="348">
        <v>644</v>
      </c>
      <c r="J14" s="347">
        <v>646</v>
      </c>
      <c r="K14" s="349">
        <v>18</v>
      </c>
      <c r="L14" s="343">
        <v>4</v>
      </c>
      <c r="M14" s="350">
        <f t="shared" si="0"/>
        <v>1116</v>
      </c>
      <c r="N14" s="351">
        <f t="shared" si="1"/>
        <v>1033</v>
      </c>
      <c r="O14" s="352">
        <f t="shared" si="2"/>
        <v>64</v>
      </c>
    </row>
    <row r="15" spans="1:15" s="327" customFormat="1" ht="17.25" customHeight="1" x14ac:dyDescent="0.2">
      <c r="A15" s="342">
        <f>'GENEL HASILAT'!A17</f>
        <v>45576</v>
      </c>
      <c r="B15" s="343">
        <v>767</v>
      </c>
      <c r="C15" s="344">
        <v>635</v>
      </c>
      <c r="D15" s="343">
        <v>334</v>
      </c>
      <c r="E15" s="344">
        <v>279</v>
      </c>
      <c r="F15" s="345">
        <v>2</v>
      </c>
      <c r="G15" s="346">
        <v>298</v>
      </c>
      <c r="H15" s="347">
        <v>347</v>
      </c>
      <c r="I15" s="348">
        <v>691</v>
      </c>
      <c r="J15" s="347">
        <v>639</v>
      </c>
      <c r="K15" s="349">
        <v>20</v>
      </c>
      <c r="L15" s="343">
        <v>7</v>
      </c>
      <c r="M15" s="350">
        <f t="shared" si="0"/>
        <v>1065</v>
      </c>
      <c r="N15" s="351">
        <f t="shared" si="1"/>
        <v>982</v>
      </c>
      <c r="O15" s="352">
        <f t="shared" si="2"/>
        <v>147</v>
      </c>
    </row>
    <row r="16" spans="1:15" s="327" customFormat="1" ht="17.25" customHeight="1" x14ac:dyDescent="0.2">
      <c r="A16" s="342">
        <f>'GENEL HASILAT'!A18</f>
        <v>45577</v>
      </c>
      <c r="B16" s="343">
        <v>695</v>
      </c>
      <c r="C16" s="344">
        <v>719</v>
      </c>
      <c r="D16" s="343">
        <v>381</v>
      </c>
      <c r="E16" s="344">
        <v>343</v>
      </c>
      <c r="F16" s="345">
        <v>0</v>
      </c>
      <c r="G16" s="346">
        <v>210</v>
      </c>
      <c r="H16" s="347">
        <v>236</v>
      </c>
      <c r="I16" s="348">
        <v>729</v>
      </c>
      <c r="J16" s="347">
        <v>682</v>
      </c>
      <c r="K16" s="349">
        <v>16</v>
      </c>
      <c r="L16" s="343">
        <v>7</v>
      </c>
      <c r="M16" s="350">
        <f t="shared" si="0"/>
        <v>905</v>
      </c>
      <c r="N16" s="351">
        <f t="shared" si="1"/>
        <v>955</v>
      </c>
      <c r="O16" s="352">
        <f t="shared" si="2"/>
        <v>97</v>
      </c>
    </row>
    <row r="17" spans="1:15" s="327" customFormat="1" ht="17.25" customHeight="1" x14ac:dyDescent="0.2">
      <c r="A17" s="342">
        <f>'GENEL HASILAT'!A19</f>
        <v>45578</v>
      </c>
      <c r="B17" s="343">
        <v>699</v>
      </c>
      <c r="C17" s="344">
        <v>852</v>
      </c>
      <c r="D17" s="343">
        <v>290</v>
      </c>
      <c r="E17" s="344">
        <v>298</v>
      </c>
      <c r="F17" s="345">
        <v>1</v>
      </c>
      <c r="G17" s="346">
        <v>205</v>
      </c>
      <c r="H17" s="347">
        <v>218</v>
      </c>
      <c r="I17" s="348">
        <v>623</v>
      </c>
      <c r="J17" s="347">
        <v>607</v>
      </c>
      <c r="K17" s="349">
        <v>15</v>
      </c>
      <c r="L17" s="343">
        <v>13</v>
      </c>
      <c r="M17" s="350">
        <f t="shared" si="0"/>
        <v>904</v>
      </c>
      <c r="N17" s="351">
        <f t="shared" si="1"/>
        <v>1070</v>
      </c>
      <c r="O17" s="352">
        <f t="shared" si="2"/>
        <v>-69</v>
      </c>
    </row>
    <row r="18" spans="1:15" s="327" customFormat="1" ht="17.25" customHeight="1" x14ac:dyDescent="0.2">
      <c r="A18" s="342">
        <f>'GENEL HASILAT'!A20</f>
        <v>45579</v>
      </c>
      <c r="B18" s="343">
        <v>751</v>
      </c>
      <c r="C18" s="344">
        <v>789</v>
      </c>
      <c r="D18" s="343">
        <v>404</v>
      </c>
      <c r="E18" s="344">
        <v>363</v>
      </c>
      <c r="F18" s="345">
        <v>1</v>
      </c>
      <c r="G18" s="346">
        <v>349</v>
      </c>
      <c r="H18" s="347">
        <v>360</v>
      </c>
      <c r="I18" s="348">
        <v>649</v>
      </c>
      <c r="J18" s="347">
        <v>661</v>
      </c>
      <c r="K18" s="349">
        <v>22</v>
      </c>
      <c r="L18" s="343">
        <v>10</v>
      </c>
      <c r="M18" s="350">
        <f t="shared" si="0"/>
        <v>1100</v>
      </c>
      <c r="N18" s="351">
        <f t="shared" si="1"/>
        <v>1149</v>
      </c>
      <c r="O18" s="352">
        <f t="shared" si="2"/>
        <v>-118</v>
      </c>
    </row>
    <row r="19" spans="1:15" s="327" customFormat="1" ht="17.25" customHeight="1" x14ac:dyDescent="0.2">
      <c r="A19" s="342">
        <f>'GENEL HASILAT'!A21</f>
        <v>45580</v>
      </c>
      <c r="B19" s="343">
        <v>619</v>
      </c>
      <c r="C19" s="344">
        <v>641</v>
      </c>
      <c r="D19" s="343">
        <v>288</v>
      </c>
      <c r="E19" s="344">
        <v>250</v>
      </c>
      <c r="F19" s="345">
        <v>0</v>
      </c>
      <c r="G19" s="346">
        <v>303</v>
      </c>
      <c r="H19" s="347">
        <v>332</v>
      </c>
      <c r="I19" s="348">
        <v>625</v>
      </c>
      <c r="J19" s="347">
        <v>583</v>
      </c>
      <c r="K19" s="349">
        <v>18</v>
      </c>
      <c r="L19" s="343">
        <v>14</v>
      </c>
      <c r="M19" s="350">
        <f t="shared" si="0"/>
        <v>922</v>
      </c>
      <c r="N19" s="351">
        <f t="shared" si="1"/>
        <v>973</v>
      </c>
      <c r="O19" s="352">
        <f t="shared" si="2"/>
        <v>-169</v>
      </c>
    </row>
    <row r="20" spans="1:15" s="327" customFormat="1" ht="17.25" customHeight="1" x14ac:dyDescent="0.2">
      <c r="A20" s="342">
        <f>'GENEL HASILAT'!A22</f>
        <v>45581</v>
      </c>
      <c r="B20" s="343">
        <v>709</v>
      </c>
      <c r="C20" s="344">
        <v>641</v>
      </c>
      <c r="D20" s="343">
        <v>269</v>
      </c>
      <c r="E20" s="344">
        <v>240</v>
      </c>
      <c r="F20" s="345">
        <v>0</v>
      </c>
      <c r="G20" s="346">
        <v>270</v>
      </c>
      <c r="H20" s="347">
        <v>320</v>
      </c>
      <c r="I20" s="348">
        <v>621</v>
      </c>
      <c r="J20" s="347">
        <v>597</v>
      </c>
      <c r="K20" s="349">
        <v>15</v>
      </c>
      <c r="L20" s="343">
        <v>12</v>
      </c>
      <c r="M20" s="350">
        <f t="shared" si="0"/>
        <v>979</v>
      </c>
      <c r="N20" s="351">
        <f t="shared" si="1"/>
        <v>961</v>
      </c>
      <c r="O20" s="352">
        <f t="shared" si="2"/>
        <v>-151</v>
      </c>
    </row>
    <row r="21" spans="1:15" s="327" customFormat="1" ht="17.25" customHeight="1" x14ac:dyDescent="0.2">
      <c r="A21" s="342">
        <f>'GENEL HASILAT'!A23</f>
        <v>45582</v>
      </c>
      <c r="B21" s="343">
        <v>744</v>
      </c>
      <c r="C21" s="344">
        <v>646</v>
      </c>
      <c r="D21" s="343">
        <v>271</v>
      </c>
      <c r="E21" s="344">
        <v>233</v>
      </c>
      <c r="F21" s="345">
        <v>0</v>
      </c>
      <c r="G21" s="346">
        <v>293</v>
      </c>
      <c r="H21" s="347">
        <v>304</v>
      </c>
      <c r="I21" s="348">
        <v>601</v>
      </c>
      <c r="J21" s="347">
        <v>598</v>
      </c>
      <c r="K21" s="349">
        <v>21</v>
      </c>
      <c r="L21" s="343">
        <v>9</v>
      </c>
      <c r="M21" s="350">
        <f t="shared" si="0"/>
        <v>1037</v>
      </c>
      <c r="N21" s="351">
        <f t="shared" si="1"/>
        <v>950</v>
      </c>
      <c r="O21" s="352">
        <f t="shared" si="2"/>
        <v>-64</v>
      </c>
    </row>
    <row r="22" spans="1:15" s="327" customFormat="1" ht="17.25" customHeight="1" x14ac:dyDescent="0.2">
      <c r="A22" s="342">
        <f>'GENEL HASILAT'!A24</f>
        <v>45583</v>
      </c>
      <c r="B22" s="343">
        <v>829</v>
      </c>
      <c r="C22" s="344">
        <v>670</v>
      </c>
      <c r="D22" s="343">
        <v>265</v>
      </c>
      <c r="E22" s="344">
        <v>236</v>
      </c>
      <c r="F22" s="345">
        <v>0</v>
      </c>
      <c r="G22" s="346">
        <v>326</v>
      </c>
      <c r="H22" s="347">
        <v>310</v>
      </c>
      <c r="I22" s="348">
        <v>609</v>
      </c>
      <c r="J22" s="347">
        <v>612</v>
      </c>
      <c r="K22" s="349">
        <v>23</v>
      </c>
      <c r="L22" s="343">
        <v>17</v>
      </c>
      <c r="M22" s="350">
        <f t="shared" si="0"/>
        <v>1155</v>
      </c>
      <c r="N22" s="351">
        <f t="shared" si="1"/>
        <v>980</v>
      </c>
      <c r="O22" s="352">
        <f t="shared" si="2"/>
        <v>111</v>
      </c>
    </row>
    <row r="23" spans="1:15" s="327" customFormat="1" ht="17.25" customHeight="1" x14ac:dyDescent="0.2">
      <c r="A23" s="342">
        <f>'GENEL HASILAT'!A25</f>
        <v>45584</v>
      </c>
      <c r="B23" s="343">
        <v>679</v>
      </c>
      <c r="C23" s="344">
        <v>649</v>
      </c>
      <c r="D23" s="343">
        <v>341</v>
      </c>
      <c r="E23" s="344">
        <v>308</v>
      </c>
      <c r="F23" s="345">
        <v>0</v>
      </c>
      <c r="G23" s="346">
        <v>223</v>
      </c>
      <c r="H23" s="347">
        <v>232</v>
      </c>
      <c r="I23" s="348">
        <v>654</v>
      </c>
      <c r="J23" s="347">
        <v>621</v>
      </c>
      <c r="K23" s="349">
        <v>13</v>
      </c>
      <c r="L23" s="343">
        <v>9</v>
      </c>
      <c r="M23" s="350">
        <f t="shared" si="0"/>
        <v>902</v>
      </c>
      <c r="N23" s="351">
        <f t="shared" si="1"/>
        <v>881</v>
      </c>
      <c r="O23" s="352">
        <f t="shared" si="2"/>
        <v>132</v>
      </c>
    </row>
    <row r="24" spans="1:15" s="327" customFormat="1" ht="17.25" customHeight="1" x14ac:dyDescent="0.2">
      <c r="A24" s="342">
        <f>'GENEL HASILAT'!A26</f>
        <v>45585</v>
      </c>
      <c r="B24" s="343">
        <v>651</v>
      </c>
      <c r="C24" s="344">
        <v>845</v>
      </c>
      <c r="D24" s="343">
        <v>246</v>
      </c>
      <c r="E24" s="344">
        <v>253</v>
      </c>
      <c r="F24" s="345">
        <v>0</v>
      </c>
      <c r="G24" s="346">
        <v>213</v>
      </c>
      <c r="H24" s="347">
        <v>237</v>
      </c>
      <c r="I24" s="348">
        <v>587</v>
      </c>
      <c r="J24" s="347">
        <v>569</v>
      </c>
      <c r="K24" s="349">
        <v>12</v>
      </c>
      <c r="L24" s="343">
        <v>11</v>
      </c>
      <c r="M24" s="350">
        <f t="shared" si="0"/>
        <v>864</v>
      </c>
      <c r="N24" s="351">
        <f t="shared" si="1"/>
        <v>1082</v>
      </c>
      <c r="O24" s="352">
        <f t="shared" si="2"/>
        <v>-86</v>
      </c>
    </row>
    <row r="25" spans="1:15" s="327" customFormat="1" ht="17.25" customHeight="1" x14ac:dyDescent="0.2">
      <c r="A25" s="342">
        <f>'GENEL HASILAT'!A27</f>
        <v>45586</v>
      </c>
      <c r="B25" s="343"/>
      <c r="C25" s="344"/>
      <c r="D25" s="343"/>
      <c r="E25" s="344"/>
      <c r="F25" s="345"/>
      <c r="G25" s="346"/>
      <c r="H25" s="347"/>
      <c r="I25" s="348"/>
      <c r="J25" s="347"/>
      <c r="K25" s="349"/>
      <c r="L25" s="343"/>
      <c r="M25" s="350">
        <f t="shared" si="0"/>
        <v>0</v>
      </c>
      <c r="N25" s="351">
        <f t="shared" si="1"/>
        <v>0</v>
      </c>
      <c r="O25" s="352" t="str">
        <f t="shared" si="2"/>
        <v>0</v>
      </c>
    </row>
    <row r="26" spans="1:15" s="327" customFormat="1" ht="17.25" customHeight="1" x14ac:dyDescent="0.2">
      <c r="A26" s="342">
        <f>'GENEL HASILAT'!A28</f>
        <v>45587</v>
      </c>
      <c r="B26" s="343"/>
      <c r="C26" s="344"/>
      <c r="D26" s="343"/>
      <c r="E26" s="344"/>
      <c r="F26" s="345"/>
      <c r="G26" s="346"/>
      <c r="H26" s="347"/>
      <c r="I26" s="348"/>
      <c r="J26" s="347"/>
      <c r="K26" s="349"/>
      <c r="L26" s="343"/>
      <c r="M26" s="350">
        <f t="shared" si="0"/>
        <v>0</v>
      </c>
      <c r="N26" s="351">
        <f t="shared" si="1"/>
        <v>0</v>
      </c>
      <c r="O26" s="352" t="str">
        <f t="shared" si="2"/>
        <v>0</v>
      </c>
    </row>
    <row r="27" spans="1:15" s="327" customFormat="1" ht="17.25" customHeight="1" x14ac:dyDescent="0.2">
      <c r="A27" s="342">
        <f>'GENEL HASILAT'!A29</f>
        <v>45588</v>
      </c>
      <c r="B27" s="343"/>
      <c r="C27" s="344"/>
      <c r="D27" s="343"/>
      <c r="E27" s="344"/>
      <c r="F27" s="345"/>
      <c r="G27" s="346"/>
      <c r="H27" s="347"/>
      <c r="I27" s="348"/>
      <c r="J27" s="347"/>
      <c r="K27" s="349"/>
      <c r="L27" s="343"/>
      <c r="M27" s="350">
        <f t="shared" si="0"/>
        <v>0</v>
      </c>
      <c r="N27" s="351">
        <f t="shared" si="1"/>
        <v>0</v>
      </c>
      <c r="O27" s="352" t="str">
        <f t="shared" si="2"/>
        <v>0</v>
      </c>
    </row>
    <row r="28" spans="1:15" s="327" customFormat="1" ht="17.25" customHeight="1" x14ac:dyDescent="0.2">
      <c r="A28" s="342">
        <f>'GENEL HASILAT'!A30</f>
        <v>45589</v>
      </c>
      <c r="B28" s="343"/>
      <c r="C28" s="344"/>
      <c r="D28" s="343"/>
      <c r="E28" s="344"/>
      <c r="F28" s="345"/>
      <c r="G28" s="346"/>
      <c r="H28" s="347"/>
      <c r="I28" s="348"/>
      <c r="J28" s="347"/>
      <c r="K28" s="349"/>
      <c r="L28" s="343"/>
      <c r="M28" s="350">
        <f t="shared" si="0"/>
        <v>0</v>
      </c>
      <c r="N28" s="351">
        <f t="shared" si="1"/>
        <v>0</v>
      </c>
      <c r="O28" s="352" t="str">
        <f t="shared" si="2"/>
        <v>0</v>
      </c>
    </row>
    <row r="29" spans="1:15" s="327" customFormat="1" ht="17.25" customHeight="1" x14ac:dyDescent="0.2">
      <c r="A29" s="342">
        <f>'GENEL HASILAT'!A31</f>
        <v>45590</v>
      </c>
      <c r="B29" s="343"/>
      <c r="C29" s="344"/>
      <c r="D29" s="343"/>
      <c r="E29" s="344"/>
      <c r="F29" s="345"/>
      <c r="G29" s="346"/>
      <c r="H29" s="347"/>
      <c r="I29" s="348"/>
      <c r="J29" s="347"/>
      <c r="K29" s="349"/>
      <c r="L29" s="343"/>
      <c r="M29" s="350">
        <f t="shared" si="0"/>
        <v>0</v>
      </c>
      <c r="N29" s="351">
        <f t="shared" si="1"/>
        <v>0</v>
      </c>
      <c r="O29" s="352" t="str">
        <f t="shared" si="2"/>
        <v>0</v>
      </c>
    </row>
    <row r="30" spans="1:15" s="327" customFormat="1" ht="17.25" customHeight="1" x14ac:dyDescent="0.2">
      <c r="A30" s="342">
        <f>'GENEL HASILAT'!A32</f>
        <v>45591</v>
      </c>
      <c r="B30" s="343"/>
      <c r="C30" s="344"/>
      <c r="D30" s="343"/>
      <c r="E30" s="344"/>
      <c r="F30" s="345"/>
      <c r="G30" s="346"/>
      <c r="H30" s="347"/>
      <c r="I30" s="348"/>
      <c r="J30" s="347"/>
      <c r="K30" s="349"/>
      <c r="L30" s="343"/>
      <c r="M30" s="350">
        <f t="shared" si="0"/>
        <v>0</v>
      </c>
      <c r="N30" s="351">
        <f t="shared" si="1"/>
        <v>0</v>
      </c>
      <c r="O30" s="352" t="str">
        <f t="shared" si="2"/>
        <v>0</v>
      </c>
    </row>
    <row r="31" spans="1:15" s="327" customFormat="1" ht="17.25" customHeight="1" x14ac:dyDescent="0.2">
      <c r="A31" s="342">
        <f>'GENEL HASILAT'!A33</f>
        <v>45592</v>
      </c>
      <c r="B31" s="343"/>
      <c r="C31" s="344"/>
      <c r="D31" s="343"/>
      <c r="E31" s="344"/>
      <c r="F31" s="345"/>
      <c r="G31" s="346"/>
      <c r="H31" s="347"/>
      <c r="I31" s="348"/>
      <c r="J31" s="347"/>
      <c r="K31" s="349"/>
      <c r="L31" s="343"/>
      <c r="M31" s="350">
        <f t="shared" si="0"/>
        <v>0</v>
      </c>
      <c r="N31" s="351">
        <f t="shared" si="1"/>
        <v>0</v>
      </c>
      <c r="O31" s="352" t="str">
        <f t="shared" si="2"/>
        <v>0</v>
      </c>
    </row>
    <row r="32" spans="1:15" s="327" customFormat="1" ht="17.25" customHeight="1" x14ac:dyDescent="0.2">
      <c r="A32" s="342">
        <f>'GENEL HASILAT'!A34</f>
        <v>45593</v>
      </c>
      <c r="B32" s="343"/>
      <c r="C32" s="344"/>
      <c r="D32" s="343"/>
      <c r="E32" s="344"/>
      <c r="F32" s="345"/>
      <c r="G32" s="346"/>
      <c r="H32" s="347"/>
      <c r="I32" s="348"/>
      <c r="J32" s="347"/>
      <c r="K32" s="349"/>
      <c r="L32" s="343"/>
      <c r="M32" s="350">
        <f t="shared" si="0"/>
        <v>0</v>
      </c>
      <c r="N32" s="351">
        <f t="shared" si="1"/>
        <v>0</v>
      </c>
      <c r="O32" s="352" t="str">
        <f t="shared" si="2"/>
        <v>0</v>
      </c>
    </row>
    <row r="33" spans="1:15" s="327" customFormat="1" ht="17.25" customHeight="1" x14ac:dyDescent="0.2">
      <c r="A33" s="342">
        <f>'GENEL HASILAT'!A35</f>
        <v>45594</v>
      </c>
      <c r="B33" s="343"/>
      <c r="C33" s="344"/>
      <c r="D33" s="343"/>
      <c r="E33" s="344"/>
      <c r="F33" s="345"/>
      <c r="G33" s="346"/>
      <c r="H33" s="347"/>
      <c r="I33" s="348"/>
      <c r="J33" s="347"/>
      <c r="K33" s="349"/>
      <c r="L33" s="343"/>
      <c r="M33" s="350">
        <f t="shared" si="0"/>
        <v>0</v>
      </c>
      <c r="N33" s="351">
        <f t="shared" si="1"/>
        <v>0</v>
      </c>
      <c r="O33" s="352" t="str">
        <f t="shared" si="2"/>
        <v>0</v>
      </c>
    </row>
    <row r="34" spans="1:15" s="327" customFormat="1" ht="17.25" customHeight="1" x14ac:dyDescent="0.2">
      <c r="A34" s="342">
        <f>'GENEL HASILAT'!A36</f>
        <v>45595</v>
      </c>
      <c r="B34" s="343"/>
      <c r="C34" s="344"/>
      <c r="D34" s="343"/>
      <c r="E34" s="344"/>
      <c r="F34" s="345"/>
      <c r="G34" s="346"/>
      <c r="H34" s="347"/>
      <c r="I34" s="348"/>
      <c r="J34" s="347"/>
      <c r="K34" s="349"/>
      <c r="L34" s="343"/>
      <c r="M34" s="350">
        <f t="shared" si="0"/>
        <v>0</v>
      </c>
      <c r="N34" s="351">
        <f t="shared" si="1"/>
        <v>0</v>
      </c>
      <c r="O34" s="352" t="str">
        <f t="shared" si="2"/>
        <v>0</v>
      </c>
    </row>
    <row r="35" spans="1:15" s="327" customFormat="1" ht="17.25" customHeight="1" x14ac:dyDescent="0.2">
      <c r="A35" s="342">
        <f>'GENEL HASILAT'!A37</f>
        <v>45596</v>
      </c>
      <c r="B35" s="343"/>
      <c r="C35" s="344"/>
      <c r="D35" s="343"/>
      <c r="E35" s="344"/>
      <c r="F35" s="345"/>
      <c r="G35" s="346"/>
      <c r="H35" s="347"/>
      <c r="I35" s="348"/>
      <c r="J35" s="347"/>
      <c r="K35" s="349"/>
      <c r="L35" s="343"/>
      <c r="M35" s="350">
        <f t="shared" si="0"/>
        <v>0</v>
      </c>
      <c r="N35" s="351">
        <f t="shared" si="1"/>
        <v>0</v>
      </c>
      <c r="O35" s="352" t="str">
        <f t="shared" si="2"/>
        <v>0</v>
      </c>
    </row>
    <row r="36" spans="1:15" s="327" customFormat="1" ht="17.25" customHeight="1" thickBot="1" x14ac:dyDescent="0.25">
      <c r="A36" s="330"/>
      <c r="B36" s="353"/>
      <c r="C36" s="353"/>
      <c r="D36" s="353"/>
      <c r="E36" s="353"/>
      <c r="F36" s="353"/>
      <c r="G36" s="353"/>
      <c r="H36" s="353"/>
      <c r="I36" s="353"/>
      <c r="J36" s="353"/>
      <c r="K36" s="353"/>
      <c r="L36" s="353"/>
      <c r="M36" s="353"/>
      <c r="N36" s="353"/>
      <c r="O36" s="354"/>
    </row>
    <row r="37" spans="1:15" s="327" customFormat="1" ht="17.25" customHeight="1" thickTop="1" thickBot="1" x14ac:dyDescent="0.25">
      <c r="A37" s="355" t="s">
        <v>10</v>
      </c>
      <c r="B37" s="356">
        <f t="shared" ref="B37:N37" si="3">SUM(B5:B35)</f>
        <v>14717</v>
      </c>
      <c r="C37" s="356">
        <f t="shared" si="3"/>
        <v>14402</v>
      </c>
      <c r="D37" s="356">
        <f t="shared" si="3"/>
        <v>6262</v>
      </c>
      <c r="E37" s="356">
        <f t="shared" si="3"/>
        <v>5647</v>
      </c>
      <c r="F37" s="357">
        <f t="shared" si="3"/>
        <v>9</v>
      </c>
      <c r="G37" s="358">
        <f t="shared" si="3"/>
        <v>5696</v>
      </c>
      <c r="H37" s="358">
        <f t="shared" si="3"/>
        <v>6097</v>
      </c>
      <c r="I37" s="358">
        <f t="shared" si="3"/>
        <v>13129</v>
      </c>
      <c r="J37" s="358">
        <f t="shared" si="3"/>
        <v>12735</v>
      </c>
      <c r="K37" s="359">
        <f t="shared" si="3"/>
        <v>356</v>
      </c>
      <c r="L37" s="357">
        <f t="shared" si="3"/>
        <v>187</v>
      </c>
      <c r="M37" s="360">
        <f t="shared" si="3"/>
        <v>20413</v>
      </c>
      <c r="N37" s="360">
        <f t="shared" si="3"/>
        <v>20499</v>
      </c>
      <c r="O37" s="361">
        <f>SUM(O5:O35)/(COUNTA(B5:B35))</f>
        <v>58.05</v>
      </c>
    </row>
    <row r="38" spans="1:15" ht="12" customHeight="1" thickTop="1" x14ac:dyDescent="0.2">
      <c r="A38" s="362"/>
      <c r="B38" s="363"/>
      <c r="C38" s="363"/>
      <c r="D38" s="364"/>
      <c r="E38" s="364"/>
      <c r="F38" s="364"/>
      <c r="G38" s="364"/>
      <c r="H38" s="364"/>
      <c r="I38" s="364"/>
      <c r="J38" s="364"/>
      <c r="K38" s="364"/>
      <c r="L38" s="364"/>
      <c r="M38" s="364"/>
      <c r="N38" s="364"/>
      <c r="O38" s="365"/>
    </row>
    <row r="39" spans="1:15" ht="12" customHeight="1" x14ac:dyDescent="0.2">
      <c r="A39" s="362"/>
      <c r="B39" s="363"/>
      <c r="C39" s="363"/>
      <c r="D39" s="364"/>
      <c r="E39" s="364"/>
      <c r="F39" s="364"/>
      <c r="G39" s="364"/>
      <c r="H39" s="364"/>
      <c r="I39" s="364"/>
      <c r="J39" s="364"/>
      <c r="K39" s="364"/>
      <c r="L39" s="364"/>
      <c r="M39" s="364"/>
      <c r="N39" s="364"/>
      <c r="O39" s="365"/>
    </row>
    <row r="40" spans="1:15" ht="12" customHeight="1" x14ac:dyDescent="0.2">
      <c r="A40" s="362"/>
      <c r="B40" s="363"/>
      <c r="C40" s="363"/>
      <c r="D40" s="364"/>
      <c r="E40" s="364"/>
      <c r="F40" s="364"/>
      <c r="G40" s="364"/>
      <c r="H40" s="364"/>
      <c r="I40" s="364"/>
      <c r="J40" s="364"/>
      <c r="K40" s="364"/>
      <c r="L40" s="364"/>
      <c r="M40" s="364"/>
      <c r="N40" s="364"/>
      <c r="O40" s="365"/>
    </row>
    <row r="41" spans="1:15" ht="12" customHeight="1" x14ac:dyDescent="0.2">
      <c r="A41" s="362"/>
      <c r="B41" s="362"/>
      <c r="C41" s="362"/>
      <c r="D41" s="365"/>
      <c r="E41" s="365"/>
      <c r="F41" s="365"/>
      <c r="G41" s="365"/>
      <c r="H41" s="365"/>
      <c r="I41" s="365"/>
      <c r="J41" s="365"/>
      <c r="K41" s="365"/>
      <c r="L41" s="365"/>
      <c r="M41" s="365"/>
      <c r="N41" s="365"/>
      <c r="O41" s="365"/>
    </row>
    <row r="42" spans="1:15" ht="12" customHeight="1" x14ac:dyDescent="0.2">
      <c r="A42" s="362"/>
      <c r="B42" s="362"/>
      <c r="C42" s="362"/>
      <c r="D42" s="365"/>
      <c r="E42" s="365"/>
      <c r="F42" s="365"/>
      <c r="G42" s="365"/>
      <c r="H42" s="365"/>
      <c r="I42" s="365"/>
      <c r="J42" s="365"/>
      <c r="K42" s="365"/>
      <c r="L42" s="365"/>
      <c r="M42" s="365"/>
      <c r="N42" s="365"/>
      <c r="O42" s="365"/>
    </row>
    <row r="43" spans="1:15" ht="12" customHeight="1" x14ac:dyDescent="0.2">
      <c r="A43" s="362"/>
      <c r="B43" s="362"/>
      <c r="C43" s="362"/>
      <c r="D43" s="365"/>
      <c r="E43" s="365"/>
      <c r="F43" s="365"/>
      <c r="G43" s="365"/>
      <c r="H43" s="365"/>
      <c r="I43" s="365"/>
      <c r="J43" s="365"/>
      <c r="K43" s="365"/>
      <c r="L43" s="365"/>
      <c r="M43" s="365"/>
      <c r="N43" s="365"/>
      <c r="O43" s="365"/>
    </row>
  </sheetData>
  <sheetProtection sheet="1" objects="1" scenarios="1" selectLockedCells="1"/>
  <mergeCells count="8">
    <mergeCell ref="M2:N2"/>
    <mergeCell ref="B3:C3"/>
    <mergeCell ref="D3:E3"/>
    <mergeCell ref="G3:H3"/>
    <mergeCell ref="I3:J3"/>
    <mergeCell ref="B2:E2"/>
    <mergeCell ref="F2:F4"/>
    <mergeCell ref="G2:J2"/>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38"/>
  <sheetViews>
    <sheetView workbookViewId="0">
      <selection activeCell="B24" sqref="B24"/>
    </sheetView>
  </sheetViews>
  <sheetFormatPr defaultColWidth="0" defaultRowHeight="0" customHeight="1" zeroHeight="1" x14ac:dyDescent="0.2"/>
  <cols>
    <col min="1" max="4" width="14.7109375" style="136" customWidth="1"/>
    <col min="5" max="5" width="18.7109375" style="142" customWidth="1"/>
    <col min="6" max="6" width="14.7109375" style="143" customWidth="1"/>
    <col min="7" max="7" width="14.7109375" style="144" customWidth="1"/>
    <col min="8" max="12" width="14.7109375" style="136" customWidth="1"/>
    <col min="13" max="13" width="1.28515625" style="136" customWidth="1"/>
    <col min="14" max="255" width="0" style="136" hidden="1"/>
    <col min="256" max="268" width="14.7109375" style="136" customWidth="1"/>
    <col min="269" max="269" width="1.28515625" style="136" customWidth="1"/>
    <col min="270" max="511" width="0" style="136" hidden="1"/>
    <col min="512" max="524" width="14.7109375" style="136" customWidth="1"/>
    <col min="525" max="525" width="1.28515625" style="136" customWidth="1"/>
    <col min="526" max="767" width="0" style="136" hidden="1"/>
    <col min="768" max="780" width="14.7109375" style="136" customWidth="1"/>
    <col min="781" max="781" width="1.28515625" style="136" customWidth="1"/>
    <col min="782" max="1023" width="0" style="136" hidden="1"/>
    <col min="1024" max="1036" width="14.7109375" style="136" customWidth="1"/>
    <col min="1037" max="1037" width="1.28515625" style="136" customWidth="1"/>
    <col min="1038" max="1279" width="0" style="136" hidden="1"/>
    <col min="1280" max="1292" width="14.7109375" style="136" customWidth="1"/>
    <col min="1293" max="1293" width="1.28515625" style="136" customWidth="1"/>
    <col min="1294" max="1535" width="0" style="136" hidden="1"/>
    <col min="1536" max="1548" width="14.7109375" style="136" customWidth="1"/>
    <col min="1549" max="1549" width="1.28515625" style="136" customWidth="1"/>
    <col min="1550" max="1791" width="0" style="136" hidden="1"/>
    <col min="1792" max="1804" width="14.7109375" style="136" customWidth="1"/>
    <col min="1805" max="1805" width="1.28515625" style="136" customWidth="1"/>
    <col min="1806" max="2047" width="0" style="136" hidden="1"/>
    <col min="2048" max="2060" width="14.7109375" style="136" customWidth="1"/>
    <col min="2061" max="2061" width="1.28515625" style="136" customWidth="1"/>
    <col min="2062" max="2303" width="0" style="136" hidden="1"/>
    <col min="2304" max="2316" width="14.7109375" style="136" customWidth="1"/>
    <col min="2317" max="2317" width="1.28515625" style="136" customWidth="1"/>
    <col min="2318" max="2559" width="0" style="136" hidden="1"/>
    <col min="2560" max="2572" width="14.7109375" style="136" customWidth="1"/>
    <col min="2573" max="2573" width="1.28515625" style="136" customWidth="1"/>
    <col min="2574" max="2815" width="0" style="136" hidden="1"/>
    <col min="2816" max="2828" width="14.7109375" style="136" customWidth="1"/>
    <col min="2829" max="2829" width="1.28515625" style="136" customWidth="1"/>
    <col min="2830" max="3071" width="0" style="136" hidden="1"/>
    <col min="3072" max="3084" width="14.7109375" style="136" customWidth="1"/>
    <col min="3085" max="3085" width="1.28515625" style="136" customWidth="1"/>
    <col min="3086" max="3327" width="0" style="136" hidden="1"/>
    <col min="3328" max="3340" width="14.7109375" style="136" customWidth="1"/>
    <col min="3341" max="3341" width="1.28515625" style="136" customWidth="1"/>
    <col min="3342" max="3583" width="0" style="136" hidden="1"/>
    <col min="3584" max="3596" width="14.7109375" style="136" customWidth="1"/>
    <col min="3597" max="3597" width="1.28515625" style="136" customWidth="1"/>
    <col min="3598" max="3839" width="0" style="136" hidden="1"/>
    <col min="3840" max="3852" width="14.7109375" style="136" customWidth="1"/>
    <col min="3853" max="3853" width="1.28515625" style="136" customWidth="1"/>
    <col min="3854" max="4095" width="0" style="136" hidden="1"/>
    <col min="4096" max="4108" width="14.7109375" style="136" customWidth="1"/>
    <col min="4109" max="4109" width="1.28515625" style="136" customWidth="1"/>
    <col min="4110" max="4351" width="0" style="136" hidden="1"/>
    <col min="4352" max="4364" width="14.7109375" style="136" customWidth="1"/>
    <col min="4365" max="4365" width="1.28515625" style="136" customWidth="1"/>
    <col min="4366" max="4607" width="0" style="136" hidden="1"/>
    <col min="4608" max="4620" width="14.7109375" style="136" customWidth="1"/>
    <col min="4621" max="4621" width="1.28515625" style="136" customWidth="1"/>
    <col min="4622" max="4863" width="0" style="136" hidden="1"/>
    <col min="4864" max="4876" width="14.7109375" style="136" customWidth="1"/>
    <col min="4877" max="4877" width="1.28515625" style="136" customWidth="1"/>
    <col min="4878" max="5119" width="0" style="136" hidden="1"/>
    <col min="5120" max="5132" width="14.7109375" style="136" customWidth="1"/>
    <col min="5133" max="5133" width="1.28515625" style="136" customWidth="1"/>
    <col min="5134" max="5375" width="0" style="136" hidden="1"/>
    <col min="5376" max="5388" width="14.7109375" style="136" customWidth="1"/>
    <col min="5389" max="5389" width="1.28515625" style="136" customWidth="1"/>
    <col min="5390" max="5631" width="0" style="136" hidden="1"/>
    <col min="5632" max="5644" width="14.7109375" style="136" customWidth="1"/>
    <col min="5645" max="5645" width="1.28515625" style="136" customWidth="1"/>
    <col min="5646" max="5887" width="0" style="136" hidden="1"/>
    <col min="5888" max="5900" width="14.7109375" style="136" customWidth="1"/>
    <col min="5901" max="5901" width="1.28515625" style="136" customWidth="1"/>
    <col min="5902" max="6143" width="0" style="136" hidden="1"/>
    <col min="6144" max="6156" width="14.7109375" style="136" customWidth="1"/>
    <col min="6157" max="6157" width="1.28515625" style="136" customWidth="1"/>
    <col min="6158" max="6399" width="0" style="136" hidden="1"/>
    <col min="6400" max="6412" width="14.7109375" style="136" customWidth="1"/>
    <col min="6413" max="6413" width="1.28515625" style="136" customWidth="1"/>
    <col min="6414" max="6655" width="0" style="136" hidden="1"/>
    <col min="6656" max="6668" width="14.7109375" style="136" customWidth="1"/>
    <col min="6669" max="6669" width="1.28515625" style="136" customWidth="1"/>
    <col min="6670" max="6911" width="0" style="136" hidden="1"/>
    <col min="6912" max="6924" width="14.7109375" style="136" customWidth="1"/>
    <col min="6925" max="6925" width="1.28515625" style="136" customWidth="1"/>
    <col min="6926" max="7167" width="0" style="136" hidden="1"/>
    <col min="7168" max="7180" width="14.7109375" style="136" customWidth="1"/>
    <col min="7181" max="7181" width="1.28515625" style="136" customWidth="1"/>
    <col min="7182" max="7423" width="0" style="136" hidden="1"/>
    <col min="7424" max="7436" width="14.7109375" style="136" customWidth="1"/>
    <col min="7437" max="7437" width="1.28515625" style="136" customWidth="1"/>
    <col min="7438" max="7679" width="0" style="136" hidden="1"/>
    <col min="7680" max="7692" width="14.7109375" style="136" customWidth="1"/>
    <col min="7693" max="7693" width="1.28515625" style="136" customWidth="1"/>
    <col min="7694" max="7935" width="0" style="136" hidden="1"/>
    <col min="7936" max="7948" width="14.7109375" style="136" customWidth="1"/>
    <col min="7949" max="7949" width="1.28515625" style="136" customWidth="1"/>
    <col min="7950" max="8191" width="0" style="136" hidden="1"/>
    <col min="8192" max="8204" width="14.7109375" style="136" customWidth="1"/>
    <col min="8205" max="8205" width="1.28515625" style="136" customWidth="1"/>
    <col min="8206" max="8447" width="0" style="136" hidden="1"/>
    <col min="8448" max="8460" width="14.7109375" style="136" customWidth="1"/>
    <col min="8461" max="8461" width="1.28515625" style="136" customWidth="1"/>
    <col min="8462" max="8703" width="0" style="136" hidden="1"/>
    <col min="8704" max="8716" width="14.7109375" style="136" customWidth="1"/>
    <col min="8717" max="8717" width="1.28515625" style="136" customWidth="1"/>
    <col min="8718" max="8959" width="0" style="136" hidden="1"/>
    <col min="8960" max="8972" width="14.7109375" style="136" customWidth="1"/>
    <col min="8973" max="8973" width="1.28515625" style="136" customWidth="1"/>
    <col min="8974" max="9215" width="0" style="136" hidden="1"/>
    <col min="9216" max="9228" width="14.7109375" style="136" customWidth="1"/>
    <col min="9229" max="9229" width="1.28515625" style="136" customWidth="1"/>
    <col min="9230" max="9471" width="0" style="136" hidden="1"/>
    <col min="9472" max="9484" width="14.7109375" style="136" customWidth="1"/>
    <col min="9485" max="9485" width="1.28515625" style="136" customWidth="1"/>
    <col min="9486" max="9727" width="0" style="136" hidden="1"/>
    <col min="9728" max="9740" width="14.7109375" style="136" customWidth="1"/>
    <col min="9741" max="9741" width="1.28515625" style="136" customWidth="1"/>
    <col min="9742" max="9983" width="0" style="136" hidden="1"/>
    <col min="9984" max="9996" width="14.7109375" style="136" customWidth="1"/>
    <col min="9997" max="9997" width="1.28515625" style="136" customWidth="1"/>
    <col min="9998" max="10239" width="0" style="136" hidden="1"/>
    <col min="10240" max="10252" width="14.7109375" style="136" customWidth="1"/>
    <col min="10253" max="10253" width="1.28515625" style="136" customWidth="1"/>
    <col min="10254" max="10495" width="0" style="136" hidden="1"/>
    <col min="10496" max="10508" width="14.7109375" style="136" customWidth="1"/>
    <col min="10509" max="10509" width="1.28515625" style="136" customWidth="1"/>
    <col min="10510" max="10751" width="0" style="136" hidden="1"/>
    <col min="10752" max="10764" width="14.7109375" style="136" customWidth="1"/>
    <col min="10765" max="10765" width="1.28515625" style="136" customWidth="1"/>
    <col min="10766" max="11007" width="0" style="136" hidden="1"/>
    <col min="11008" max="11020" width="14.7109375" style="136" customWidth="1"/>
    <col min="11021" max="11021" width="1.28515625" style="136" customWidth="1"/>
    <col min="11022" max="11263" width="0" style="136" hidden="1"/>
    <col min="11264" max="11276" width="14.7109375" style="136" customWidth="1"/>
    <col min="11277" max="11277" width="1.28515625" style="136" customWidth="1"/>
    <col min="11278" max="11519" width="0" style="136" hidden="1"/>
    <col min="11520" max="11532" width="14.7109375" style="136" customWidth="1"/>
    <col min="11533" max="11533" width="1.28515625" style="136" customWidth="1"/>
    <col min="11534" max="11775" width="0" style="136" hidden="1"/>
    <col min="11776" max="11788" width="14.7109375" style="136" customWidth="1"/>
    <col min="11789" max="11789" width="1.28515625" style="136" customWidth="1"/>
    <col min="11790" max="12031" width="0" style="136" hidden="1"/>
    <col min="12032" max="12044" width="14.7109375" style="136" customWidth="1"/>
    <col min="12045" max="12045" width="1.28515625" style="136" customWidth="1"/>
    <col min="12046" max="12287" width="0" style="136" hidden="1"/>
    <col min="12288" max="12300" width="14.7109375" style="136" customWidth="1"/>
    <col min="12301" max="12301" width="1.28515625" style="136" customWidth="1"/>
    <col min="12302" max="12543" width="0" style="136" hidden="1"/>
    <col min="12544" max="12556" width="14.7109375" style="136" customWidth="1"/>
    <col min="12557" max="12557" width="1.28515625" style="136" customWidth="1"/>
    <col min="12558" max="12799" width="0" style="136" hidden="1"/>
    <col min="12800" max="12812" width="14.7109375" style="136" customWidth="1"/>
    <col min="12813" max="12813" width="1.28515625" style="136" customWidth="1"/>
    <col min="12814" max="13055" width="0" style="136" hidden="1"/>
    <col min="13056" max="13068" width="14.7109375" style="136" customWidth="1"/>
    <col min="13069" max="13069" width="1.28515625" style="136" customWidth="1"/>
    <col min="13070" max="13311" width="0" style="136" hidden="1"/>
    <col min="13312" max="13324" width="14.7109375" style="136" customWidth="1"/>
    <col min="13325" max="13325" width="1.28515625" style="136" customWidth="1"/>
    <col min="13326" max="13567" width="0" style="136" hidden="1"/>
    <col min="13568" max="13580" width="14.7109375" style="136" customWidth="1"/>
    <col min="13581" max="13581" width="1.28515625" style="136" customWidth="1"/>
    <col min="13582" max="13823" width="0" style="136" hidden="1"/>
    <col min="13824" max="13836" width="14.7109375" style="136" customWidth="1"/>
    <col min="13837" max="13837" width="1.28515625" style="136" customWidth="1"/>
    <col min="13838" max="14079" width="0" style="136" hidden="1"/>
    <col min="14080" max="14092" width="14.7109375" style="136" customWidth="1"/>
    <col min="14093" max="14093" width="1.28515625" style="136" customWidth="1"/>
    <col min="14094" max="14335" width="0" style="136" hidden="1"/>
    <col min="14336" max="14348" width="14.7109375" style="136" customWidth="1"/>
    <col min="14349" max="14349" width="1.28515625" style="136" customWidth="1"/>
    <col min="14350" max="14591" width="0" style="136" hidden="1"/>
    <col min="14592" max="14604" width="14.7109375" style="136" customWidth="1"/>
    <col min="14605" max="14605" width="1.28515625" style="136" customWidth="1"/>
    <col min="14606" max="14847" width="0" style="136" hidden="1"/>
    <col min="14848" max="14860" width="14.7109375" style="136" customWidth="1"/>
    <col min="14861" max="14861" width="1.28515625" style="136" customWidth="1"/>
    <col min="14862" max="15103" width="0" style="136" hidden="1"/>
    <col min="15104" max="15116" width="14.7109375" style="136" customWidth="1"/>
    <col min="15117" max="15117" width="1.28515625" style="136" customWidth="1"/>
    <col min="15118" max="15359" width="0" style="136" hidden="1"/>
    <col min="15360" max="15372" width="14.7109375" style="136" customWidth="1"/>
    <col min="15373" max="15373" width="1.28515625" style="136" customWidth="1"/>
    <col min="15374" max="15615" width="0" style="136" hidden="1"/>
    <col min="15616" max="15628" width="14.7109375" style="136" customWidth="1"/>
    <col min="15629" max="15629" width="1.28515625" style="136" customWidth="1"/>
    <col min="15630" max="15871" width="0" style="136" hidden="1"/>
    <col min="15872" max="15884" width="14.7109375" style="136" customWidth="1"/>
    <col min="15885" max="15885" width="1.28515625" style="136" customWidth="1"/>
    <col min="15886" max="16127" width="0" style="136" hidden="1"/>
    <col min="16128" max="16140" width="14.7109375" style="136" customWidth="1"/>
    <col min="16141" max="16141" width="1.28515625" style="136" customWidth="1"/>
    <col min="16142" max="16384" width="0" style="136" hidden="1"/>
  </cols>
  <sheetData>
    <row r="1" spans="1:255" ht="22.5" customHeight="1" x14ac:dyDescent="0.2">
      <c r="A1" s="455" t="s">
        <v>1</v>
      </c>
      <c r="B1" s="456" t="s">
        <v>84</v>
      </c>
      <c r="C1" s="456"/>
      <c r="D1" s="456"/>
      <c r="E1" s="134" t="s">
        <v>110</v>
      </c>
      <c r="F1" s="457" t="s">
        <v>111</v>
      </c>
      <c r="G1" s="460" t="s">
        <v>112</v>
      </c>
      <c r="H1" s="461" t="s">
        <v>113</v>
      </c>
      <c r="I1" s="469" t="s">
        <v>114</v>
      </c>
      <c r="J1" s="462" t="s">
        <v>115</v>
      </c>
      <c r="K1" s="463" t="s">
        <v>86</v>
      </c>
      <c r="L1" s="464" t="s">
        <v>85</v>
      </c>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c r="IS1" s="135"/>
      <c r="IT1" s="135"/>
      <c r="IU1" s="135"/>
    </row>
    <row r="2" spans="1:255" ht="22.5" customHeight="1" x14ac:dyDescent="0.2">
      <c r="A2" s="455"/>
      <c r="B2" s="465" t="s">
        <v>137</v>
      </c>
      <c r="C2" s="466" t="s">
        <v>116</v>
      </c>
      <c r="D2" s="467" t="s">
        <v>117</v>
      </c>
      <c r="E2" s="468" t="s">
        <v>118</v>
      </c>
      <c r="F2" s="458"/>
      <c r="G2" s="460"/>
      <c r="H2" s="461"/>
      <c r="I2" s="469"/>
      <c r="J2" s="462"/>
      <c r="K2" s="463"/>
      <c r="L2" s="464"/>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c r="DG2" s="137"/>
      <c r="DH2" s="137"/>
      <c r="DI2" s="137"/>
      <c r="DJ2" s="137"/>
      <c r="DK2" s="137"/>
      <c r="DL2" s="137"/>
      <c r="DM2" s="137"/>
      <c r="DN2" s="137"/>
      <c r="DO2" s="137"/>
      <c r="DP2" s="137"/>
      <c r="DQ2" s="137"/>
      <c r="DR2" s="137"/>
      <c r="DS2" s="137"/>
      <c r="DT2" s="137"/>
      <c r="DU2" s="137"/>
      <c r="DV2" s="137"/>
      <c r="DW2" s="137"/>
      <c r="DX2" s="137"/>
      <c r="DY2" s="137"/>
      <c r="DZ2" s="137"/>
      <c r="EA2" s="137"/>
      <c r="EB2" s="137"/>
      <c r="EC2" s="137"/>
      <c r="ED2" s="137"/>
      <c r="EE2" s="137"/>
      <c r="EF2" s="137"/>
      <c r="EG2" s="137"/>
      <c r="EH2" s="137"/>
      <c r="EI2" s="137"/>
      <c r="EJ2" s="137"/>
      <c r="EK2" s="137"/>
      <c r="EL2" s="137"/>
      <c r="EM2" s="137"/>
      <c r="EN2" s="137"/>
      <c r="EO2" s="137"/>
      <c r="EP2" s="137"/>
      <c r="EQ2" s="137"/>
      <c r="ER2" s="137"/>
      <c r="ES2" s="137"/>
      <c r="ET2" s="137"/>
      <c r="EU2" s="137"/>
      <c r="EV2" s="137"/>
      <c r="EW2" s="137"/>
      <c r="EX2" s="137"/>
      <c r="EY2" s="137"/>
      <c r="EZ2" s="137"/>
      <c r="FA2" s="137"/>
      <c r="FB2" s="137"/>
      <c r="FC2" s="137"/>
      <c r="FD2" s="137"/>
      <c r="FE2" s="137"/>
      <c r="FF2" s="137"/>
      <c r="FG2" s="137"/>
      <c r="FH2" s="137"/>
      <c r="FI2" s="137"/>
      <c r="FJ2" s="137"/>
      <c r="FK2" s="137"/>
      <c r="FL2" s="137"/>
      <c r="FM2" s="137"/>
      <c r="FN2" s="137"/>
      <c r="FO2" s="137"/>
      <c r="FP2" s="137"/>
      <c r="FQ2" s="137"/>
      <c r="FR2" s="137"/>
      <c r="FS2" s="137"/>
      <c r="FT2" s="137"/>
      <c r="FU2" s="137"/>
      <c r="FV2" s="137"/>
      <c r="FW2" s="137"/>
      <c r="FX2" s="137"/>
      <c r="FY2" s="137"/>
      <c r="FZ2" s="137"/>
      <c r="GA2" s="137"/>
      <c r="GB2" s="137"/>
      <c r="GC2" s="137"/>
      <c r="GD2" s="137"/>
      <c r="GE2" s="137"/>
      <c r="GF2" s="137"/>
      <c r="GG2" s="137"/>
      <c r="GH2" s="137"/>
      <c r="GI2" s="137"/>
      <c r="GJ2" s="137"/>
      <c r="GK2" s="137"/>
      <c r="GL2" s="137"/>
      <c r="GM2" s="137"/>
      <c r="GN2" s="137"/>
      <c r="GO2" s="137"/>
      <c r="GP2" s="137"/>
      <c r="GQ2" s="137"/>
      <c r="GR2" s="137"/>
      <c r="GS2" s="137"/>
      <c r="GT2" s="137"/>
      <c r="GU2" s="137"/>
      <c r="GV2" s="137"/>
      <c r="GW2" s="137"/>
      <c r="GX2" s="137"/>
      <c r="GY2" s="137"/>
      <c r="GZ2" s="137"/>
      <c r="HA2" s="137"/>
      <c r="HB2" s="137"/>
      <c r="HC2" s="137"/>
      <c r="HD2" s="137"/>
      <c r="HE2" s="137"/>
      <c r="HF2" s="137"/>
      <c r="HG2" s="137"/>
      <c r="HH2" s="137"/>
      <c r="HI2" s="137"/>
      <c r="HJ2" s="137"/>
      <c r="HK2" s="137"/>
      <c r="HL2" s="137"/>
      <c r="HM2" s="137"/>
      <c r="HN2" s="137"/>
      <c r="HO2" s="137"/>
      <c r="HP2" s="137"/>
      <c r="HQ2" s="137"/>
      <c r="HR2" s="137"/>
      <c r="HS2" s="137"/>
      <c r="HT2" s="137"/>
      <c r="HU2" s="137"/>
      <c r="HV2" s="137"/>
      <c r="HW2" s="137"/>
      <c r="HX2" s="137"/>
      <c r="HY2" s="137"/>
      <c r="HZ2" s="137"/>
      <c r="IA2" s="137"/>
      <c r="IB2" s="137"/>
      <c r="IC2" s="137"/>
      <c r="ID2" s="137"/>
      <c r="IE2" s="137"/>
      <c r="IF2" s="137"/>
      <c r="IG2" s="137"/>
      <c r="IH2" s="137"/>
      <c r="II2" s="137"/>
      <c r="IJ2" s="137"/>
      <c r="IK2" s="137"/>
      <c r="IL2" s="137"/>
      <c r="IM2" s="137"/>
      <c r="IN2" s="137"/>
      <c r="IO2" s="137"/>
      <c r="IP2" s="137"/>
      <c r="IQ2" s="137"/>
      <c r="IR2" s="137"/>
      <c r="IS2" s="137"/>
      <c r="IT2" s="137"/>
      <c r="IU2" s="137"/>
    </row>
    <row r="3" spans="1:255" ht="22.5" customHeight="1" x14ac:dyDescent="0.2">
      <c r="A3" s="455"/>
      <c r="B3" s="465"/>
      <c r="C3" s="466"/>
      <c r="D3" s="467"/>
      <c r="E3" s="468"/>
      <c r="F3" s="459"/>
      <c r="G3" s="460"/>
      <c r="H3" s="461"/>
      <c r="I3" s="469"/>
      <c r="J3" s="462"/>
      <c r="K3" s="463"/>
      <c r="L3" s="464"/>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c r="BV3" s="137"/>
      <c r="BW3" s="137"/>
      <c r="BX3" s="137"/>
      <c r="BY3" s="137"/>
      <c r="BZ3" s="137"/>
      <c r="CA3" s="137"/>
      <c r="CB3" s="137"/>
      <c r="CC3" s="137"/>
      <c r="CD3" s="137"/>
      <c r="CE3" s="137"/>
      <c r="CF3" s="137"/>
      <c r="CG3" s="137"/>
      <c r="CH3" s="137"/>
      <c r="CI3" s="137"/>
      <c r="CJ3" s="137"/>
      <c r="CK3" s="137"/>
      <c r="CL3" s="137"/>
      <c r="CM3" s="137"/>
      <c r="CN3" s="137"/>
      <c r="CO3" s="137"/>
      <c r="CP3" s="137"/>
      <c r="CQ3" s="137"/>
      <c r="CR3" s="137"/>
      <c r="CS3" s="137"/>
      <c r="CT3" s="137"/>
      <c r="CU3" s="137"/>
      <c r="CV3" s="137"/>
      <c r="CW3" s="137"/>
      <c r="CX3" s="137"/>
      <c r="CY3" s="137"/>
      <c r="CZ3" s="137"/>
      <c r="DA3" s="137"/>
      <c r="DB3" s="137"/>
      <c r="DC3" s="137"/>
      <c r="DD3" s="137"/>
      <c r="DE3" s="137"/>
      <c r="DF3" s="137"/>
      <c r="DG3" s="137"/>
      <c r="DH3" s="137"/>
      <c r="DI3" s="137"/>
      <c r="DJ3" s="137"/>
      <c r="DK3" s="137"/>
      <c r="DL3" s="137"/>
      <c r="DM3" s="137"/>
      <c r="DN3" s="137"/>
      <c r="DO3" s="137"/>
      <c r="DP3" s="137"/>
      <c r="DQ3" s="137"/>
      <c r="DR3" s="137"/>
      <c r="DS3" s="137"/>
      <c r="DT3" s="137"/>
      <c r="DU3" s="137"/>
      <c r="DV3" s="137"/>
      <c r="DW3" s="137"/>
      <c r="DX3" s="137"/>
      <c r="DY3" s="137"/>
      <c r="DZ3" s="137"/>
      <c r="EA3" s="137"/>
      <c r="EB3" s="137"/>
      <c r="EC3" s="137"/>
      <c r="ED3" s="137"/>
      <c r="EE3" s="137"/>
      <c r="EF3" s="137"/>
      <c r="EG3" s="137"/>
      <c r="EH3" s="137"/>
      <c r="EI3" s="137"/>
      <c r="EJ3" s="137"/>
      <c r="EK3" s="137"/>
      <c r="EL3" s="137"/>
      <c r="EM3" s="137"/>
      <c r="EN3" s="137"/>
      <c r="EO3" s="137"/>
      <c r="EP3" s="137"/>
      <c r="EQ3" s="137"/>
      <c r="ER3" s="137"/>
      <c r="ES3" s="137"/>
      <c r="ET3" s="137"/>
      <c r="EU3" s="137"/>
      <c r="EV3" s="137"/>
      <c r="EW3" s="137"/>
      <c r="EX3" s="137"/>
      <c r="EY3" s="137"/>
      <c r="EZ3" s="137"/>
      <c r="FA3" s="137"/>
      <c r="FB3" s="137"/>
      <c r="FC3" s="137"/>
      <c r="FD3" s="137"/>
      <c r="FE3" s="137"/>
      <c r="FF3" s="137"/>
      <c r="FG3" s="137"/>
      <c r="FH3" s="137"/>
      <c r="FI3" s="137"/>
      <c r="FJ3" s="137"/>
      <c r="FK3" s="137"/>
      <c r="FL3" s="137"/>
      <c r="FM3" s="137"/>
      <c r="FN3" s="137"/>
      <c r="FO3" s="137"/>
      <c r="FP3" s="137"/>
      <c r="FQ3" s="137"/>
      <c r="FR3" s="137"/>
      <c r="FS3" s="137"/>
      <c r="FT3" s="137"/>
      <c r="FU3" s="137"/>
      <c r="FV3" s="137"/>
      <c r="FW3" s="137"/>
      <c r="FX3" s="137"/>
      <c r="FY3" s="137"/>
      <c r="FZ3" s="137"/>
      <c r="GA3" s="137"/>
      <c r="GB3" s="137"/>
      <c r="GC3" s="137"/>
      <c r="GD3" s="137"/>
      <c r="GE3" s="137"/>
      <c r="GF3" s="137"/>
      <c r="GG3" s="137"/>
      <c r="GH3" s="137"/>
      <c r="GI3" s="137"/>
      <c r="GJ3" s="137"/>
      <c r="GK3" s="137"/>
      <c r="GL3" s="137"/>
      <c r="GM3" s="137"/>
      <c r="GN3" s="137"/>
      <c r="GO3" s="137"/>
      <c r="GP3" s="137"/>
      <c r="GQ3" s="137"/>
      <c r="GR3" s="137"/>
      <c r="GS3" s="137"/>
      <c r="GT3" s="137"/>
      <c r="GU3" s="137"/>
      <c r="GV3" s="137"/>
      <c r="GW3" s="137"/>
      <c r="GX3" s="137"/>
      <c r="GY3" s="137"/>
      <c r="GZ3" s="137"/>
      <c r="HA3" s="137"/>
      <c r="HB3" s="137"/>
      <c r="HC3" s="137"/>
      <c r="HD3" s="137"/>
      <c r="HE3" s="137"/>
      <c r="HF3" s="137"/>
      <c r="HG3" s="137"/>
      <c r="HH3" s="137"/>
      <c r="HI3" s="137"/>
      <c r="HJ3" s="137"/>
      <c r="HK3" s="137"/>
      <c r="HL3" s="137"/>
      <c r="HM3" s="137"/>
      <c r="HN3" s="137"/>
      <c r="HO3" s="137"/>
      <c r="HP3" s="137"/>
      <c r="HQ3" s="137"/>
      <c r="HR3" s="137"/>
      <c r="HS3" s="137"/>
      <c r="HT3" s="137"/>
      <c r="HU3" s="137"/>
      <c r="HV3" s="137"/>
      <c r="HW3" s="137"/>
      <c r="HX3" s="137"/>
      <c r="HY3" s="137"/>
      <c r="HZ3" s="137"/>
      <c r="IA3" s="137"/>
      <c r="IB3" s="137"/>
      <c r="IC3" s="137"/>
      <c r="ID3" s="137"/>
      <c r="IE3" s="137"/>
      <c r="IF3" s="137"/>
      <c r="IG3" s="137"/>
      <c r="IH3" s="137"/>
      <c r="II3" s="137"/>
      <c r="IJ3" s="137"/>
      <c r="IK3" s="137"/>
      <c r="IL3" s="137"/>
      <c r="IM3" s="137"/>
      <c r="IN3" s="137"/>
      <c r="IO3" s="137"/>
      <c r="IP3" s="137"/>
      <c r="IQ3" s="137"/>
      <c r="IR3" s="137"/>
      <c r="IS3" s="137"/>
      <c r="IT3" s="137"/>
      <c r="IU3" s="137"/>
    </row>
    <row r="4" spans="1:255" ht="12.75" x14ac:dyDescent="0.2">
      <c r="A4" s="288">
        <f>'GENEL HASILAT'!A7</f>
        <v>45566</v>
      </c>
      <c r="B4" s="254">
        <v>33</v>
      </c>
      <c r="C4" s="267">
        <v>21</v>
      </c>
      <c r="D4" s="145">
        <v>109</v>
      </c>
      <c r="E4" s="146">
        <f>SUM('OTOPARK GİRİŞ-ÇIKIŞ'!H5+'OTOPARK GİRİŞ-ÇIKIŞ'!J5)-D4</f>
        <v>890</v>
      </c>
      <c r="F4" s="147">
        <f>SUM(D4,E4)</f>
        <v>999</v>
      </c>
      <c r="G4" s="258">
        <f>SUM('OTOPARK GİRİŞ-ÇIKIŞ'!C5,'OTOPARK GİRİŞ-ÇIKIŞ'!E5,'OTOPARK GİRİŞ-ÇIKIŞ'!F5,'OTOPARK GİRİŞ-ÇIKIŞ'!K5,'OTOPARK GİRİŞ-ÇIKIŞ'!L5)</f>
        <v>1145</v>
      </c>
      <c r="H4" s="261">
        <f t="shared" ref="H4:H34" si="0">B4+C4+D4</f>
        <v>163</v>
      </c>
      <c r="I4" s="148">
        <f>+E4+G4</f>
        <v>2035</v>
      </c>
      <c r="J4" s="264">
        <f>H4+I4</f>
        <v>2198</v>
      </c>
      <c r="K4" s="270">
        <f>+H4/J4</f>
        <v>7.4158325750682444E-2</v>
      </c>
      <c r="L4" s="273">
        <f>+I4/J4</f>
        <v>0.92584167424931751</v>
      </c>
    </row>
    <row r="5" spans="1:255" ht="12.75" x14ac:dyDescent="0.2">
      <c r="A5" s="288">
        <f>'GENEL HASILAT'!A8</f>
        <v>45567</v>
      </c>
      <c r="B5" s="255">
        <v>35</v>
      </c>
      <c r="C5" s="268">
        <v>15</v>
      </c>
      <c r="D5" s="138">
        <v>124</v>
      </c>
      <c r="E5" s="139">
        <f>SUM('OTOPARK GİRİŞ-ÇIKIŞ'!H6+'OTOPARK GİRİŞ-ÇIKIŞ'!J6)-D5</f>
        <v>855</v>
      </c>
      <c r="F5" s="140">
        <f>SUM(D5:E5)</f>
        <v>979</v>
      </c>
      <c r="G5" s="259">
        <f>SUM('OTOPARK GİRİŞ-ÇIKIŞ'!C6,'OTOPARK GİRİŞ-ÇIKIŞ'!E6,'OTOPARK GİRİŞ-ÇIKIŞ'!F6,'OTOPARK GİRİŞ-ÇIKIŞ'!K6,'OTOPARK GİRİŞ-ÇIKIŞ'!L6)</f>
        <v>958</v>
      </c>
      <c r="H5" s="262">
        <f t="shared" si="0"/>
        <v>174</v>
      </c>
      <c r="I5" s="141">
        <f t="shared" ref="I5:I35" si="1">+E5+G5</f>
        <v>1813</v>
      </c>
      <c r="J5" s="265">
        <f t="shared" ref="J5:J34" si="2">H5+I5</f>
        <v>1987</v>
      </c>
      <c r="K5" s="271">
        <f t="shared" ref="K5:K34" si="3">+H5/J5</f>
        <v>8.7569199798691488E-2</v>
      </c>
      <c r="L5" s="274">
        <f t="shared" ref="L5:L34" si="4">+I5/J5</f>
        <v>0.91243080020130851</v>
      </c>
    </row>
    <row r="6" spans="1:255" ht="12.75" x14ac:dyDescent="0.2">
      <c r="A6" s="288">
        <f>'GENEL HASILAT'!A9</f>
        <v>45568</v>
      </c>
      <c r="B6" s="255">
        <v>33</v>
      </c>
      <c r="C6" s="268">
        <v>17</v>
      </c>
      <c r="D6" s="138">
        <v>123</v>
      </c>
      <c r="E6" s="139">
        <f>SUM('OTOPARK GİRİŞ-ÇIKIŞ'!H7+'OTOPARK GİRİŞ-ÇIKIŞ'!J7)-D6</f>
        <v>944</v>
      </c>
      <c r="F6" s="140">
        <f t="shared" ref="F6:F34" si="5">SUM(D6:E6)</f>
        <v>1067</v>
      </c>
      <c r="G6" s="259">
        <f>SUM('OTOPARK GİRİŞ-ÇIKIŞ'!C7,'OTOPARK GİRİŞ-ÇIKIŞ'!E7,'OTOPARK GİRİŞ-ÇIKIŞ'!F7,'OTOPARK GİRİŞ-ÇIKIŞ'!K7,'OTOPARK GİRİŞ-ÇIKIŞ'!L7)</f>
        <v>1011</v>
      </c>
      <c r="H6" s="262">
        <f t="shared" si="0"/>
        <v>173</v>
      </c>
      <c r="I6" s="141">
        <f t="shared" si="1"/>
        <v>1955</v>
      </c>
      <c r="J6" s="265">
        <f t="shared" si="2"/>
        <v>2128</v>
      </c>
      <c r="K6" s="271">
        <f t="shared" si="3"/>
        <v>8.1296992481203006E-2</v>
      </c>
      <c r="L6" s="274">
        <f t="shared" si="4"/>
        <v>0.91870300751879697</v>
      </c>
    </row>
    <row r="7" spans="1:255" ht="12.75" x14ac:dyDescent="0.2">
      <c r="A7" s="288">
        <f>'GENEL HASILAT'!A10</f>
        <v>45569</v>
      </c>
      <c r="B7" s="255">
        <v>66</v>
      </c>
      <c r="C7" s="268">
        <v>23</v>
      </c>
      <c r="D7" s="138">
        <v>114</v>
      </c>
      <c r="E7" s="139">
        <f>SUM('OTOPARK GİRİŞ-ÇIKIŞ'!H8+'OTOPARK GİRİŞ-ÇIKIŞ'!J8)-D7</f>
        <v>915</v>
      </c>
      <c r="F7" s="140">
        <f t="shared" si="5"/>
        <v>1029</v>
      </c>
      <c r="G7" s="259">
        <f>SUM('OTOPARK GİRİŞ-ÇIKIŞ'!C8,'OTOPARK GİRİŞ-ÇIKIŞ'!E8,'OTOPARK GİRİŞ-ÇIKIŞ'!F8,'OTOPARK GİRİŞ-ÇIKIŞ'!K8,'OTOPARK GİRİŞ-ÇIKIŞ'!L8)</f>
        <v>921</v>
      </c>
      <c r="H7" s="262">
        <f t="shared" si="0"/>
        <v>203</v>
      </c>
      <c r="I7" s="141">
        <f t="shared" si="1"/>
        <v>1836</v>
      </c>
      <c r="J7" s="265">
        <f t="shared" si="2"/>
        <v>2039</v>
      </c>
      <c r="K7" s="271">
        <f t="shared" si="3"/>
        <v>9.9558607160372736E-2</v>
      </c>
      <c r="L7" s="274">
        <f t="shared" si="4"/>
        <v>0.90044139283962732</v>
      </c>
    </row>
    <row r="8" spans="1:255" ht="12.75" x14ac:dyDescent="0.2">
      <c r="A8" s="288">
        <f>'GENEL HASILAT'!A11</f>
        <v>45570</v>
      </c>
      <c r="B8" s="255">
        <v>22</v>
      </c>
      <c r="C8" s="268">
        <v>14</v>
      </c>
      <c r="D8" s="138">
        <v>71</v>
      </c>
      <c r="E8" s="139">
        <f>SUM('OTOPARK GİRİŞ-ÇIKIŞ'!H9+'OTOPARK GİRİŞ-ÇIKIŞ'!J9)-D8</f>
        <v>875</v>
      </c>
      <c r="F8" s="140">
        <f t="shared" si="5"/>
        <v>946</v>
      </c>
      <c r="G8" s="259">
        <f>SUM('OTOPARK GİRİŞ-ÇIKIŞ'!C9,'OTOPARK GİRİŞ-ÇIKIŞ'!E9,'OTOPARK GİRİŞ-ÇIKIŞ'!F9,'OTOPARK GİRİŞ-ÇIKIŞ'!K9,'OTOPARK GİRİŞ-ÇIKIŞ'!L9)</f>
        <v>1146</v>
      </c>
      <c r="H8" s="262">
        <f t="shared" si="0"/>
        <v>107</v>
      </c>
      <c r="I8" s="141">
        <f t="shared" si="1"/>
        <v>2021</v>
      </c>
      <c r="J8" s="265">
        <f t="shared" si="2"/>
        <v>2128</v>
      </c>
      <c r="K8" s="271">
        <f t="shared" si="3"/>
        <v>5.0281954887218046E-2</v>
      </c>
      <c r="L8" s="274">
        <f t="shared" si="4"/>
        <v>0.94971804511278191</v>
      </c>
    </row>
    <row r="9" spans="1:255" ht="12.75" x14ac:dyDescent="0.2">
      <c r="A9" s="288">
        <f>'GENEL HASILAT'!A12</f>
        <v>45571</v>
      </c>
      <c r="B9" s="255">
        <v>30</v>
      </c>
      <c r="C9" s="268">
        <v>17</v>
      </c>
      <c r="D9" s="138">
        <v>63</v>
      </c>
      <c r="E9" s="139">
        <f>SUM('OTOPARK GİRİŞ-ÇIKIŞ'!H10+'OTOPARK GİRİŞ-ÇIKIŞ'!J10)-D9</f>
        <v>814</v>
      </c>
      <c r="F9" s="140">
        <f t="shared" si="5"/>
        <v>877</v>
      </c>
      <c r="G9" s="259">
        <f>SUM('OTOPARK GİRİŞ-ÇIKIŞ'!C10,'OTOPARK GİRİŞ-ÇIKIŞ'!E10,'OTOPARK GİRİŞ-ÇIKIŞ'!F10,'OTOPARK GİRİŞ-ÇIKIŞ'!K10,'OTOPARK GİRİŞ-ÇIKIŞ'!L10)</f>
        <v>1336</v>
      </c>
      <c r="H9" s="262">
        <f t="shared" si="0"/>
        <v>110</v>
      </c>
      <c r="I9" s="141">
        <f t="shared" si="1"/>
        <v>2150</v>
      </c>
      <c r="J9" s="265">
        <f t="shared" si="2"/>
        <v>2260</v>
      </c>
      <c r="K9" s="271">
        <f t="shared" si="3"/>
        <v>4.8672566371681415E-2</v>
      </c>
      <c r="L9" s="274">
        <f t="shared" si="4"/>
        <v>0.95132743362831862</v>
      </c>
    </row>
    <row r="10" spans="1:255" ht="12.75" x14ac:dyDescent="0.2">
      <c r="A10" s="288">
        <f>'GENEL HASILAT'!A13</f>
        <v>45572</v>
      </c>
      <c r="B10" s="255">
        <v>27</v>
      </c>
      <c r="C10" s="268">
        <v>12</v>
      </c>
      <c r="D10" s="138">
        <v>124</v>
      </c>
      <c r="E10" s="139">
        <f>SUM('OTOPARK GİRİŞ-ÇIKIŞ'!H11+'OTOPARK GİRİŞ-ÇIKIŞ'!J11)-D10</f>
        <v>919</v>
      </c>
      <c r="F10" s="140">
        <f t="shared" si="5"/>
        <v>1043</v>
      </c>
      <c r="G10" s="259">
        <f>SUM('OTOPARK GİRİŞ-ÇIKIŞ'!C11,'OTOPARK GİRİŞ-ÇIKIŞ'!E11,'OTOPARK GİRİŞ-ÇIKIŞ'!F11,'OTOPARK GİRİŞ-ÇIKIŞ'!K11,'OTOPARK GİRİŞ-ÇIKIŞ'!L11)</f>
        <v>1064</v>
      </c>
      <c r="H10" s="262">
        <f t="shared" si="0"/>
        <v>163</v>
      </c>
      <c r="I10" s="141">
        <f t="shared" si="1"/>
        <v>1983</v>
      </c>
      <c r="J10" s="265">
        <f t="shared" si="2"/>
        <v>2146</v>
      </c>
      <c r="K10" s="271">
        <f t="shared" si="3"/>
        <v>7.5955265610438027E-2</v>
      </c>
      <c r="L10" s="274">
        <f t="shared" si="4"/>
        <v>0.92404473438956203</v>
      </c>
    </row>
    <row r="11" spans="1:255" ht="12.75" x14ac:dyDescent="0.2">
      <c r="A11" s="288">
        <f>'GENEL HASILAT'!A14</f>
        <v>45573</v>
      </c>
      <c r="B11" s="255">
        <v>24</v>
      </c>
      <c r="C11" s="268">
        <v>22</v>
      </c>
      <c r="D11" s="138">
        <v>112</v>
      </c>
      <c r="E11" s="139">
        <f>SUM('OTOPARK GİRİŞ-ÇIKIŞ'!H12+'OTOPARK GİRİŞ-ÇIKIŞ'!J12)-D11</f>
        <v>823</v>
      </c>
      <c r="F11" s="140">
        <f t="shared" si="5"/>
        <v>935</v>
      </c>
      <c r="G11" s="259">
        <f>SUM('OTOPARK GİRİŞ-ÇIKIŞ'!C12,'OTOPARK GİRİŞ-ÇIKIŞ'!E12,'OTOPARK GİRİŞ-ÇIKIŞ'!F12,'OTOPARK GİRİŞ-ÇIKIŞ'!K12,'OTOPARK GİRİŞ-ÇIKIŞ'!L12)</f>
        <v>953</v>
      </c>
      <c r="H11" s="262">
        <f t="shared" si="0"/>
        <v>158</v>
      </c>
      <c r="I11" s="141">
        <f t="shared" si="1"/>
        <v>1776</v>
      </c>
      <c r="J11" s="265">
        <f t="shared" si="2"/>
        <v>1934</v>
      </c>
      <c r="K11" s="271">
        <f t="shared" si="3"/>
        <v>8.1695966907962769E-2</v>
      </c>
      <c r="L11" s="274">
        <f t="shared" si="4"/>
        <v>0.91830403309203723</v>
      </c>
    </row>
    <row r="12" spans="1:255" ht="12.75" x14ac:dyDescent="0.2">
      <c r="A12" s="288">
        <f>'GENEL HASILAT'!A15</f>
        <v>45574</v>
      </c>
      <c r="B12" s="255">
        <v>22</v>
      </c>
      <c r="C12" s="268">
        <v>28</v>
      </c>
      <c r="D12" s="138">
        <v>106</v>
      </c>
      <c r="E12" s="139">
        <f>SUM('OTOPARK GİRİŞ-ÇIKIŞ'!H13+'OTOPARK GİRİŞ-ÇIKIŞ'!J13)-D12</f>
        <v>812</v>
      </c>
      <c r="F12" s="140">
        <f t="shared" si="5"/>
        <v>918</v>
      </c>
      <c r="G12" s="259">
        <f>SUM('OTOPARK GİRİŞ-ÇIKIŞ'!C13,'OTOPARK GİRİŞ-ÇIKIŞ'!E13,'OTOPARK GİRİŞ-ÇIKIŞ'!F13,'OTOPARK GİRİŞ-ÇIKIŞ'!K13,'OTOPARK GİRİŞ-ÇIKIŞ'!L13)</f>
        <v>910</v>
      </c>
      <c r="H12" s="262">
        <f t="shared" si="0"/>
        <v>156</v>
      </c>
      <c r="I12" s="141">
        <f t="shared" si="1"/>
        <v>1722</v>
      </c>
      <c r="J12" s="265">
        <f t="shared" si="2"/>
        <v>1878</v>
      </c>
      <c r="K12" s="271">
        <f t="shared" si="3"/>
        <v>8.3067092651757185E-2</v>
      </c>
      <c r="L12" s="274">
        <f t="shared" si="4"/>
        <v>0.91693290734824284</v>
      </c>
    </row>
    <row r="13" spans="1:255" ht="12.75" x14ac:dyDescent="0.2">
      <c r="A13" s="288">
        <f>'GENEL HASILAT'!A16</f>
        <v>45575</v>
      </c>
      <c r="B13" s="255">
        <v>26</v>
      </c>
      <c r="C13" s="268">
        <v>18</v>
      </c>
      <c r="D13" s="138">
        <v>105</v>
      </c>
      <c r="E13" s="139">
        <f>SUM('OTOPARK GİRİŞ-ÇIKIŞ'!H14+'OTOPARK GİRİŞ-ÇIKIŞ'!J14)-D13</f>
        <v>869</v>
      </c>
      <c r="F13" s="140">
        <f t="shared" si="5"/>
        <v>974</v>
      </c>
      <c r="G13" s="259">
        <f>SUM('OTOPARK GİRİŞ-ÇIKIŞ'!C14,'OTOPARK GİRİŞ-ÇIKIŞ'!E14,'OTOPARK GİRİŞ-ÇIKIŞ'!F14,'OTOPARK GİRİŞ-ÇIKIŞ'!K14,'OTOPARK GİRİŞ-ÇIKIŞ'!L14)</f>
        <v>979</v>
      </c>
      <c r="H13" s="262">
        <f t="shared" si="0"/>
        <v>149</v>
      </c>
      <c r="I13" s="141">
        <f t="shared" si="1"/>
        <v>1848</v>
      </c>
      <c r="J13" s="265">
        <f t="shared" si="2"/>
        <v>1997</v>
      </c>
      <c r="K13" s="271">
        <f t="shared" si="3"/>
        <v>7.4611917876815217E-2</v>
      </c>
      <c r="L13" s="274">
        <f t="shared" si="4"/>
        <v>0.9253880821231848</v>
      </c>
    </row>
    <row r="14" spans="1:255" ht="12.75" x14ac:dyDescent="0.2">
      <c r="A14" s="288">
        <f>'GENEL HASILAT'!A17</f>
        <v>45576</v>
      </c>
      <c r="B14" s="255">
        <v>44</v>
      </c>
      <c r="C14" s="268">
        <v>20</v>
      </c>
      <c r="D14" s="138">
        <v>122</v>
      </c>
      <c r="E14" s="139">
        <f>SUM('OTOPARK GİRİŞ-ÇIKIŞ'!H15+'OTOPARK GİRİŞ-ÇIKIŞ'!J15)-D14</f>
        <v>864</v>
      </c>
      <c r="F14" s="140">
        <f t="shared" si="5"/>
        <v>986</v>
      </c>
      <c r="G14" s="259">
        <f>SUM('OTOPARK GİRİŞ-ÇIKIŞ'!C15,'OTOPARK GİRİŞ-ÇIKIŞ'!E15,'OTOPARK GİRİŞ-ÇIKIŞ'!F15,'OTOPARK GİRİŞ-ÇIKIŞ'!K15,'OTOPARK GİRİŞ-ÇIKIŞ'!L15)</f>
        <v>943</v>
      </c>
      <c r="H14" s="262">
        <f t="shared" si="0"/>
        <v>186</v>
      </c>
      <c r="I14" s="141">
        <f t="shared" si="1"/>
        <v>1807</v>
      </c>
      <c r="J14" s="265">
        <f t="shared" si="2"/>
        <v>1993</v>
      </c>
      <c r="K14" s="271">
        <f t="shared" si="3"/>
        <v>9.3326643251379834E-2</v>
      </c>
      <c r="L14" s="274">
        <f t="shared" si="4"/>
        <v>0.90667335674862015</v>
      </c>
    </row>
    <row r="15" spans="1:255" ht="12.75" x14ac:dyDescent="0.2">
      <c r="A15" s="288">
        <f>'GENEL HASILAT'!A18</f>
        <v>45577</v>
      </c>
      <c r="B15" s="255">
        <v>30</v>
      </c>
      <c r="C15" s="268">
        <v>16</v>
      </c>
      <c r="D15" s="138">
        <v>67</v>
      </c>
      <c r="E15" s="139">
        <f>SUM('OTOPARK GİRİŞ-ÇIKIŞ'!H16+'OTOPARK GİRİŞ-ÇIKIŞ'!J16)-D15</f>
        <v>851</v>
      </c>
      <c r="F15" s="140">
        <f t="shared" si="5"/>
        <v>918</v>
      </c>
      <c r="G15" s="259">
        <f>SUM('OTOPARK GİRİŞ-ÇIKIŞ'!C16,'OTOPARK GİRİŞ-ÇIKIŞ'!E16,'OTOPARK GİRİŞ-ÇIKIŞ'!F16,'OTOPARK GİRİŞ-ÇIKIŞ'!K16,'OTOPARK GİRİŞ-ÇIKIŞ'!L16)</f>
        <v>1085</v>
      </c>
      <c r="H15" s="262">
        <f t="shared" si="0"/>
        <v>113</v>
      </c>
      <c r="I15" s="141">
        <f t="shared" si="1"/>
        <v>1936</v>
      </c>
      <c r="J15" s="265">
        <f t="shared" si="2"/>
        <v>2049</v>
      </c>
      <c r="K15" s="271">
        <f t="shared" si="3"/>
        <v>5.514885309907272E-2</v>
      </c>
      <c r="L15" s="274">
        <f t="shared" si="4"/>
        <v>0.94485114690092731</v>
      </c>
    </row>
    <row r="16" spans="1:255" ht="12.75" x14ac:dyDescent="0.2">
      <c r="A16" s="288">
        <f>'GENEL HASILAT'!A19</f>
        <v>45578</v>
      </c>
      <c r="B16" s="255">
        <v>36</v>
      </c>
      <c r="C16" s="268">
        <v>15</v>
      </c>
      <c r="D16" s="138">
        <v>66</v>
      </c>
      <c r="E16" s="139">
        <f>SUM('OTOPARK GİRİŞ-ÇIKIŞ'!H17+'OTOPARK GİRİŞ-ÇIKIŞ'!J17)-D16</f>
        <v>759</v>
      </c>
      <c r="F16" s="140">
        <f t="shared" si="5"/>
        <v>825</v>
      </c>
      <c r="G16" s="259">
        <f>SUM('OTOPARK GİRİŞ-ÇIKIŞ'!C17,'OTOPARK GİRİŞ-ÇIKIŞ'!E17,'OTOPARK GİRİŞ-ÇIKIŞ'!F17,'OTOPARK GİRİŞ-ÇIKIŞ'!K17,'OTOPARK GİRİŞ-ÇIKIŞ'!L17)</f>
        <v>1179</v>
      </c>
      <c r="H16" s="262">
        <f t="shared" si="0"/>
        <v>117</v>
      </c>
      <c r="I16" s="141">
        <f t="shared" si="1"/>
        <v>1938</v>
      </c>
      <c r="J16" s="265">
        <f t="shared" si="2"/>
        <v>2055</v>
      </c>
      <c r="K16" s="271">
        <f t="shared" si="3"/>
        <v>5.6934306569343063E-2</v>
      </c>
      <c r="L16" s="274">
        <f t="shared" si="4"/>
        <v>0.94306569343065694</v>
      </c>
    </row>
    <row r="17" spans="1:12" ht="12.75" x14ac:dyDescent="0.2">
      <c r="A17" s="288">
        <f>'GENEL HASILAT'!A20</f>
        <v>45579</v>
      </c>
      <c r="B17" s="255">
        <v>33</v>
      </c>
      <c r="C17" s="268">
        <v>22</v>
      </c>
      <c r="D17" s="138">
        <v>130</v>
      </c>
      <c r="E17" s="139">
        <f>SUM('OTOPARK GİRİŞ-ÇIKIŞ'!H18+'OTOPARK GİRİŞ-ÇIKIŞ'!J18)-D17</f>
        <v>891</v>
      </c>
      <c r="F17" s="140">
        <f t="shared" si="5"/>
        <v>1021</v>
      </c>
      <c r="G17" s="259">
        <f>SUM('OTOPARK GİRİŞ-ÇIKIŞ'!C18,'OTOPARK GİRİŞ-ÇIKIŞ'!E18,'OTOPARK GİRİŞ-ÇIKIŞ'!F18,'OTOPARK GİRİŞ-ÇIKIŞ'!K18,'OTOPARK GİRİŞ-ÇIKIŞ'!L18)</f>
        <v>1185</v>
      </c>
      <c r="H17" s="262">
        <f t="shared" si="0"/>
        <v>185</v>
      </c>
      <c r="I17" s="141">
        <f t="shared" si="1"/>
        <v>2076</v>
      </c>
      <c r="J17" s="265">
        <f t="shared" si="2"/>
        <v>2261</v>
      </c>
      <c r="K17" s="271">
        <f t="shared" si="3"/>
        <v>8.1822202565236618E-2</v>
      </c>
      <c r="L17" s="274">
        <f t="shared" si="4"/>
        <v>0.91817779743476335</v>
      </c>
    </row>
    <row r="18" spans="1:12" ht="12.75" x14ac:dyDescent="0.2">
      <c r="A18" s="288">
        <f>'GENEL HASILAT'!A21</f>
        <v>45580</v>
      </c>
      <c r="B18" s="255">
        <v>30</v>
      </c>
      <c r="C18" s="268">
        <v>18</v>
      </c>
      <c r="D18" s="138">
        <v>109</v>
      </c>
      <c r="E18" s="139">
        <f>SUM('OTOPARK GİRİŞ-ÇIKIŞ'!H19+'OTOPARK GİRİŞ-ÇIKIŞ'!J19)-D18</f>
        <v>806</v>
      </c>
      <c r="F18" s="140">
        <f t="shared" si="5"/>
        <v>915</v>
      </c>
      <c r="G18" s="259">
        <f>SUM('OTOPARK GİRİŞ-ÇIKIŞ'!C19,'OTOPARK GİRİŞ-ÇIKIŞ'!E19,'OTOPARK GİRİŞ-ÇIKIŞ'!F19,'OTOPARK GİRİŞ-ÇIKIŞ'!K19,'OTOPARK GİRİŞ-ÇIKIŞ'!L19)</f>
        <v>923</v>
      </c>
      <c r="H18" s="262">
        <f t="shared" si="0"/>
        <v>157</v>
      </c>
      <c r="I18" s="141">
        <f t="shared" si="1"/>
        <v>1729</v>
      </c>
      <c r="J18" s="265">
        <f t="shared" si="2"/>
        <v>1886</v>
      </c>
      <c r="K18" s="271">
        <f t="shared" si="3"/>
        <v>8.3244962884411453E-2</v>
      </c>
      <c r="L18" s="274">
        <f t="shared" si="4"/>
        <v>0.91675503711558859</v>
      </c>
    </row>
    <row r="19" spans="1:12" ht="12.75" x14ac:dyDescent="0.2">
      <c r="A19" s="288">
        <f>'GENEL HASILAT'!A22</f>
        <v>45581</v>
      </c>
      <c r="B19" s="255">
        <v>28</v>
      </c>
      <c r="C19" s="268">
        <v>16</v>
      </c>
      <c r="D19" s="138">
        <v>112</v>
      </c>
      <c r="E19" s="139">
        <f>SUM('OTOPARK GİRİŞ-ÇIKIŞ'!H20+'OTOPARK GİRİŞ-ÇIKIŞ'!J20)-D19</f>
        <v>805</v>
      </c>
      <c r="F19" s="140">
        <f t="shared" si="5"/>
        <v>917</v>
      </c>
      <c r="G19" s="259">
        <f>SUM('OTOPARK GİRİŞ-ÇIKIŞ'!C20,'OTOPARK GİRİŞ-ÇIKIŞ'!E20,'OTOPARK GİRİŞ-ÇIKIŞ'!F20,'OTOPARK GİRİŞ-ÇIKIŞ'!K20,'OTOPARK GİRİŞ-ÇIKIŞ'!L20)</f>
        <v>908</v>
      </c>
      <c r="H19" s="262">
        <f t="shared" si="0"/>
        <v>156</v>
      </c>
      <c r="I19" s="141">
        <f t="shared" si="1"/>
        <v>1713</v>
      </c>
      <c r="J19" s="265">
        <f t="shared" si="2"/>
        <v>1869</v>
      </c>
      <c r="K19" s="271">
        <f t="shared" si="3"/>
        <v>8.3467094703049763E-2</v>
      </c>
      <c r="L19" s="274">
        <f t="shared" si="4"/>
        <v>0.9165329052969502</v>
      </c>
    </row>
    <row r="20" spans="1:12" ht="12.75" x14ac:dyDescent="0.2">
      <c r="A20" s="288">
        <f>'GENEL HASILAT'!A23</f>
        <v>45582</v>
      </c>
      <c r="B20" s="255">
        <v>35</v>
      </c>
      <c r="C20" s="268">
        <v>21</v>
      </c>
      <c r="D20" s="138">
        <v>108</v>
      </c>
      <c r="E20" s="139">
        <f>SUM('OTOPARK GİRİŞ-ÇIKIŞ'!H21+'OTOPARK GİRİŞ-ÇIKIŞ'!J21)-D20</f>
        <v>794</v>
      </c>
      <c r="F20" s="140">
        <f t="shared" si="5"/>
        <v>902</v>
      </c>
      <c r="G20" s="259">
        <f>SUM('OTOPARK GİRİŞ-ÇIKIŞ'!C21,'OTOPARK GİRİŞ-ÇIKIŞ'!E21,'OTOPARK GİRİŞ-ÇIKIŞ'!F21,'OTOPARK GİRİŞ-ÇIKIŞ'!K21,'OTOPARK GİRİŞ-ÇIKIŞ'!L21)</f>
        <v>909</v>
      </c>
      <c r="H20" s="262">
        <f t="shared" si="0"/>
        <v>164</v>
      </c>
      <c r="I20" s="141">
        <f t="shared" si="1"/>
        <v>1703</v>
      </c>
      <c r="J20" s="265">
        <f t="shared" si="2"/>
        <v>1867</v>
      </c>
      <c r="K20" s="271">
        <f t="shared" si="3"/>
        <v>8.7841456882699523E-2</v>
      </c>
      <c r="L20" s="274">
        <f t="shared" si="4"/>
        <v>0.91215854311730049</v>
      </c>
    </row>
    <row r="21" spans="1:12" ht="12.75" x14ac:dyDescent="0.2">
      <c r="A21" s="288">
        <f>'GENEL HASILAT'!A24</f>
        <v>45583</v>
      </c>
      <c r="B21" s="255">
        <v>42</v>
      </c>
      <c r="C21" s="268">
        <v>23</v>
      </c>
      <c r="D21" s="138">
        <v>123</v>
      </c>
      <c r="E21" s="139">
        <f>SUM('OTOPARK GİRİŞ-ÇIKIŞ'!H22+'OTOPARK GİRİŞ-ÇIKIŞ'!J22)-D21</f>
        <v>799</v>
      </c>
      <c r="F21" s="140">
        <f t="shared" si="5"/>
        <v>922</v>
      </c>
      <c r="G21" s="259">
        <f>SUM('OTOPARK GİRİŞ-ÇIKIŞ'!C22,'OTOPARK GİRİŞ-ÇIKIŞ'!E22,'OTOPARK GİRİŞ-ÇIKIŞ'!F22,'OTOPARK GİRİŞ-ÇIKIŞ'!K22,'OTOPARK GİRİŞ-ÇIKIŞ'!L22)</f>
        <v>946</v>
      </c>
      <c r="H21" s="262">
        <f t="shared" si="0"/>
        <v>188</v>
      </c>
      <c r="I21" s="141">
        <f t="shared" si="1"/>
        <v>1745</v>
      </c>
      <c r="J21" s="265">
        <f t="shared" si="2"/>
        <v>1933</v>
      </c>
      <c r="K21" s="271">
        <f t="shared" si="3"/>
        <v>9.7258147956544236E-2</v>
      </c>
      <c r="L21" s="274">
        <f t="shared" si="4"/>
        <v>0.90274185204345581</v>
      </c>
    </row>
    <row r="22" spans="1:12" ht="12.75" x14ac:dyDescent="0.2">
      <c r="A22" s="288">
        <f>'GENEL HASILAT'!A25</f>
        <v>45584</v>
      </c>
      <c r="B22" s="255">
        <v>27</v>
      </c>
      <c r="C22" s="268">
        <v>13</v>
      </c>
      <c r="D22" s="138">
        <v>79</v>
      </c>
      <c r="E22" s="139">
        <f>SUM('OTOPARK GİRİŞ-ÇIKIŞ'!H23+'OTOPARK GİRİŞ-ÇIKIŞ'!J23)-D22</f>
        <v>774</v>
      </c>
      <c r="F22" s="140">
        <f t="shared" si="5"/>
        <v>853</v>
      </c>
      <c r="G22" s="259">
        <f>SUM('OTOPARK GİRİŞ-ÇIKIŞ'!C23,'OTOPARK GİRİŞ-ÇIKIŞ'!E23,'OTOPARK GİRİŞ-ÇIKIŞ'!F23,'OTOPARK GİRİŞ-ÇIKIŞ'!K23,'OTOPARK GİRİŞ-ÇIKIŞ'!L23)</f>
        <v>979</v>
      </c>
      <c r="H22" s="262">
        <f t="shared" si="0"/>
        <v>119</v>
      </c>
      <c r="I22" s="141">
        <f t="shared" si="1"/>
        <v>1753</v>
      </c>
      <c r="J22" s="265">
        <f t="shared" si="2"/>
        <v>1872</v>
      </c>
      <c r="K22" s="271">
        <f t="shared" si="3"/>
        <v>6.3568376068376065E-2</v>
      </c>
      <c r="L22" s="274">
        <f t="shared" si="4"/>
        <v>0.93643162393162394</v>
      </c>
    </row>
    <row r="23" spans="1:12" ht="12.75" x14ac:dyDescent="0.2">
      <c r="A23" s="288">
        <f>'GENEL HASILAT'!A26</f>
        <v>45585</v>
      </c>
      <c r="B23" s="255">
        <v>33</v>
      </c>
      <c r="C23" s="268">
        <v>12</v>
      </c>
      <c r="D23" s="138">
        <v>33</v>
      </c>
      <c r="E23" s="139">
        <f>SUM('OTOPARK GİRİŞ-ÇIKIŞ'!H24+'OTOPARK GİRİŞ-ÇIKIŞ'!J24)-D23</f>
        <v>773</v>
      </c>
      <c r="F23" s="140">
        <f t="shared" si="5"/>
        <v>806</v>
      </c>
      <c r="G23" s="259">
        <f>SUM('OTOPARK GİRİŞ-ÇIKIŞ'!C24,'OTOPARK GİRİŞ-ÇIKIŞ'!E24,'OTOPARK GİRİŞ-ÇIKIŞ'!F24,'OTOPARK GİRİŞ-ÇIKIŞ'!K24,'OTOPARK GİRİŞ-ÇIKIŞ'!L24)</f>
        <v>1121</v>
      </c>
      <c r="H23" s="262">
        <f t="shared" si="0"/>
        <v>78</v>
      </c>
      <c r="I23" s="141">
        <f t="shared" si="1"/>
        <v>1894</v>
      </c>
      <c r="J23" s="265">
        <f t="shared" si="2"/>
        <v>1972</v>
      </c>
      <c r="K23" s="271">
        <f t="shared" si="3"/>
        <v>3.9553752535496957E-2</v>
      </c>
      <c r="L23" s="274">
        <f t="shared" si="4"/>
        <v>0.96044624746450302</v>
      </c>
    </row>
    <row r="24" spans="1:12" ht="12.75" x14ac:dyDescent="0.2">
      <c r="A24" s="288">
        <f>'GENEL HASILAT'!A27</f>
        <v>45586</v>
      </c>
      <c r="B24" s="255"/>
      <c r="C24" s="268"/>
      <c r="D24" s="138"/>
      <c r="E24" s="139">
        <f>SUM('OTOPARK GİRİŞ-ÇIKIŞ'!H25+'OTOPARK GİRİŞ-ÇIKIŞ'!J25)-D24</f>
        <v>0</v>
      </c>
      <c r="F24" s="140">
        <f t="shared" si="5"/>
        <v>0</v>
      </c>
      <c r="G24" s="259">
        <f>SUM('OTOPARK GİRİŞ-ÇIKIŞ'!C25,'OTOPARK GİRİŞ-ÇIKIŞ'!E25,'OTOPARK GİRİŞ-ÇIKIŞ'!F25,'OTOPARK GİRİŞ-ÇIKIŞ'!K25,'OTOPARK GİRİŞ-ÇIKIŞ'!L25)</f>
        <v>0</v>
      </c>
      <c r="H24" s="262">
        <f t="shared" si="0"/>
        <v>0</v>
      </c>
      <c r="I24" s="141">
        <f t="shared" si="1"/>
        <v>0</v>
      </c>
      <c r="J24" s="265">
        <f t="shared" si="2"/>
        <v>0</v>
      </c>
      <c r="K24" s="271" t="e">
        <f t="shared" si="3"/>
        <v>#DIV/0!</v>
      </c>
      <c r="L24" s="274" t="e">
        <f t="shared" si="4"/>
        <v>#DIV/0!</v>
      </c>
    </row>
    <row r="25" spans="1:12" ht="12.75" x14ac:dyDescent="0.2">
      <c r="A25" s="288">
        <f>'GENEL HASILAT'!A28</f>
        <v>45587</v>
      </c>
      <c r="B25" s="255"/>
      <c r="C25" s="268"/>
      <c r="D25" s="138"/>
      <c r="E25" s="139">
        <f>SUM('OTOPARK GİRİŞ-ÇIKIŞ'!H26+'OTOPARK GİRİŞ-ÇIKIŞ'!J26)-D25</f>
        <v>0</v>
      </c>
      <c r="F25" s="140">
        <f t="shared" si="5"/>
        <v>0</v>
      </c>
      <c r="G25" s="259">
        <f>SUM('OTOPARK GİRİŞ-ÇIKIŞ'!C26,'OTOPARK GİRİŞ-ÇIKIŞ'!E26,'OTOPARK GİRİŞ-ÇIKIŞ'!F26,'OTOPARK GİRİŞ-ÇIKIŞ'!K26,'OTOPARK GİRİŞ-ÇIKIŞ'!L26)</f>
        <v>0</v>
      </c>
      <c r="H25" s="262">
        <f t="shared" si="0"/>
        <v>0</v>
      </c>
      <c r="I25" s="141">
        <f t="shared" si="1"/>
        <v>0</v>
      </c>
      <c r="J25" s="265">
        <f t="shared" si="2"/>
        <v>0</v>
      </c>
      <c r="K25" s="271" t="e">
        <f t="shared" si="3"/>
        <v>#DIV/0!</v>
      </c>
      <c r="L25" s="274" t="e">
        <f t="shared" si="4"/>
        <v>#DIV/0!</v>
      </c>
    </row>
    <row r="26" spans="1:12" ht="12.75" x14ac:dyDescent="0.2">
      <c r="A26" s="288">
        <f>'GENEL HASILAT'!A29</f>
        <v>45588</v>
      </c>
      <c r="B26" s="255"/>
      <c r="C26" s="268"/>
      <c r="D26" s="138"/>
      <c r="E26" s="139">
        <f>SUM('OTOPARK GİRİŞ-ÇIKIŞ'!H27+'OTOPARK GİRİŞ-ÇIKIŞ'!J27)-D26</f>
        <v>0</v>
      </c>
      <c r="F26" s="140">
        <f t="shared" si="5"/>
        <v>0</v>
      </c>
      <c r="G26" s="259">
        <f>SUM('OTOPARK GİRİŞ-ÇIKIŞ'!C27,'OTOPARK GİRİŞ-ÇIKIŞ'!E27,'OTOPARK GİRİŞ-ÇIKIŞ'!F27,'OTOPARK GİRİŞ-ÇIKIŞ'!K27,'OTOPARK GİRİŞ-ÇIKIŞ'!L27)</f>
        <v>0</v>
      </c>
      <c r="H26" s="262">
        <f t="shared" si="0"/>
        <v>0</v>
      </c>
      <c r="I26" s="141">
        <f t="shared" si="1"/>
        <v>0</v>
      </c>
      <c r="J26" s="265">
        <f t="shared" si="2"/>
        <v>0</v>
      </c>
      <c r="K26" s="271" t="e">
        <f t="shared" si="3"/>
        <v>#DIV/0!</v>
      </c>
      <c r="L26" s="274" t="e">
        <f t="shared" si="4"/>
        <v>#DIV/0!</v>
      </c>
    </row>
    <row r="27" spans="1:12" ht="12.75" x14ac:dyDescent="0.2">
      <c r="A27" s="288">
        <f>'GENEL HASILAT'!A30</f>
        <v>45589</v>
      </c>
      <c r="B27" s="255"/>
      <c r="C27" s="268"/>
      <c r="D27" s="138"/>
      <c r="E27" s="139">
        <f>SUM('OTOPARK GİRİŞ-ÇIKIŞ'!H28+'OTOPARK GİRİŞ-ÇIKIŞ'!J28)-D27</f>
        <v>0</v>
      </c>
      <c r="F27" s="140">
        <f t="shared" si="5"/>
        <v>0</v>
      </c>
      <c r="G27" s="259">
        <f>SUM('OTOPARK GİRİŞ-ÇIKIŞ'!C28,'OTOPARK GİRİŞ-ÇIKIŞ'!E28,'OTOPARK GİRİŞ-ÇIKIŞ'!F28,'OTOPARK GİRİŞ-ÇIKIŞ'!K28,'OTOPARK GİRİŞ-ÇIKIŞ'!L28)</f>
        <v>0</v>
      </c>
      <c r="H27" s="262">
        <f t="shared" si="0"/>
        <v>0</v>
      </c>
      <c r="I27" s="141">
        <f t="shared" si="1"/>
        <v>0</v>
      </c>
      <c r="J27" s="265">
        <f t="shared" si="2"/>
        <v>0</v>
      </c>
      <c r="K27" s="271" t="e">
        <f t="shared" si="3"/>
        <v>#DIV/0!</v>
      </c>
      <c r="L27" s="274" t="e">
        <f t="shared" si="4"/>
        <v>#DIV/0!</v>
      </c>
    </row>
    <row r="28" spans="1:12" ht="12.75" x14ac:dyDescent="0.2">
      <c r="A28" s="288">
        <f>'GENEL HASILAT'!A31</f>
        <v>45590</v>
      </c>
      <c r="B28" s="255"/>
      <c r="C28" s="268"/>
      <c r="D28" s="138"/>
      <c r="E28" s="139">
        <f>SUM('OTOPARK GİRİŞ-ÇIKIŞ'!H29+'OTOPARK GİRİŞ-ÇIKIŞ'!J29)-D28</f>
        <v>0</v>
      </c>
      <c r="F28" s="140">
        <f t="shared" si="5"/>
        <v>0</v>
      </c>
      <c r="G28" s="259">
        <f>SUM('OTOPARK GİRİŞ-ÇIKIŞ'!C29,'OTOPARK GİRİŞ-ÇIKIŞ'!E29,'OTOPARK GİRİŞ-ÇIKIŞ'!F29,'OTOPARK GİRİŞ-ÇIKIŞ'!K29,'OTOPARK GİRİŞ-ÇIKIŞ'!L29)</f>
        <v>0</v>
      </c>
      <c r="H28" s="262">
        <f t="shared" si="0"/>
        <v>0</v>
      </c>
      <c r="I28" s="141">
        <f t="shared" si="1"/>
        <v>0</v>
      </c>
      <c r="J28" s="265">
        <f t="shared" si="2"/>
        <v>0</v>
      </c>
      <c r="K28" s="271" t="e">
        <f t="shared" si="3"/>
        <v>#DIV/0!</v>
      </c>
      <c r="L28" s="274" t="e">
        <f t="shared" si="4"/>
        <v>#DIV/0!</v>
      </c>
    </row>
    <row r="29" spans="1:12" ht="12.75" x14ac:dyDescent="0.2">
      <c r="A29" s="288">
        <f>'GENEL HASILAT'!A32</f>
        <v>45591</v>
      </c>
      <c r="B29" s="255"/>
      <c r="C29" s="268"/>
      <c r="D29" s="138"/>
      <c r="E29" s="139">
        <f>SUM('OTOPARK GİRİŞ-ÇIKIŞ'!H30+'OTOPARK GİRİŞ-ÇIKIŞ'!J30)-D29</f>
        <v>0</v>
      </c>
      <c r="F29" s="140">
        <f t="shared" si="5"/>
        <v>0</v>
      </c>
      <c r="G29" s="259">
        <f>SUM('OTOPARK GİRİŞ-ÇIKIŞ'!C30,'OTOPARK GİRİŞ-ÇIKIŞ'!E30,'OTOPARK GİRİŞ-ÇIKIŞ'!F30,'OTOPARK GİRİŞ-ÇIKIŞ'!K30,'OTOPARK GİRİŞ-ÇIKIŞ'!L30)</f>
        <v>0</v>
      </c>
      <c r="H29" s="262">
        <f t="shared" si="0"/>
        <v>0</v>
      </c>
      <c r="I29" s="141">
        <f t="shared" si="1"/>
        <v>0</v>
      </c>
      <c r="J29" s="265">
        <f t="shared" si="2"/>
        <v>0</v>
      </c>
      <c r="K29" s="271" t="e">
        <f t="shared" si="3"/>
        <v>#DIV/0!</v>
      </c>
      <c r="L29" s="274" t="e">
        <f t="shared" si="4"/>
        <v>#DIV/0!</v>
      </c>
    </row>
    <row r="30" spans="1:12" ht="12.75" x14ac:dyDescent="0.2">
      <c r="A30" s="288">
        <f>'GENEL HASILAT'!A33</f>
        <v>45592</v>
      </c>
      <c r="B30" s="255"/>
      <c r="C30" s="268"/>
      <c r="D30" s="138"/>
      <c r="E30" s="139">
        <f>SUM('OTOPARK GİRİŞ-ÇIKIŞ'!H31+'OTOPARK GİRİŞ-ÇIKIŞ'!J31)-D30</f>
        <v>0</v>
      </c>
      <c r="F30" s="140">
        <f t="shared" si="5"/>
        <v>0</v>
      </c>
      <c r="G30" s="259">
        <f>SUM('OTOPARK GİRİŞ-ÇIKIŞ'!C31,'OTOPARK GİRİŞ-ÇIKIŞ'!E31,'OTOPARK GİRİŞ-ÇIKIŞ'!F31,'OTOPARK GİRİŞ-ÇIKIŞ'!K31,'OTOPARK GİRİŞ-ÇIKIŞ'!L31)</f>
        <v>0</v>
      </c>
      <c r="H30" s="262">
        <f t="shared" si="0"/>
        <v>0</v>
      </c>
      <c r="I30" s="141">
        <f t="shared" si="1"/>
        <v>0</v>
      </c>
      <c r="J30" s="265">
        <f t="shared" si="2"/>
        <v>0</v>
      </c>
      <c r="K30" s="271" t="e">
        <f t="shared" si="3"/>
        <v>#DIV/0!</v>
      </c>
      <c r="L30" s="274" t="e">
        <f t="shared" si="4"/>
        <v>#DIV/0!</v>
      </c>
    </row>
    <row r="31" spans="1:12" ht="12.75" x14ac:dyDescent="0.2">
      <c r="A31" s="288">
        <f>'GENEL HASILAT'!A34</f>
        <v>45593</v>
      </c>
      <c r="B31" s="255"/>
      <c r="C31" s="268"/>
      <c r="D31" s="138"/>
      <c r="E31" s="139">
        <f>SUM('OTOPARK GİRİŞ-ÇIKIŞ'!H32+'OTOPARK GİRİŞ-ÇIKIŞ'!J32)-D31</f>
        <v>0</v>
      </c>
      <c r="F31" s="140">
        <f t="shared" si="5"/>
        <v>0</v>
      </c>
      <c r="G31" s="259">
        <f>SUM('OTOPARK GİRİŞ-ÇIKIŞ'!C32,'OTOPARK GİRİŞ-ÇIKIŞ'!E32,'OTOPARK GİRİŞ-ÇIKIŞ'!F32,'OTOPARK GİRİŞ-ÇIKIŞ'!K32,'OTOPARK GİRİŞ-ÇIKIŞ'!L32)</f>
        <v>0</v>
      </c>
      <c r="H31" s="262">
        <f t="shared" si="0"/>
        <v>0</v>
      </c>
      <c r="I31" s="141">
        <f t="shared" si="1"/>
        <v>0</v>
      </c>
      <c r="J31" s="265">
        <f t="shared" si="2"/>
        <v>0</v>
      </c>
      <c r="K31" s="271" t="e">
        <f t="shared" si="3"/>
        <v>#DIV/0!</v>
      </c>
      <c r="L31" s="274" t="e">
        <f t="shared" si="4"/>
        <v>#DIV/0!</v>
      </c>
    </row>
    <row r="32" spans="1:12" ht="12.75" x14ac:dyDescent="0.2">
      <c r="A32" s="288">
        <f>'GENEL HASILAT'!A35</f>
        <v>45594</v>
      </c>
      <c r="B32" s="255"/>
      <c r="C32" s="268"/>
      <c r="D32" s="138"/>
      <c r="E32" s="139">
        <f>SUM('OTOPARK GİRİŞ-ÇIKIŞ'!H33+'OTOPARK GİRİŞ-ÇIKIŞ'!J33)-D32</f>
        <v>0</v>
      </c>
      <c r="F32" s="140">
        <f t="shared" si="5"/>
        <v>0</v>
      </c>
      <c r="G32" s="259">
        <f>SUM('OTOPARK GİRİŞ-ÇIKIŞ'!C33,'OTOPARK GİRİŞ-ÇIKIŞ'!E33,'OTOPARK GİRİŞ-ÇIKIŞ'!F33,'OTOPARK GİRİŞ-ÇIKIŞ'!K33,'OTOPARK GİRİŞ-ÇIKIŞ'!L33)</f>
        <v>0</v>
      </c>
      <c r="H32" s="262">
        <f t="shared" si="0"/>
        <v>0</v>
      </c>
      <c r="I32" s="141">
        <f t="shared" si="1"/>
        <v>0</v>
      </c>
      <c r="J32" s="265">
        <f t="shared" si="2"/>
        <v>0</v>
      </c>
      <c r="K32" s="271" t="e">
        <f t="shared" si="3"/>
        <v>#DIV/0!</v>
      </c>
      <c r="L32" s="274" t="e">
        <f t="shared" si="4"/>
        <v>#DIV/0!</v>
      </c>
    </row>
    <row r="33" spans="1:255" ht="12.75" x14ac:dyDescent="0.2">
      <c r="A33" s="288">
        <f>'GENEL HASILAT'!A36</f>
        <v>45595</v>
      </c>
      <c r="B33" s="255"/>
      <c r="C33" s="268"/>
      <c r="D33" s="138"/>
      <c r="E33" s="139">
        <f>SUM('OTOPARK GİRİŞ-ÇIKIŞ'!H34+'OTOPARK GİRİŞ-ÇIKIŞ'!J34)-D33</f>
        <v>0</v>
      </c>
      <c r="F33" s="140">
        <f t="shared" si="5"/>
        <v>0</v>
      </c>
      <c r="G33" s="259">
        <f>SUM('OTOPARK GİRİŞ-ÇIKIŞ'!C34,'OTOPARK GİRİŞ-ÇIKIŞ'!E34,'OTOPARK GİRİŞ-ÇIKIŞ'!F34,'OTOPARK GİRİŞ-ÇIKIŞ'!K34,'OTOPARK GİRİŞ-ÇIKIŞ'!L34)</f>
        <v>0</v>
      </c>
      <c r="H33" s="262">
        <f t="shared" si="0"/>
        <v>0</v>
      </c>
      <c r="I33" s="141">
        <f t="shared" si="1"/>
        <v>0</v>
      </c>
      <c r="J33" s="265">
        <f t="shared" si="2"/>
        <v>0</v>
      </c>
      <c r="K33" s="271" t="e">
        <f t="shared" si="3"/>
        <v>#DIV/0!</v>
      </c>
      <c r="L33" s="274" t="e">
        <f t="shared" si="4"/>
        <v>#DIV/0!</v>
      </c>
    </row>
    <row r="34" spans="1:255" ht="12.75" x14ac:dyDescent="0.2">
      <c r="A34" s="288">
        <f>'GENEL HASILAT'!A37</f>
        <v>45596</v>
      </c>
      <c r="B34" s="256"/>
      <c r="C34" s="269"/>
      <c r="D34" s="149"/>
      <c r="E34" s="150">
        <f>SUM('OTOPARK GİRİŞ-ÇIKIŞ'!H35+'OTOPARK GİRİŞ-ÇIKIŞ'!J35)-D34</f>
        <v>0</v>
      </c>
      <c r="F34" s="140">
        <f t="shared" si="5"/>
        <v>0</v>
      </c>
      <c r="G34" s="260">
        <f>SUM('OTOPARK GİRİŞ-ÇIKIŞ'!C35,'OTOPARK GİRİŞ-ÇIKIŞ'!E35,'OTOPARK GİRİŞ-ÇIKIŞ'!F35,'OTOPARK GİRİŞ-ÇIKIŞ'!K35,'OTOPARK GİRİŞ-ÇIKIŞ'!L35)</f>
        <v>0</v>
      </c>
      <c r="H34" s="262">
        <f t="shared" si="0"/>
        <v>0</v>
      </c>
      <c r="I34" s="141">
        <f t="shared" si="1"/>
        <v>0</v>
      </c>
      <c r="J34" s="265">
        <f t="shared" si="2"/>
        <v>0</v>
      </c>
      <c r="K34" s="271" t="e">
        <f t="shared" si="3"/>
        <v>#DIV/0!</v>
      </c>
      <c r="L34" s="274" t="e">
        <f t="shared" si="4"/>
        <v>#DIV/0!</v>
      </c>
    </row>
    <row r="35" spans="1:255" ht="12.75" x14ac:dyDescent="0.2">
      <c r="A35" s="151" t="s">
        <v>6</v>
      </c>
      <c r="B35" s="257">
        <f>SUM(B5:B34)</f>
        <v>623</v>
      </c>
      <c r="C35" s="257">
        <f t="shared" ref="C35:J35" si="6">SUM(C4:C34)</f>
        <v>363</v>
      </c>
      <c r="D35" s="257">
        <f t="shared" si="6"/>
        <v>2000</v>
      </c>
      <c r="E35" s="257">
        <f t="shared" si="6"/>
        <v>16832</v>
      </c>
      <c r="F35" s="257">
        <f t="shared" si="6"/>
        <v>18832</v>
      </c>
      <c r="G35" s="257">
        <f t="shared" si="6"/>
        <v>20601</v>
      </c>
      <c r="H35" s="263">
        <f t="shared" si="6"/>
        <v>3019</v>
      </c>
      <c r="I35" s="152">
        <f t="shared" si="1"/>
        <v>37433</v>
      </c>
      <c r="J35" s="266">
        <f t="shared" si="6"/>
        <v>40452</v>
      </c>
      <c r="K35" s="272">
        <f>+H35/J35</f>
        <v>7.4631662216948488E-2</v>
      </c>
      <c r="L35" s="275">
        <f>+I35/J35</f>
        <v>0.9253683377830515</v>
      </c>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c r="CX35" s="135"/>
      <c r="CY35" s="135"/>
      <c r="CZ35" s="135"/>
      <c r="DA35" s="135"/>
      <c r="DB35" s="135"/>
      <c r="DC35" s="135"/>
      <c r="DD35" s="135"/>
      <c r="DE35" s="135"/>
      <c r="DF35" s="135"/>
      <c r="DG35" s="135"/>
      <c r="DH35" s="135"/>
      <c r="DI35" s="135"/>
      <c r="DJ35" s="135"/>
      <c r="DK35" s="135"/>
      <c r="DL35" s="135"/>
      <c r="DM35" s="135"/>
      <c r="DN35" s="135"/>
      <c r="DO35" s="135"/>
      <c r="DP35" s="135"/>
      <c r="DQ35" s="135"/>
      <c r="DR35" s="135"/>
      <c r="DS35" s="135"/>
      <c r="DT35" s="135"/>
      <c r="DU35" s="135"/>
      <c r="DV35" s="135"/>
      <c r="DW35" s="135"/>
      <c r="DX35" s="135"/>
      <c r="DY35" s="135"/>
      <c r="DZ35" s="135"/>
      <c r="EA35" s="135"/>
      <c r="EB35" s="135"/>
      <c r="EC35" s="135"/>
      <c r="ED35" s="135"/>
      <c r="EE35" s="135"/>
      <c r="EF35" s="135"/>
      <c r="EG35" s="135"/>
      <c r="EH35" s="135"/>
      <c r="EI35" s="135"/>
      <c r="EJ35" s="135"/>
      <c r="EK35" s="135"/>
      <c r="EL35" s="135"/>
      <c r="EM35" s="135"/>
      <c r="EN35" s="135"/>
      <c r="EO35" s="135"/>
      <c r="EP35" s="135"/>
      <c r="EQ35" s="135"/>
      <c r="ER35" s="135"/>
      <c r="ES35" s="135"/>
      <c r="ET35" s="135"/>
      <c r="EU35" s="135"/>
      <c r="EV35" s="135"/>
      <c r="EW35" s="135"/>
      <c r="EX35" s="135"/>
      <c r="EY35" s="135"/>
      <c r="EZ35" s="135"/>
      <c r="FA35" s="135"/>
      <c r="FB35" s="135"/>
      <c r="FC35" s="135"/>
      <c r="FD35" s="135"/>
      <c r="FE35" s="135"/>
      <c r="FF35" s="135"/>
      <c r="FG35" s="135"/>
      <c r="FH35" s="135"/>
      <c r="FI35" s="135"/>
      <c r="FJ35" s="135"/>
      <c r="FK35" s="135"/>
      <c r="FL35" s="135"/>
      <c r="FM35" s="135"/>
      <c r="FN35" s="135"/>
      <c r="FO35" s="135"/>
      <c r="FP35" s="135"/>
      <c r="FQ35" s="135"/>
      <c r="FR35" s="135"/>
      <c r="FS35" s="135"/>
      <c r="FT35" s="135"/>
      <c r="FU35" s="135"/>
      <c r="FV35" s="135"/>
      <c r="FW35" s="135"/>
      <c r="FX35" s="135"/>
      <c r="FY35" s="135"/>
      <c r="FZ35" s="135"/>
      <c r="GA35" s="135"/>
      <c r="GB35" s="135"/>
      <c r="GC35" s="135"/>
      <c r="GD35" s="135"/>
      <c r="GE35" s="135"/>
      <c r="GF35" s="135"/>
      <c r="GG35" s="135"/>
      <c r="GH35" s="135"/>
      <c r="GI35" s="135"/>
      <c r="GJ35" s="135"/>
      <c r="GK35" s="135"/>
      <c r="GL35" s="135"/>
      <c r="GM35" s="135"/>
      <c r="GN35" s="135"/>
      <c r="GO35" s="135"/>
      <c r="GP35" s="135"/>
      <c r="GQ35" s="135"/>
      <c r="GR35" s="135"/>
      <c r="GS35" s="135"/>
      <c r="GT35" s="135"/>
      <c r="GU35" s="135"/>
      <c r="GV35" s="135"/>
      <c r="GW35" s="135"/>
      <c r="GX35" s="135"/>
      <c r="GY35" s="135"/>
      <c r="GZ35" s="135"/>
      <c r="HA35" s="135"/>
      <c r="HB35" s="135"/>
      <c r="HC35" s="135"/>
      <c r="HD35" s="135"/>
      <c r="HE35" s="135"/>
      <c r="HF35" s="135"/>
      <c r="HG35" s="135"/>
      <c r="HH35" s="135"/>
      <c r="HI35" s="135"/>
      <c r="HJ35" s="135"/>
      <c r="HK35" s="135"/>
      <c r="HL35" s="135"/>
      <c r="HM35" s="135"/>
      <c r="HN35" s="135"/>
      <c r="HO35" s="135"/>
      <c r="HP35" s="135"/>
      <c r="HQ35" s="135"/>
      <c r="HR35" s="135"/>
      <c r="HS35" s="135"/>
      <c r="HT35" s="135"/>
      <c r="HU35" s="135"/>
      <c r="HV35" s="135"/>
      <c r="HW35" s="135"/>
      <c r="HX35" s="135"/>
      <c r="HY35" s="135"/>
      <c r="HZ35" s="135"/>
      <c r="IA35" s="135"/>
      <c r="IB35" s="135"/>
      <c r="IC35" s="135"/>
      <c r="ID35" s="135"/>
      <c r="IE35" s="135"/>
      <c r="IF35" s="135"/>
      <c r="IG35" s="135"/>
      <c r="IH35" s="135"/>
      <c r="II35" s="135"/>
      <c r="IJ35" s="135"/>
      <c r="IK35" s="135"/>
      <c r="IL35" s="135"/>
      <c r="IM35" s="135"/>
      <c r="IN35" s="135"/>
      <c r="IO35" s="135"/>
      <c r="IP35" s="135"/>
      <c r="IQ35" s="135"/>
      <c r="IR35" s="135"/>
      <c r="IS35" s="135"/>
      <c r="IT35" s="135"/>
      <c r="IU35" s="135"/>
    </row>
    <row r="36" spans="1:255" ht="12.75" x14ac:dyDescent="0.2"/>
    <row r="37" spans="1:255" ht="12.75" x14ac:dyDescent="0.2"/>
    <row r="38" spans="1:255" ht="12.75" x14ac:dyDescent="0.2"/>
  </sheetData>
  <sheetProtection sheet="1" objects="1" scenarios="1"/>
  <mergeCells count="13">
    <mergeCell ref="J1:J3"/>
    <mergeCell ref="K1:K3"/>
    <mergeCell ref="L1:L3"/>
    <mergeCell ref="B2:B3"/>
    <mergeCell ref="C2:C3"/>
    <mergeCell ref="D2:D3"/>
    <mergeCell ref="E2:E3"/>
    <mergeCell ref="I1:I3"/>
    <mergeCell ref="A1:A3"/>
    <mergeCell ref="B1:D1"/>
    <mergeCell ref="F1:F3"/>
    <mergeCell ref="G1:G3"/>
    <mergeCell ref="H1:H3"/>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tabColor indexed="51"/>
  </sheetPr>
  <dimension ref="A1:K62"/>
  <sheetViews>
    <sheetView showGridLines="0" zoomScale="70" zoomScaleNormal="70" workbookViewId="0">
      <selection activeCell="A8" sqref="A8"/>
    </sheetView>
  </sheetViews>
  <sheetFormatPr defaultRowHeight="15" x14ac:dyDescent="0.2"/>
  <cols>
    <col min="1" max="1" width="19.42578125" style="170" customWidth="1"/>
    <col min="2" max="10" width="25" style="170" customWidth="1"/>
    <col min="11" max="11" width="23.5703125" style="170" customWidth="1"/>
    <col min="12" max="16384" width="9.140625" style="170"/>
  </cols>
  <sheetData>
    <row r="1" spans="1:11" ht="12.75" customHeight="1" x14ac:dyDescent="0.2">
      <c r="A1" s="471" t="str">
        <f>TEXT('GENEL HASILAT'!A7,"YYYY")&amp;" ABONE DURUMU"</f>
        <v>2024 ABONE DURUMU</v>
      </c>
      <c r="B1" s="472"/>
      <c r="C1" s="472"/>
      <c r="D1" s="472"/>
      <c r="E1" s="472"/>
      <c r="F1" s="472"/>
      <c r="G1" s="472"/>
      <c r="H1" s="472"/>
      <c r="I1" s="472"/>
      <c r="J1" s="472"/>
      <c r="K1" s="473"/>
    </row>
    <row r="2" spans="1:11" ht="12.75" customHeight="1" x14ac:dyDescent="0.2">
      <c r="A2" s="474"/>
      <c r="B2" s="475"/>
      <c r="C2" s="475"/>
      <c r="D2" s="475"/>
      <c r="E2" s="475"/>
      <c r="F2" s="475"/>
      <c r="G2" s="475"/>
      <c r="H2" s="475"/>
      <c r="I2" s="475"/>
      <c r="J2" s="475"/>
      <c r="K2" s="476"/>
    </row>
    <row r="3" spans="1:11" ht="12.75" customHeight="1" x14ac:dyDescent="0.2">
      <c r="A3" s="190"/>
      <c r="B3" s="191"/>
      <c r="C3" s="191"/>
      <c r="D3" s="191"/>
      <c r="E3" s="191"/>
      <c r="F3" s="191"/>
      <c r="G3" s="191"/>
      <c r="H3" s="192"/>
      <c r="I3" s="192"/>
      <c r="J3" s="192"/>
      <c r="K3" s="192"/>
    </row>
    <row r="4" spans="1:11" ht="22.5" customHeight="1" x14ac:dyDescent="0.2">
      <c r="A4" s="477">
        <f>'GENEL HASILAT'!A7</f>
        <v>45566</v>
      </c>
      <c r="B4" s="193" t="s">
        <v>83</v>
      </c>
      <c r="C4" s="194" t="s">
        <v>42</v>
      </c>
      <c r="D4" s="194" t="s">
        <v>43</v>
      </c>
      <c r="E4" s="194" t="s">
        <v>44</v>
      </c>
      <c r="F4" s="194" t="s">
        <v>45</v>
      </c>
      <c r="G4" s="194" t="s">
        <v>46</v>
      </c>
      <c r="H4" s="195"/>
      <c r="I4" s="485" t="s">
        <v>47</v>
      </c>
      <c r="J4" s="480"/>
      <c r="K4" s="192"/>
    </row>
    <row r="5" spans="1:11" ht="22.5" customHeight="1" x14ac:dyDescent="0.2">
      <c r="A5" s="478"/>
      <c r="B5" s="196">
        <f>'[2]OCAK 2024'!$P$38</f>
        <v>922</v>
      </c>
      <c r="C5" s="196">
        <f>'[2]ŞUBAT 2024'!$P$38</f>
        <v>812</v>
      </c>
      <c r="D5" s="196">
        <f>'[2]MART 2024'!$P$38</f>
        <v>853</v>
      </c>
      <c r="E5" s="196">
        <f>'[2]NİSAN 2024'!$P$38</f>
        <v>1030</v>
      </c>
      <c r="F5" s="196">
        <f>'[2]MAYIS 2024'!$P$38</f>
        <v>1202</v>
      </c>
      <c r="G5" s="196">
        <f>'[2]HAZİRAN 2024'!$P$38</f>
        <v>1767</v>
      </c>
      <c r="H5" s="197"/>
      <c r="I5" s="486"/>
      <c r="J5" s="481"/>
      <c r="K5" s="192"/>
    </row>
    <row r="6" spans="1:11" ht="22.5" customHeight="1" x14ac:dyDescent="0.2">
      <c r="A6" s="478"/>
      <c r="B6" s="198" t="s">
        <v>22</v>
      </c>
      <c r="C6" s="198" t="s">
        <v>23</v>
      </c>
      <c r="D6" s="198" t="s">
        <v>24</v>
      </c>
      <c r="E6" s="198" t="s">
        <v>25</v>
      </c>
      <c r="F6" s="198" t="s">
        <v>26</v>
      </c>
      <c r="G6" s="198" t="s">
        <v>27</v>
      </c>
      <c r="H6" s="195"/>
      <c r="I6" s="487">
        <f>B5+C5+D5+E5+F5+G5+B7+C7+D7+E7+F7+G7</f>
        <v>11376</v>
      </c>
      <c r="J6" s="482"/>
      <c r="K6" s="192"/>
    </row>
    <row r="7" spans="1:11" ht="22.5" customHeight="1" x14ac:dyDescent="0.2">
      <c r="A7" s="479"/>
      <c r="B7" s="196">
        <f>'[2]TEMMUZ 2024'!$P$38</f>
        <v>1417</v>
      </c>
      <c r="C7" s="196">
        <f>'[2]AĞUSTOS 2024'!$P$38</f>
        <v>1343</v>
      </c>
      <c r="D7" s="196">
        <f>'[2]EYLÜL 2024'!$P$38</f>
        <v>1233</v>
      </c>
      <c r="E7" s="196">
        <f>'[2]EKİM 2024'!$P$38</f>
        <v>797</v>
      </c>
      <c r="F7" s="196">
        <f>'[2]KASIM 2024'!$P$38</f>
        <v>0</v>
      </c>
      <c r="G7" s="196">
        <f>'[2]ARALIK 2024'!$P$38</f>
        <v>0</v>
      </c>
      <c r="H7" s="197"/>
      <c r="I7" s="488"/>
      <c r="J7" s="482"/>
      <c r="K7" s="192"/>
    </row>
    <row r="8" spans="1:11" ht="22.5" customHeight="1" x14ac:dyDescent="0.2">
      <c r="A8" s="319"/>
      <c r="D8" s="483"/>
      <c r="E8" s="484"/>
      <c r="F8" s="484"/>
      <c r="G8" s="484"/>
      <c r="H8" s="484"/>
      <c r="I8" s="484"/>
    </row>
    <row r="9" spans="1:11" ht="22.5" customHeight="1" x14ac:dyDescent="0.2">
      <c r="A9" s="489" t="str">
        <f>COUNTA('GENEL HASILAT'!B7:B37)&amp;"."&amp;TEXT('GENEL HASILAT'!A7,"AA.YYYY")</f>
        <v>20.10.2024</v>
      </c>
      <c r="B9" s="489"/>
      <c r="C9" s="489"/>
      <c r="D9" s="489"/>
      <c r="E9" s="489"/>
      <c r="F9" s="489"/>
      <c r="G9" s="489"/>
      <c r="H9" s="489"/>
      <c r="I9" s="489"/>
    </row>
    <row r="10" spans="1:11" ht="22.5" customHeight="1" x14ac:dyDescent="0.2">
      <c r="A10" s="490" t="str">
        <f>'GENEL HASILAT'!A3:AE3 &amp; " GENEL GELİR DURUMU"</f>
        <v>EKİM 2024 GENEL GELİR DURUMU</v>
      </c>
      <c r="B10" s="491"/>
      <c r="C10" s="491"/>
      <c r="D10" s="491"/>
      <c r="E10" s="491"/>
      <c r="F10" s="491"/>
      <c r="G10" s="491"/>
      <c r="H10" s="491"/>
      <c r="I10" s="492"/>
    </row>
    <row r="11" spans="1:11" ht="31.5" customHeight="1" x14ac:dyDescent="0.2">
      <c r="A11" s="289" t="s">
        <v>29</v>
      </c>
      <c r="B11" s="188" t="s">
        <v>50</v>
      </c>
      <c r="C11" s="188" t="s">
        <v>131</v>
      </c>
      <c r="D11" s="189" t="s">
        <v>149</v>
      </c>
      <c r="E11" s="188" t="s">
        <v>33</v>
      </c>
      <c r="F11" s="189" t="s">
        <v>152</v>
      </c>
      <c r="G11" s="189" t="s">
        <v>153</v>
      </c>
      <c r="H11" s="189" t="s">
        <v>155</v>
      </c>
      <c r="I11" s="189" t="s">
        <v>156</v>
      </c>
    </row>
    <row r="12" spans="1:11" ht="22.5" customHeight="1" x14ac:dyDescent="0.2"/>
    <row r="13" spans="1:11" ht="22.5" customHeight="1" x14ac:dyDescent="0.2">
      <c r="A13" s="177" t="s">
        <v>30</v>
      </c>
      <c r="B13" s="180">
        <v>250</v>
      </c>
      <c r="C13" s="180">
        <v>637.5</v>
      </c>
      <c r="D13" s="180">
        <v>2560</v>
      </c>
      <c r="E13" s="180">
        <v>3200</v>
      </c>
      <c r="F13" s="180">
        <v>1600</v>
      </c>
      <c r="G13" s="180">
        <v>2560</v>
      </c>
      <c r="H13" s="180">
        <v>3200</v>
      </c>
      <c r="I13" s="180">
        <v>3135</v>
      </c>
    </row>
    <row r="14" spans="1:11" ht="22.5" customHeight="1" x14ac:dyDescent="0.2">
      <c r="A14" s="178" t="s">
        <v>31</v>
      </c>
      <c r="B14" s="174">
        <f>'[2]EKİM 2024'!$B$36</f>
        <v>48</v>
      </c>
      <c r="C14" s="174">
        <f>'[2]EKİM 2024'!$C$36</f>
        <v>96</v>
      </c>
      <c r="D14" s="174">
        <f>'[2]EKİM 2024'!$D$36</f>
        <v>0</v>
      </c>
      <c r="E14" s="174">
        <f>'[2]EKİM 2024'!$E$36</f>
        <v>240</v>
      </c>
      <c r="F14" s="174">
        <f>'[2]EKİM 2024'!$F$36</f>
        <v>226</v>
      </c>
      <c r="G14" s="174">
        <f>'[2]EKİM 2024'!$G$36</f>
        <v>66</v>
      </c>
      <c r="H14" s="174">
        <f>'[2]EKİM 2024'!$H$36</f>
        <v>100</v>
      </c>
      <c r="I14" s="174">
        <f>'[2]EKİM 2024'!$I$36</f>
        <v>0</v>
      </c>
    </row>
    <row r="15" spans="1:11" ht="22.5" customHeight="1" x14ac:dyDescent="0.2">
      <c r="A15" s="179" t="s">
        <v>32</v>
      </c>
      <c r="B15" s="175">
        <f t="shared" ref="B15:I15" si="0">+B14*B13</f>
        <v>12000</v>
      </c>
      <c r="C15" s="175">
        <f t="shared" si="0"/>
        <v>61200</v>
      </c>
      <c r="D15" s="175">
        <f t="shared" si="0"/>
        <v>0</v>
      </c>
      <c r="E15" s="175">
        <f t="shared" si="0"/>
        <v>768000</v>
      </c>
      <c r="F15" s="175">
        <f t="shared" si="0"/>
        <v>361600</v>
      </c>
      <c r="G15" s="175">
        <f t="shared" si="0"/>
        <v>168960</v>
      </c>
      <c r="H15" s="175">
        <f t="shared" si="0"/>
        <v>320000</v>
      </c>
      <c r="I15" s="175">
        <f t="shared" si="0"/>
        <v>0</v>
      </c>
    </row>
    <row r="16" spans="1:11" ht="22.5" customHeight="1" x14ac:dyDescent="0.2"/>
    <row r="17" spans="1:8" ht="31.5" customHeight="1" x14ac:dyDescent="0.2">
      <c r="A17" s="176" t="s">
        <v>29</v>
      </c>
      <c r="B17" s="189" t="s">
        <v>150</v>
      </c>
      <c r="C17" s="189" t="s">
        <v>154</v>
      </c>
      <c r="D17" s="189" t="s">
        <v>157</v>
      </c>
      <c r="E17" s="189" t="s">
        <v>151</v>
      </c>
      <c r="F17" s="188" t="s">
        <v>73</v>
      </c>
      <c r="G17" s="188" t="s">
        <v>87</v>
      </c>
    </row>
    <row r="18" spans="1:8" ht="22.5" customHeight="1" x14ac:dyDescent="0.2">
      <c r="G18" s="171"/>
    </row>
    <row r="19" spans="1:8" ht="22.5" customHeight="1" x14ac:dyDescent="0.2">
      <c r="A19" s="177" t="s">
        <v>30</v>
      </c>
      <c r="B19" s="180">
        <v>3918.75</v>
      </c>
      <c r="C19" s="180">
        <v>800</v>
      </c>
      <c r="D19" s="180">
        <v>1280</v>
      </c>
      <c r="E19" s="180">
        <v>1600</v>
      </c>
      <c r="F19" s="180" t="s">
        <v>49</v>
      </c>
      <c r="G19" s="181" t="s">
        <v>49</v>
      </c>
    </row>
    <row r="20" spans="1:8" ht="22.5" customHeight="1" x14ac:dyDescent="0.2">
      <c r="A20" s="178" t="s">
        <v>31</v>
      </c>
      <c r="B20" s="174">
        <f>'[2]EKİM 2024'!$J$36</f>
        <v>21</v>
      </c>
      <c r="C20" s="174">
        <f>'[2]EKİM 2024'!$K$36</f>
        <v>0</v>
      </c>
      <c r="D20" s="174">
        <f>'[2]EKİM 2024'!$L$36</f>
        <v>0</v>
      </c>
      <c r="E20" s="174">
        <f>'[2]EKİM 2024'!$M$36</f>
        <v>0</v>
      </c>
      <c r="F20" s="174" t="s">
        <v>49</v>
      </c>
      <c r="G20" s="182" t="s">
        <v>49</v>
      </c>
    </row>
    <row r="21" spans="1:8" ht="22.5" customHeight="1" x14ac:dyDescent="0.2">
      <c r="A21" s="179" t="s">
        <v>32</v>
      </c>
      <c r="B21" s="175">
        <f>+B20*B19</f>
        <v>82293.75</v>
      </c>
      <c r="C21" s="175">
        <f>+C20*C19</f>
        <v>0</v>
      </c>
      <c r="D21" s="175">
        <f>+D20*D19</f>
        <v>0</v>
      </c>
      <c r="E21" s="175">
        <f>+E20*E19</f>
        <v>0</v>
      </c>
      <c r="F21" s="175">
        <f>'[2]EKİM 2024'!$O$36</f>
        <v>57920</v>
      </c>
      <c r="G21" s="173">
        <f>'[2]EKİM 2024'!$N$36</f>
        <v>3042935</v>
      </c>
    </row>
    <row r="22" spans="1:8" ht="22.5" customHeight="1" x14ac:dyDescent="0.2"/>
    <row r="23" spans="1:8" ht="22.5" customHeight="1" x14ac:dyDescent="0.2"/>
    <row r="24" spans="1:8" ht="22.5" customHeight="1" x14ac:dyDescent="0.2"/>
    <row r="25" spans="1:8" ht="22.5" customHeight="1" x14ac:dyDescent="0.2"/>
    <row r="26" spans="1:8" ht="22.5" customHeight="1" x14ac:dyDescent="0.2">
      <c r="A26" s="183" t="s">
        <v>78</v>
      </c>
      <c r="B26" s="184">
        <f>B14+C14+D14+E14+F14+G14+H14+I14+B20+C20+D20+E20</f>
        <v>797</v>
      </c>
      <c r="H26" s="172"/>
    </row>
    <row r="27" spans="1:8" ht="22.5" customHeight="1" x14ac:dyDescent="0.2">
      <c r="A27" s="183" t="s">
        <v>79</v>
      </c>
      <c r="B27" s="185">
        <f>B15+C15+D15+E15+F15+G15+H15+I15+B21+C21+D21+E21+F21</f>
        <v>1831973.75</v>
      </c>
    </row>
    <row r="28" spans="1:8" ht="22.5" customHeight="1" x14ac:dyDescent="0.2">
      <c r="A28" s="186" t="s">
        <v>57</v>
      </c>
      <c r="B28" s="187">
        <f>'GENEL HASILAT'!AB39-'GENEL HASILAT'!AD39-'ABONE DURUMU'!B27+'GENEL HASILAT'!Y39-'ABONE DURUMU'!G21</f>
        <v>-16250</v>
      </c>
    </row>
    <row r="58" spans="1:2" x14ac:dyDescent="0.2">
      <c r="A58" s="199" t="s">
        <v>74</v>
      </c>
    </row>
    <row r="59" spans="1:2" x14ac:dyDescent="0.2">
      <c r="A59" s="470" t="s">
        <v>75</v>
      </c>
      <c r="B59" s="470"/>
    </row>
    <row r="60" spans="1:2" x14ac:dyDescent="0.2">
      <c r="A60" s="200" t="s">
        <v>6</v>
      </c>
      <c r="B60" s="200"/>
    </row>
    <row r="61" spans="1:2" x14ac:dyDescent="0.2">
      <c r="A61" s="200" t="s">
        <v>76</v>
      </c>
      <c r="B61" s="201" t="e">
        <f>B15+#REF!+#REF!+C15+D15+E15+G15+H15+I15+#REF!+#REF!+#REF!+#REF!+#REF!+F21+#REF!+G21+C21+#REF!+#REF!+#REF!</f>
        <v>#REF!</v>
      </c>
    </row>
    <row r="62" spans="1:2" x14ac:dyDescent="0.2">
      <c r="A62" s="200" t="s">
        <v>77</v>
      </c>
      <c r="B62" s="201" t="e">
        <f>B61/1.18</f>
        <v>#REF!</v>
      </c>
    </row>
  </sheetData>
  <sheetProtection sheet="1" objects="1" scenarios="1" selectLockedCells="1"/>
  <mergeCells count="10">
    <mergeCell ref="A59:B59"/>
    <mergeCell ref="A1:K2"/>
    <mergeCell ref="A4:A7"/>
    <mergeCell ref="J4:J5"/>
    <mergeCell ref="J6:J7"/>
    <mergeCell ref="D8:I8"/>
    <mergeCell ref="I4:I5"/>
    <mergeCell ref="I6:I7"/>
    <mergeCell ref="A9:I9"/>
    <mergeCell ref="A10:I10"/>
  </mergeCells>
  <phoneticPr fontId="0"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3"/>
  <sheetViews>
    <sheetView tabSelected="1" workbookViewId="0">
      <pane xSplit="10" ySplit="3" topLeftCell="K130" activePane="bottomRight" state="frozenSplit"/>
      <selection activeCell="A7" sqref="A7:A37"/>
      <selection pane="topRight" activeCell="A7" sqref="A7:A37"/>
      <selection pane="bottomLeft" activeCell="A7" sqref="A7:A37"/>
      <selection pane="bottomRight" activeCell="J152" sqref="J152"/>
    </sheetView>
  </sheetViews>
  <sheetFormatPr defaultRowHeight="17.25" customHeight="1" x14ac:dyDescent="0.2"/>
  <cols>
    <col min="1" max="1" width="5.7109375" style="305" customWidth="1"/>
    <col min="2" max="2" width="13.5703125" style="306" customWidth="1"/>
    <col min="3" max="3" width="10.42578125" style="304" customWidth="1"/>
    <col min="4" max="4" width="12.42578125" style="304" bestFit="1" customWidth="1"/>
    <col min="5" max="6" width="14.42578125" style="304" customWidth="1"/>
    <col min="7" max="8" width="14.42578125" style="307" customWidth="1"/>
    <col min="9" max="9" width="77" style="308" bestFit="1" customWidth="1"/>
    <col min="10" max="10" width="27.140625" style="308" customWidth="1"/>
    <col min="11" max="12" width="9.140625" style="304"/>
    <col min="13" max="13" width="10.28515625" style="304" customWidth="1"/>
    <col min="14" max="14" width="9.140625" style="304"/>
    <col min="15" max="15" width="9.140625" style="304" customWidth="1"/>
    <col min="16" max="16384" width="9.140625" style="304"/>
  </cols>
  <sheetData>
    <row r="1" spans="1:24" ht="20.25" customHeight="1" thickBot="1" x14ac:dyDescent="0.25">
      <c r="A1" s="493" t="str">
        <f>"KAYIP / ZORUNLU / BİLET ÜRETİMİ  - " &amp; 'GENEL HASILAT'!A3:U3</f>
        <v>KAYIP / ZORUNLU / BİLET ÜRETİMİ  - EKİM 2024</v>
      </c>
      <c r="B1" s="494"/>
      <c r="C1" s="494"/>
      <c r="D1" s="494"/>
      <c r="E1" s="494"/>
      <c r="F1" s="494"/>
      <c r="G1" s="494"/>
      <c r="H1" s="494"/>
      <c r="I1" s="494"/>
      <c r="J1" s="495"/>
      <c r="K1" s="303"/>
      <c r="L1" s="303"/>
      <c r="M1" s="303"/>
      <c r="N1" s="303"/>
      <c r="O1" s="303"/>
      <c r="P1" s="303"/>
      <c r="Q1" s="303"/>
      <c r="R1" s="303"/>
      <c r="S1" s="303"/>
      <c r="T1" s="303"/>
      <c r="U1" s="303"/>
      <c r="V1" s="303"/>
      <c r="W1" s="303"/>
      <c r="X1" s="303"/>
    </row>
    <row r="2" spans="1:24" ht="8.25" customHeight="1" x14ac:dyDescent="0.2">
      <c r="K2" s="303"/>
      <c r="L2" s="303"/>
      <c r="M2" s="303"/>
      <c r="N2" s="303"/>
      <c r="O2" s="303"/>
      <c r="P2" s="303"/>
      <c r="Q2" s="303"/>
      <c r="R2" s="303"/>
      <c r="S2" s="303"/>
      <c r="T2" s="303"/>
      <c r="U2" s="303"/>
      <c r="V2" s="303"/>
      <c r="W2" s="303"/>
      <c r="X2" s="303"/>
    </row>
    <row r="3" spans="1:24" ht="21.75" customHeight="1" x14ac:dyDescent="0.2">
      <c r="A3" s="309" t="s">
        <v>95</v>
      </c>
      <c r="B3" s="310" t="s">
        <v>97</v>
      </c>
      <c r="C3" s="309" t="s">
        <v>98</v>
      </c>
      <c r="D3" s="309" t="s">
        <v>96</v>
      </c>
      <c r="E3" s="309" t="s">
        <v>119</v>
      </c>
      <c r="F3" s="309" t="s">
        <v>99</v>
      </c>
      <c r="G3" s="311" t="s">
        <v>120</v>
      </c>
      <c r="H3" s="311" t="s">
        <v>121</v>
      </c>
      <c r="I3" s="309" t="s">
        <v>66</v>
      </c>
      <c r="J3" s="312" t="s">
        <v>100</v>
      </c>
      <c r="K3" s="303"/>
      <c r="L3" s="303"/>
      <c r="M3" s="303"/>
      <c r="N3" s="303"/>
      <c r="O3" s="303"/>
      <c r="P3" s="303"/>
      <c r="Q3" s="303"/>
      <c r="R3" s="303"/>
      <c r="S3" s="303"/>
      <c r="T3" s="303"/>
      <c r="U3" s="303"/>
      <c r="V3" s="303"/>
      <c r="W3" s="303"/>
      <c r="X3" s="303"/>
    </row>
    <row r="4" spans="1:24" ht="17.25" customHeight="1" x14ac:dyDescent="0.2">
      <c r="A4" s="313">
        <v>1</v>
      </c>
      <c r="B4" s="293">
        <v>45566</v>
      </c>
      <c r="C4" s="294">
        <v>0.56944444444444442</v>
      </c>
      <c r="D4" s="295" t="s">
        <v>107</v>
      </c>
      <c r="E4" s="295">
        <v>699739</v>
      </c>
      <c r="F4" s="295">
        <v>607700</v>
      </c>
      <c r="G4" s="296">
        <v>2000</v>
      </c>
      <c r="H4" s="296" t="s">
        <v>126</v>
      </c>
      <c r="I4" s="297" t="s">
        <v>159</v>
      </c>
      <c r="J4" s="297" t="s">
        <v>141</v>
      </c>
      <c r="K4" s="314"/>
      <c r="L4" s="315"/>
      <c r="M4" s="314"/>
      <c r="N4" s="314"/>
      <c r="O4" s="314"/>
      <c r="P4" s="314"/>
      <c r="Q4" s="303"/>
      <c r="R4" s="303"/>
      <c r="S4" s="303"/>
      <c r="T4" s="303"/>
      <c r="U4" s="303"/>
      <c r="V4" s="303"/>
      <c r="W4" s="303"/>
      <c r="X4" s="303"/>
    </row>
    <row r="5" spans="1:24" ht="17.25" customHeight="1" x14ac:dyDescent="0.2">
      <c r="A5" s="316">
        <v>2</v>
      </c>
      <c r="B5" s="293">
        <v>45566</v>
      </c>
      <c r="C5" s="299">
        <v>0.84652777777777777</v>
      </c>
      <c r="D5" s="295" t="s">
        <v>107</v>
      </c>
      <c r="E5" s="300">
        <v>687027</v>
      </c>
      <c r="F5" s="300">
        <v>906209</v>
      </c>
      <c r="G5" s="301">
        <v>60</v>
      </c>
      <c r="H5" s="296" t="s">
        <v>125</v>
      </c>
      <c r="I5" s="302" t="s">
        <v>160</v>
      </c>
      <c r="J5" s="297" t="s">
        <v>106</v>
      </c>
      <c r="K5" s="314"/>
      <c r="L5" s="315"/>
      <c r="M5" s="314"/>
      <c r="N5" s="314"/>
      <c r="O5" s="317"/>
      <c r="P5" s="317"/>
      <c r="Q5" s="318"/>
      <c r="R5" s="303"/>
      <c r="S5" s="303"/>
      <c r="T5" s="303"/>
      <c r="U5" s="303"/>
      <c r="V5" s="303"/>
      <c r="W5" s="303"/>
      <c r="X5" s="303"/>
    </row>
    <row r="6" spans="1:24" ht="17.25" customHeight="1" x14ac:dyDescent="0.25">
      <c r="A6" s="316">
        <v>3</v>
      </c>
      <c r="B6" s="298">
        <v>45567</v>
      </c>
      <c r="C6" s="299">
        <v>6.0416666666666667E-2</v>
      </c>
      <c r="D6" s="295" t="s">
        <v>109</v>
      </c>
      <c r="E6" s="300" t="s">
        <v>49</v>
      </c>
      <c r="F6" s="300">
        <v>710200</v>
      </c>
      <c r="G6" s="301">
        <v>0</v>
      </c>
      <c r="H6" s="296" t="s">
        <v>126</v>
      </c>
      <c r="I6" s="302" t="s">
        <v>161</v>
      </c>
      <c r="J6" s="297" t="s">
        <v>106</v>
      </c>
      <c r="K6" s="314"/>
      <c r="L6" s="315"/>
      <c r="M6" s="314" t="s">
        <v>124</v>
      </c>
      <c r="N6" s="314" t="s">
        <v>101</v>
      </c>
      <c r="O6" s="290" t="s">
        <v>103</v>
      </c>
      <c r="P6" s="317"/>
      <c r="Q6" s="318"/>
      <c r="R6" s="303"/>
      <c r="S6" s="303"/>
      <c r="T6" s="303"/>
      <c r="U6" s="303"/>
      <c r="V6" s="303"/>
      <c r="W6" s="303"/>
      <c r="X6" s="303"/>
    </row>
    <row r="7" spans="1:24" ht="17.25" customHeight="1" x14ac:dyDescent="0.25">
      <c r="A7" s="316">
        <v>4</v>
      </c>
      <c r="B7" s="298">
        <v>45567</v>
      </c>
      <c r="C7" s="299">
        <v>0.28819444444444448</v>
      </c>
      <c r="D7" s="295" t="s">
        <v>107</v>
      </c>
      <c r="E7" s="300">
        <v>687309</v>
      </c>
      <c r="F7" s="300">
        <v>109109</v>
      </c>
      <c r="G7" s="301">
        <v>85</v>
      </c>
      <c r="H7" s="296" t="s">
        <v>125</v>
      </c>
      <c r="I7" s="302" t="s">
        <v>162</v>
      </c>
      <c r="J7" s="297" t="s">
        <v>106</v>
      </c>
      <c r="K7" s="314"/>
      <c r="L7" s="315"/>
      <c r="M7" s="314" t="s">
        <v>125</v>
      </c>
      <c r="N7" s="314" t="s">
        <v>107</v>
      </c>
      <c r="O7" s="290" t="s">
        <v>139</v>
      </c>
      <c r="P7" s="317"/>
      <c r="Q7" s="318"/>
      <c r="R7" s="303"/>
      <c r="S7" s="303"/>
      <c r="T7" s="303"/>
      <c r="U7" s="303"/>
      <c r="V7" s="303"/>
      <c r="W7" s="303"/>
      <c r="X7" s="303"/>
    </row>
    <row r="8" spans="1:24" ht="17.25" customHeight="1" x14ac:dyDescent="0.25">
      <c r="A8" s="316">
        <v>5</v>
      </c>
      <c r="B8" s="298">
        <v>45567</v>
      </c>
      <c r="C8" s="299">
        <v>0.29236111111111113</v>
      </c>
      <c r="D8" s="295" t="s">
        <v>107</v>
      </c>
      <c r="E8" s="300">
        <v>687310</v>
      </c>
      <c r="F8" s="300">
        <v>708700</v>
      </c>
      <c r="G8" s="301">
        <v>1125</v>
      </c>
      <c r="H8" s="296" t="s">
        <v>126</v>
      </c>
      <c r="I8" s="302" t="s">
        <v>163</v>
      </c>
      <c r="J8" s="297" t="s">
        <v>106</v>
      </c>
      <c r="K8" s="314"/>
      <c r="L8" s="315"/>
      <c r="M8" s="314" t="s">
        <v>126</v>
      </c>
      <c r="N8" s="314" t="s">
        <v>122</v>
      </c>
      <c r="O8" s="290" t="s">
        <v>140</v>
      </c>
      <c r="P8" s="317"/>
      <c r="Q8" s="318"/>
      <c r="R8" s="303"/>
      <c r="S8" s="303"/>
      <c r="T8" s="303"/>
      <c r="U8" s="303"/>
      <c r="V8" s="303"/>
      <c r="W8" s="303"/>
      <c r="X8" s="303"/>
    </row>
    <row r="9" spans="1:24" ht="17.25" customHeight="1" x14ac:dyDescent="0.25">
      <c r="A9" s="316">
        <v>6</v>
      </c>
      <c r="B9" s="298">
        <v>45567</v>
      </c>
      <c r="C9" s="299">
        <v>0.61527777777777781</v>
      </c>
      <c r="D9" s="295" t="s">
        <v>107</v>
      </c>
      <c r="E9" s="300">
        <v>682012</v>
      </c>
      <c r="F9" s="300">
        <v>702209</v>
      </c>
      <c r="G9" s="301">
        <v>60</v>
      </c>
      <c r="H9" s="296" t="s">
        <v>125</v>
      </c>
      <c r="I9" s="302" t="s">
        <v>164</v>
      </c>
      <c r="J9" s="297" t="s">
        <v>133</v>
      </c>
      <c r="K9" s="314"/>
      <c r="L9" s="315"/>
      <c r="M9" s="314" t="s">
        <v>130</v>
      </c>
      <c r="N9" s="314" t="s">
        <v>108</v>
      </c>
      <c r="O9" s="291" t="s">
        <v>129</v>
      </c>
      <c r="P9" s="317"/>
      <c r="Q9" s="318"/>
      <c r="R9" s="303"/>
      <c r="S9" s="303"/>
      <c r="T9" s="303"/>
      <c r="U9" s="303"/>
      <c r="V9" s="303"/>
      <c r="W9" s="303"/>
      <c r="X9" s="303"/>
    </row>
    <row r="10" spans="1:24" ht="17.25" customHeight="1" x14ac:dyDescent="0.25">
      <c r="A10" s="316">
        <v>7</v>
      </c>
      <c r="B10" s="298">
        <v>45567</v>
      </c>
      <c r="C10" s="299">
        <v>0.77500000000000002</v>
      </c>
      <c r="D10" s="295" t="s">
        <v>109</v>
      </c>
      <c r="E10" s="300">
        <v>453756</v>
      </c>
      <c r="F10" s="300">
        <v>106708</v>
      </c>
      <c r="G10" s="301">
        <v>70</v>
      </c>
      <c r="H10" s="296" t="s">
        <v>125</v>
      </c>
      <c r="I10" s="302" t="s">
        <v>165</v>
      </c>
      <c r="J10" s="297" t="s">
        <v>133</v>
      </c>
      <c r="K10" s="314"/>
      <c r="L10" s="315"/>
      <c r="M10" s="314"/>
      <c r="N10" s="314" t="s">
        <v>109</v>
      </c>
      <c r="O10" s="292" t="s">
        <v>141</v>
      </c>
      <c r="P10" s="317"/>
      <c r="Q10" s="318"/>
      <c r="R10" s="303"/>
      <c r="S10" s="303"/>
      <c r="T10" s="303"/>
      <c r="U10" s="303"/>
      <c r="V10" s="303"/>
      <c r="W10" s="303"/>
      <c r="X10" s="303"/>
    </row>
    <row r="11" spans="1:24" ht="17.25" customHeight="1" x14ac:dyDescent="0.25">
      <c r="A11" s="316">
        <v>8</v>
      </c>
      <c r="B11" s="298">
        <v>45567</v>
      </c>
      <c r="C11" s="299">
        <v>0.86319444444444438</v>
      </c>
      <c r="D11" s="295" t="s">
        <v>101</v>
      </c>
      <c r="E11" s="300">
        <v>688026</v>
      </c>
      <c r="F11" s="300">
        <v>817000</v>
      </c>
      <c r="G11" s="301">
        <v>10</v>
      </c>
      <c r="H11" s="296" t="s">
        <v>124</v>
      </c>
      <c r="I11" s="302" t="s">
        <v>166</v>
      </c>
      <c r="J11" s="297" t="s">
        <v>141</v>
      </c>
      <c r="K11" s="314"/>
      <c r="L11" s="315"/>
      <c r="M11" s="314"/>
      <c r="N11" s="314" t="s">
        <v>123</v>
      </c>
      <c r="O11" s="292" t="s">
        <v>132</v>
      </c>
      <c r="P11" s="317"/>
      <c r="Q11" s="318"/>
      <c r="R11" s="303"/>
      <c r="S11" s="303"/>
      <c r="T11" s="303"/>
      <c r="U11" s="303"/>
      <c r="V11" s="303"/>
      <c r="W11" s="303"/>
      <c r="X11" s="303"/>
    </row>
    <row r="12" spans="1:24" ht="17.25" customHeight="1" x14ac:dyDescent="0.25">
      <c r="A12" s="316">
        <v>9</v>
      </c>
      <c r="B12" s="298">
        <v>45567</v>
      </c>
      <c r="C12" s="299">
        <v>0.87986111111111109</v>
      </c>
      <c r="D12" s="295" t="s">
        <v>107</v>
      </c>
      <c r="E12" s="300">
        <v>682239</v>
      </c>
      <c r="F12" s="300">
        <v>601700</v>
      </c>
      <c r="G12" s="301">
        <v>1400</v>
      </c>
      <c r="H12" s="296" t="s">
        <v>126</v>
      </c>
      <c r="I12" s="302" t="s">
        <v>167</v>
      </c>
      <c r="J12" s="297" t="s">
        <v>141</v>
      </c>
      <c r="K12" s="314"/>
      <c r="L12" s="314"/>
      <c r="M12" s="314"/>
      <c r="N12" s="314" t="s">
        <v>94</v>
      </c>
      <c r="O12" s="292" t="s">
        <v>142</v>
      </c>
      <c r="P12" s="317"/>
      <c r="Q12" s="318"/>
      <c r="R12" s="303"/>
      <c r="S12" s="303"/>
      <c r="T12" s="303"/>
      <c r="U12" s="303"/>
      <c r="V12" s="303"/>
      <c r="W12" s="303"/>
      <c r="X12" s="303"/>
    </row>
    <row r="13" spans="1:24" ht="17.25" customHeight="1" x14ac:dyDescent="0.25">
      <c r="A13" s="316">
        <v>10</v>
      </c>
      <c r="B13" s="298">
        <v>45568</v>
      </c>
      <c r="C13" s="299">
        <v>6.7361111111111108E-2</v>
      </c>
      <c r="D13" s="295" t="s">
        <v>107</v>
      </c>
      <c r="E13" s="300">
        <v>682369</v>
      </c>
      <c r="F13" s="300">
        <v>707700</v>
      </c>
      <c r="G13" s="301">
        <v>400</v>
      </c>
      <c r="H13" s="296" t="s">
        <v>125</v>
      </c>
      <c r="I13" s="302" t="s">
        <v>168</v>
      </c>
      <c r="J13" s="297" t="s">
        <v>141</v>
      </c>
      <c r="K13" s="314"/>
      <c r="L13" s="314"/>
      <c r="M13" s="314"/>
      <c r="N13" s="314"/>
      <c r="O13" s="292" t="s">
        <v>105</v>
      </c>
      <c r="P13" s="317"/>
      <c r="Q13" s="318"/>
      <c r="R13" s="303"/>
      <c r="S13" s="303"/>
      <c r="T13" s="303"/>
      <c r="U13" s="303"/>
      <c r="V13" s="303"/>
      <c r="W13" s="303"/>
      <c r="X13" s="303"/>
    </row>
    <row r="14" spans="1:24" ht="17.25" customHeight="1" x14ac:dyDescent="0.25">
      <c r="A14" s="316">
        <v>11</v>
      </c>
      <c r="B14" s="298">
        <v>45568</v>
      </c>
      <c r="C14" s="299">
        <v>0.39652777777777781</v>
      </c>
      <c r="D14" s="295" t="s">
        <v>107</v>
      </c>
      <c r="E14" s="300">
        <v>683045</v>
      </c>
      <c r="F14" s="300">
        <v>715000</v>
      </c>
      <c r="G14" s="301">
        <v>45</v>
      </c>
      <c r="H14" s="296" t="s">
        <v>124</v>
      </c>
      <c r="I14" s="302" t="s">
        <v>169</v>
      </c>
      <c r="J14" s="297" t="s">
        <v>135</v>
      </c>
      <c r="K14" s="314"/>
      <c r="L14" s="314"/>
      <c r="M14" s="314"/>
      <c r="N14" s="314"/>
      <c r="O14" s="292" t="s">
        <v>143</v>
      </c>
      <c r="P14" s="317"/>
      <c r="Q14" s="318"/>
      <c r="R14" s="303"/>
      <c r="S14" s="303"/>
      <c r="T14" s="303"/>
      <c r="U14" s="303"/>
      <c r="V14" s="303"/>
      <c r="W14" s="303"/>
      <c r="X14" s="303"/>
    </row>
    <row r="15" spans="1:24" ht="17.25" customHeight="1" x14ac:dyDescent="0.25">
      <c r="A15" s="316">
        <v>12</v>
      </c>
      <c r="B15" s="298">
        <v>45568</v>
      </c>
      <c r="C15" s="299">
        <v>0.4368055555555555</v>
      </c>
      <c r="D15" s="295" t="s">
        <v>107</v>
      </c>
      <c r="E15" s="300">
        <v>693655</v>
      </c>
      <c r="F15" s="300">
        <v>307109</v>
      </c>
      <c r="G15" s="301">
        <v>85</v>
      </c>
      <c r="H15" s="296" t="s">
        <v>125</v>
      </c>
      <c r="I15" s="302" t="s">
        <v>170</v>
      </c>
      <c r="J15" s="297" t="s">
        <v>135</v>
      </c>
      <c r="K15" s="314"/>
      <c r="L15" s="314"/>
      <c r="M15" s="314"/>
      <c r="N15" s="314"/>
      <c r="O15" s="292" t="s">
        <v>144</v>
      </c>
      <c r="P15" s="317"/>
      <c r="Q15" s="318"/>
      <c r="R15" s="303"/>
      <c r="S15" s="303"/>
      <c r="T15" s="303"/>
      <c r="U15" s="303"/>
      <c r="V15" s="303"/>
      <c r="W15" s="303"/>
      <c r="X15" s="303"/>
    </row>
    <row r="16" spans="1:24" ht="17.25" customHeight="1" x14ac:dyDescent="0.25">
      <c r="A16" s="316">
        <v>13</v>
      </c>
      <c r="B16" s="298">
        <v>45568</v>
      </c>
      <c r="C16" s="299">
        <v>0.50763888888888886</v>
      </c>
      <c r="D16" s="295" t="s">
        <v>107</v>
      </c>
      <c r="E16" s="300">
        <v>693633</v>
      </c>
      <c r="F16" s="300">
        <v>901109</v>
      </c>
      <c r="G16" s="301">
        <v>540</v>
      </c>
      <c r="H16" s="296" t="s">
        <v>125</v>
      </c>
      <c r="I16" s="302" t="s">
        <v>171</v>
      </c>
      <c r="J16" s="297" t="s">
        <v>135</v>
      </c>
      <c r="K16" s="314"/>
      <c r="L16" s="314"/>
      <c r="M16" s="314"/>
      <c r="N16" s="314"/>
      <c r="O16" s="292" t="s">
        <v>133</v>
      </c>
      <c r="P16" s="317"/>
      <c r="Q16" s="318"/>
      <c r="R16" s="303"/>
      <c r="S16" s="303"/>
      <c r="T16" s="303"/>
      <c r="U16" s="303"/>
      <c r="V16" s="303"/>
      <c r="W16" s="303"/>
      <c r="X16" s="303"/>
    </row>
    <row r="17" spans="1:24" ht="17.25" customHeight="1" x14ac:dyDescent="0.25">
      <c r="A17" s="316">
        <v>14</v>
      </c>
      <c r="B17" s="298">
        <v>45568</v>
      </c>
      <c r="C17" s="299">
        <v>0.5541666666666667</v>
      </c>
      <c r="D17" s="295" t="s">
        <v>107</v>
      </c>
      <c r="E17" s="300">
        <v>693652</v>
      </c>
      <c r="F17" s="300">
        <v>607902</v>
      </c>
      <c r="G17" s="301">
        <v>60</v>
      </c>
      <c r="H17" s="296" t="s">
        <v>125</v>
      </c>
      <c r="I17" s="302" t="s">
        <v>172</v>
      </c>
      <c r="J17" s="297" t="s">
        <v>135</v>
      </c>
      <c r="K17" s="314"/>
      <c r="L17" s="314"/>
      <c r="M17" s="314"/>
      <c r="N17" s="314"/>
      <c r="O17" s="290" t="s">
        <v>106</v>
      </c>
      <c r="P17" s="314"/>
      <c r="Q17" s="303"/>
      <c r="R17" s="303"/>
      <c r="S17" s="303"/>
      <c r="T17" s="303"/>
      <c r="U17" s="303"/>
      <c r="V17" s="303"/>
      <c r="W17" s="303"/>
      <c r="X17" s="303"/>
    </row>
    <row r="18" spans="1:24" ht="17.25" customHeight="1" x14ac:dyDescent="0.25">
      <c r="A18" s="316">
        <v>15</v>
      </c>
      <c r="B18" s="298">
        <v>45568</v>
      </c>
      <c r="C18" s="299">
        <v>0.64722222222222225</v>
      </c>
      <c r="D18" s="295" t="s">
        <v>107</v>
      </c>
      <c r="E18" s="300">
        <v>693702</v>
      </c>
      <c r="F18" s="300">
        <v>600109</v>
      </c>
      <c r="G18" s="301">
        <v>85</v>
      </c>
      <c r="H18" s="296" t="s">
        <v>125</v>
      </c>
      <c r="I18" s="302" t="s">
        <v>173</v>
      </c>
      <c r="J18" s="297" t="s">
        <v>135</v>
      </c>
      <c r="K18" s="314"/>
      <c r="L18" s="314"/>
      <c r="M18" s="314"/>
      <c r="N18" s="314"/>
      <c r="O18" s="292" t="s">
        <v>104</v>
      </c>
      <c r="P18" s="314"/>
      <c r="Q18" s="303"/>
      <c r="R18" s="303"/>
      <c r="S18" s="303"/>
      <c r="T18" s="303"/>
      <c r="U18" s="303"/>
      <c r="V18" s="303"/>
      <c r="W18" s="303"/>
      <c r="X18" s="303"/>
    </row>
    <row r="19" spans="1:24" ht="17.25" customHeight="1" x14ac:dyDescent="0.25">
      <c r="A19" s="316">
        <v>16</v>
      </c>
      <c r="B19" s="298">
        <v>45568</v>
      </c>
      <c r="C19" s="299">
        <v>0.68055555555555547</v>
      </c>
      <c r="D19" s="295" t="s">
        <v>107</v>
      </c>
      <c r="E19" s="300">
        <v>693745</v>
      </c>
      <c r="F19" s="300">
        <v>107209</v>
      </c>
      <c r="G19" s="301">
        <v>85</v>
      </c>
      <c r="H19" s="296" t="s">
        <v>125</v>
      </c>
      <c r="I19" s="302" t="s">
        <v>174</v>
      </c>
      <c r="J19" s="297" t="s">
        <v>135</v>
      </c>
      <c r="K19" s="314"/>
      <c r="L19" s="314"/>
      <c r="M19" s="314"/>
      <c r="N19" s="314"/>
      <c r="O19" s="292" t="s">
        <v>102</v>
      </c>
      <c r="P19" s="314"/>
      <c r="Q19" s="303"/>
      <c r="R19" s="303"/>
      <c r="S19" s="303"/>
      <c r="T19" s="303"/>
      <c r="U19" s="303"/>
      <c r="V19" s="303"/>
      <c r="W19" s="303"/>
      <c r="X19" s="303"/>
    </row>
    <row r="20" spans="1:24" ht="17.25" customHeight="1" x14ac:dyDescent="0.25">
      <c r="A20" s="316">
        <v>17</v>
      </c>
      <c r="B20" s="298">
        <v>45568</v>
      </c>
      <c r="C20" s="299">
        <v>0.77500000000000002</v>
      </c>
      <c r="D20" s="295" t="s">
        <v>107</v>
      </c>
      <c r="E20" s="300">
        <v>693786</v>
      </c>
      <c r="F20" s="300">
        <v>904700</v>
      </c>
      <c r="G20" s="301">
        <v>400</v>
      </c>
      <c r="H20" s="296" t="s">
        <v>126</v>
      </c>
      <c r="I20" s="302" t="s">
        <v>175</v>
      </c>
      <c r="J20" s="297" t="s">
        <v>135</v>
      </c>
      <c r="K20" s="314"/>
      <c r="L20" s="314"/>
      <c r="M20" s="314"/>
      <c r="N20" s="314"/>
      <c r="O20" s="292" t="s">
        <v>134</v>
      </c>
      <c r="P20" s="314"/>
      <c r="Q20" s="303"/>
      <c r="R20" s="303"/>
      <c r="S20" s="303"/>
      <c r="T20" s="303"/>
      <c r="U20" s="303"/>
      <c r="V20" s="303"/>
      <c r="W20" s="303"/>
      <c r="X20" s="303"/>
    </row>
    <row r="21" spans="1:24" ht="17.25" customHeight="1" x14ac:dyDescent="0.25">
      <c r="A21" s="316">
        <v>18</v>
      </c>
      <c r="B21" s="298">
        <v>45568</v>
      </c>
      <c r="C21" s="299">
        <v>0.70347222222222217</v>
      </c>
      <c r="D21" s="295" t="s">
        <v>109</v>
      </c>
      <c r="E21" s="300">
        <v>453919</v>
      </c>
      <c r="F21" s="300">
        <v>201708</v>
      </c>
      <c r="G21" s="301">
        <v>0</v>
      </c>
      <c r="H21" s="296" t="s">
        <v>125</v>
      </c>
      <c r="I21" s="302" t="s">
        <v>176</v>
      </c>
      <c r="J21" s="297" t="s">
        <v>135</v>
      </c>
      <c r="K21" s="314"/>
      <c r="L21" s="314"/>
      <c r="M21" s="314"/>
      <c r="N21" s="314"/>
      <c r="O21" s="292" t="s">
        <v>135</v>
      </c>
      <c r="P21" s="314"/>
      <c r="Q21" s="303"/>
      <c r="R21" s="303"/>
      <c r="S21" s="303"/>
      <c r="T21" s="303"/>
      <c r="U21" s="303"/>
      <c r="V21" s="303"/>
      <c r="W21" s="303"/>
      <c r="X21" s="303"/>
    </row>
    <row r="22" spans="1:24" ht="17.25" customHeight="1" x14ac:dyDescent="0.25">
      <c r="A22" s="316">
        <v>19</v>
      </c>
      <c r="B22" s="298">
        <v>45568</v>
      </c>
      <c r="C22" s="299">
        <v>0.85</v>
      </c>
      <c r="D22" s="295" t="s">
        <v>101</v>
      </c>
      <c r="E22" s="300">
        <v>683067</v>
      </c>
      <c r="F22" s="300">
        <v>810000</v>
      </c>
      <c r="G22" s="301">
        <v>5</v>
      </c>
      <c r="H22" s="296" t="s">
        <v>124</v>
      </c>
      <c r="I22" s="302" t="s">
        <v>177</v>
      </c>
      <c r="J22" s="297" t="s">
        <v>133</v>
      </c>
      <c r="K22" s="314"/>
      <c r="L22" s="314"/>
      <c r="M22" s="314"/>
      <c r="N22" s="314"/>
      <c r="O22" s="292" t="s">
        <v>136</v>
      </c>
      <c r="P22" s="314"/>
      <c r="Q22" s="303"/>
      <c r="R22" s="303"/>
      <c r="S22" s="303"/>
      <c r="T22" s="303"/>
      <c r="U22" s="303"/>
      <c r="V22" s="303"/>
      <c r="W22" s="303"/>
      <c r="X22" s="303"/>
    </row>
    <row r="23" spans="1:24" ht="17.25" customHeight="1" x14ac:dyDescent="0.2">
      <c r="A23" s="316">
        <v>20</v>
      </c>
      <c r="B23" s="298">
        <v>45569</v>
      </c>
      <c r="C23" s="299">
        <v>0.14861111111111111</v>
      </c>
      <c r="D23" s="295" t="s">
        <v>107</v>
      </c>
      <c r="E23" s="300">
        <v>446574</v>
      </c>
      <c r="F23" s="300">
        <v>903700</v>
      </c>
      <c r="G23" s="301">
        <v>125</v>
      </c>
      <c r="H23" s="296" t="s">
        <v>126</v>
      </c>
      <c r="I23" s="302" t="s">
        <v>178</v>
      </c>
      <c r="J23" s="297" t="s">
        <v>133</v>
      </c>
      <c r="K23" s="314"/>
      <c r="L23" s="314"/>
      <c r="M23" s="314"/>
      <c r="N23" s="314"/>
      <c r="O23" s="314"/>
      <c r="P23" s="314"/>
      <c r="Q23" s="303"/>
      <c r="R23" s="303"/>
      <c r="S23" s="303"/>
      <c r="T23" s="303"/>
      <c r="U23" s="303"/>
      <c r="V23" s="303"/>
      <c r="W23" s="303"/>
      <c r="X23" s="303"/>
    </row>
    <row r="24" spans="1:24" ht="17.25" customHeight="1" x14ac:dyDescent="0.2">
      <c r="A24" s="316">
        <v>21</v>
      </c>
      <c r="B24" s="298">
        <v>45569</v>
      </c>
      <c r="C24" s="299">
        <v>0.35138888888888892</v>
      </c>
      <c r="D24" s="295" t="s">
        <v>101</v>
      </c>
      <c r="E24" s="300">
        <v>683078</v>
      </c>
      <c r="F24" s="300">
        <v>611000</v>
      </c>
      <c r="G24" s="301">
        <v>15</v>
      </c>
      <c r="H24" s="296" t="s">
        <v>124</v>
      </c>
      <c r="I24" s="302" t="s">
        <v>177</v>
      </c>
      <c r="J24" s="297" t="s">
        <v>106</v>
      </c>
      <c r="K24" s="314"/>
      <c r="L24" s="314"/>
      <c r="M24" s="314"/>
      <c r="N24" s="314"/>
      <c r="O24" s="314"/>
      <c r="P24" s="314"/>
      <c r="Q24" s="303"/>
      <c r="R24" s="303"/>
      <c r="S24" s="303"/>
      <c r="T24" s="303"/>
      <c r="U24" s="303"/>
      <c r="V24" s="303"/>
      <c r="W24" s="303"/>
      <c r="X24" s="303"/>
    </row>
    <row r="25" spans="1:24" ht="17.25" customHeight="1" x14ac:dyDescent="0.2">
      <c r="A25" s="316">
        <v>22</v>
      </c>
      <c r="B25" s="298">
        <v>45569</v>
      </c>
      <c r="C25" s="299">
        <v>0.47013888888888888</v>
      </c>
      <c r="D25" s="295" t="s">
        <v>107</v>
      </c>
      <c r="E25" s="300">
        <v>446729</v>
      </c>
      <c r="F25" s="300">
        <v>902700</v>
      </c>
      <c r="G25" s="301">
        <v>540</v>
      </c>
      <c r="H25" s="296" t="s">
        <v>126</v>
      </c>
      <c r="I25" s="302" t="s">
        <v>179</v>
      </c>
      <c r="J25" s="297" t="s">
        <v>106</v>
      </c>
      <c r="K25" s="314"/>
      <c r="L25" s="314"/>
      <c r="M25" s="314"/>
      <c r="N25" s="314"/>
      <c r="O25" s="314"/>
      <c r="P25" s="314"/>
      <c r="Q25" s="303"/>
      <c r="R25" s="303"/>
      <c r="S25" s="303"/>
      <c r="T25" s="303"/>
      <c r="U25" s="303"/>
      <c r="V25" s="303"/>
      <c r="W25" s="303"/>
      <c r="X25" s="303"/>
    </row>
    <row r="26" spans="1:24" ht="17.25" customHeight="1" x14ac:dyDescent="0.2">
      <c r="A26" s="316">
        <v>23</v>
      </c>
      <c r="B26" s="298">
        <v>45569</v>
      </c>
      <c r="C26" s="299">
        <v>0.49027777777777781</v>
      </c>
      <c r="D26" s="295" t="s">
        <v>107</v>
      </c>
      <c r="E26" s="300">
        <v>449742</v>
      </c>
      <c r="F26" s="300">
        <v>803700</v>
      </c>
      <c r="G26" s="301">
        <v>2140</v>
      </c>
      <c r="H26" s="296" t="s">
        <v>126</v>
      </c>
      <c r="I26" s="302" t="s">
        <v>180</v>
      </c>
      <c r="J26" s="297" t="s">
        <v>106</v>
      </c>
      <c r="K26" s="314"/>
      <c r="L26" s="314"/>
      <c r="M26" s="314"/>
      <c r="N26" s="314"/>
      <c r="O26" s="314"/>
      <c r="P26" s="314"/>
      <c r="Q26" s="303"/>
      <c r="R26" s="303"/>
      <c r="S26" s="303"/>
      <c r="T26" s="303"/>
      <c r="U26" s="303"/>
      <c r="V26" s="303"/>
      <c r="W26" s="303"/>
      <c r="X26" s="303"/>
    </row>
    <row r="27" spans="1:24" ht="17.25" customHeight="1" x14ac:dyDescent="0.2">
      <c r="A27" s="316">
        <v>24</v>
      </c>
      <c r="B27" s="298">
        <v>45569</v>
      </c>
      <c r="C27" s="299">
        <v>0.63750000000000007</v>
      </c>
      <c r="D27" s="295" t="s">
        <v>107</v>
      </c>
      <c r="E27" s="300">
        <v>446801</v>
      </c>
      <c r="F27" s="300">
        <v>709109</v>
      </c>
      <c r="G27" s="301">
        <v>140</v>
      </c>
      <c r="H27" s="296" t="s">
        <v>125</v>
      </c>
      <c r="I27" s="302" t="s">
        <v>181</v>
      </c>
      <c r="J27" s="297" t="s">
        <v>106</v>
      </c>
      <c r="K27" s="314"/>
      <c r="L27" s="314"/>
      <c r="M27" s="314"/>
      <c r="N27" s="314"/>
      <c r="O27" s="314"/>
      <c r="P27" s="314"/>
      <c r="Q27" s="303"/>
      <c r="R27" s="303"/>
      <c r="S27" s="303"/>
      <c r="T27" s="303"/>
      <c r="U27" s="303"/>
      <c r="V27" s="303"/>
      <c r="W27" s="303"/>
      <c r="X27" s="303"/>
    </row>
    <row r="28" spans="1:24" ht="17.25" customHeight="1" x14ac:dyDescent="0.2">
      <c r="A28" s="316">
        <v>25</v>
      </c>
      <c r="B28" s="298">
        <v>45569</v>
      </c>
      <c r="C28" s="299">
        <v>0.84722222222222221</v>
      </c>
      <c r="D28" s="295" t="s">
        <v>107</v>
      </c>
      <c r="E28" s="300">
        <v>446954</v>
      </c>
      <c r="F28" s="300">
        <v>304700</v>
      </c>
      <c r="G28" s="301">
        <v>800</v>
      </c>
      <c r="H28" s="296" t="s">
        <v>124</v>
      </c>
      <c r="I28" s="302" t="s">
        <v>182</v>
      </c>
      <c r="J28" s="297" t="s">
        <v>143</v>
      </c>
      <c r="K28" s="303"/>
      <c r="L28" s="303"/>
      <c r="M28" s="303"/>
      <c r="N28" s="303"/>
      <c r="O28" s="303"/>
      <c r="P28" s="303"/>
      <c r="Q28" s="303"/>
      <c r="R28" s="303"/>
      <c r="S28" s="303"/>
      <c r="T28" s="303"/>
      <c r="U28" s="303"/>
      <c r="V28" s="303"/>
      <c r="W28" s="303"/>
      <c r="X28" s="303"/>
    </row>
    <row r="29" spans="1:24" ht="17.25" customHeight="1" x14ac:dyDescent="0.2">
      <c r="A29" s="316">
        <v>26</v>
      </c>
      <c r="B29" s="298">
        <v>45569</v>
      </c>
      <c r="C29" s="299">
        <v>0.96527777777777779</v>
      </c>
      <c r="D29" s="295" t="s">
        <v>107</v>
      </c>
      <c r="E29" s="300">
        <v>693038</v>
      </c>
      <c r="F29" s="300">
        <v>601109</v>
      </c>
      <c r="G29" s="301">
        <v>2600</v>
      </c>
      <c r="H29" s="296" t="s">
        <v>125</v>
      </c>
      <c r="I29" s="302" t="s">
        <v>183</v>
      </c>
      <c r="J29" s="297" t="s">
        <v>143</v>
      </c>
      <c r="K29" s="303"/>
      <c r="L29" s="303"/>
      <c r="M29" s="303"/>
      <c r="N29" s="303"/>
      <c r="O29" s="303"/>
      <c r="P29" s="303"/>
      <c r="Q29" s="303"/>
      <c r="R29" s="303"/>
      <c r="S29" s="303"/>
      <c r="T29" s="303"/>
      <c r="U29" s="303"/>
      <c r="V29" s="303"/>
      <c r="W29" s="303"/>
      <c r="X29" s="303"/>
    </row>
    <row r="30" spans="1:24" ht="17.25" customHeight="1" x14ac:dyDescent="0.2">
      <c r="A30" s="316">
        <v>27</v>
      </c>
      <c r="B30" s="298">
        <v>45570</v>
      </c>
      <c r="C30" s="299">
        <v>2.4999999999999998E-2</v>
      </c>
      <c r="D30" s="295" t="s">
        <v>107</v>
      </c>
      <c r="E30" s="300">
        <v>693089</v>
      </c>
      <c r="F30" s="300">
        <v>709109</v>
      </c>
      <c r="G30" s="301">
        <v>1200</v>
      </c>
      <c r="H30" s="296" t="s">
        <v>125</v>
      </c>
      <c r="I30" s="302" t="s">
        <v>185</v>
      </c>
      <c r="J30" s="297" t="s">
        <v>143</v>
      </c>
      <c r="K30" s="303"/>
      <c r="L30" s="303"/>
      <c r="M30" s="303"/>
      <c r="N30" s="303"/>
      <c r="O30" s="303"/>
      <c r="P30" s="303"/>
      <c r="Q30" s="303"/>
      <c r="R30" s="303"/>
      <c r="S30" s="303"/>
      <c r="T30" s="303"/>
      <c r="U30" s="303"/>
      <c r="V30" s="303"/>
      <c r="W30" s="303"/>
      <c r="X30" s="303"/>
    </row>
    <row r="31" spans="1:24" ht="17.25" customHeight="1" x14ac:dyDescent="0.2">
      <c r="A31" s="316">
        <v>28</v>
      </c>
      <c r="B31" s="298">
        <v>45570</v>
      </c>
      <c r="C31" s="299">
        <v>4.8611111111111112E-2</v>
      </c>
      <c r="D31" s="295" t="s">
        <v>107</v>
      </c>
      <c r="E31" s="300">
        <v>693118</v>
      </c>
      <c r="F31" s="300">
        <v>600209</v>
      </c>
      <c r="G31" s="301">
        <v>1000</v>
      </c>
      <c r="H31" s="296" t="s">
        <v>125</v>
      </c>
      <c r="I31" s="302" t="s">
        <v>186</v>
      </c>
      <c r="J31" s="297" t="s">
        <v>143</v>
      </c>
      <c r="K31" s="303"/>
      <c r="L31" s="303"/>
      <c r="M31" s="303"/>
      <c r="N31" s="303"/>
      <c r="O31" s="303"/>
      <c r="P31" s="303"/>
      <c r="Q31" s="303"/>
      <c r="R31" s="303"/>
      <c r="S31" s="303"/>
      <c r="T31" s="303"/>
      <c r="U31" s="303"/>
      <c r="V31" s="303"/>
      <c r="W31" s="303"/>
      <c r="X31" s="303"/>
    </row>
    <row r="32" spans="1:24" ht="17.25" customHeight="1" x14ac:dyDescent="0.2">
      <c r="A32" s="316">
        <v>29</v>
      </c>
      <c r="B32" s="298">
        <v>45570</v>
      </c>
      <c r="C32" s="299">
        <v>0.10625</v>
      </c>
      <c r="D32" s="295" t="s">
        <v>109</v>
      </c>
      <c r="E32" s="300">
        <v>453897</v>
      </c>
      <c r="F32" s="300">
        <v>907708</v>
      </c>
      <c r="G32" s="301">
        <v>70</v>
      </c>
      <c r="H32" s="296" t="s">
        <v>125</v>
      </c>
      <c r="I32" s="302" t="s">
        <v>188</v>
      </c>
      <c r="J32" s="297" t="s">
        <v>143</v>
      </c>
      <c r="K32" s="303"/>
      <c r="L32" s="303"/>
      <c r="M32" s="303"/>
      <c r="N32" s="303"/>
      <c r="O32" s="303"/>
      <c r="P32" s="303"/>
      <c r="Q32" s="303"/>
      <c r="R32" s="303"/>
      <c r="S32" s="303"/>
      <c r="T32" s="303"/>
      <c r="U32" s="303"/>
      <c r="V32" s="303"/>
      <c r="W32" s="303"/>
      <c r="X32" s="303"/>
    </row>
    <row r="33" spans="1:24" ht="17.25" customHeight="1" x14ac:dyDescent="0.2">
      <c r="A33" s="316">
        <v>30</v>
      </c>
      <c r="B33" s="298">
        <v>45570</v>
      </c>
      <c r="C33" s="299">
        <v>0.1173611111111111</v>
      </c>
      <c r="D33" s="295" t="s">
        <v>107</v>
      </c>
      <c r="E33" s="300">
        <v>693185</v>
      </c>
      <c r="F33" s="300">
        <v>706109</v>
      </c>
      <c r="G33" s="301">
        <v>1000</v>
      </c>
      <c r="H33" s="296" t="s">
        <v>125</v>
      </c>
      <c r="I33" s="302" t="s">
        <v>187</v>
      </c>
      <c r="J33" s="297" t="s">
        <v>143</v>
      </c>
      <c r="K33" s="303"/>
      <c r="L33" s="303"/>
      <c r="M33" s="303"/>
      <c r="N33" s="303"/>
      <c r="O33" s="303"/>
      <c r="P33" s="303"/>
      <c r="Q33" s="303"/>
      <c r="R33" s="303"/>
      <c r="S33" s="303"/>
      <c r="T33" s="303"/>
      <c r="U33" s="303"/>
      <c r="V33" s="303"/>
      <c r="W33" s="303"/>
      <c r="X33" s="303"/>
    </row>
    <row r="34" spans="1:24" ht="17.25" customHeight="1" x14ac:dyDescent="0.2">
      <c r="A34" s="316">
        <v>31</v>
      </c>
      <c r="B34" s="298">
        <v>45570</v>
      </c>
      <c r="C34" s="299">
        <v>0.14861111111111111</v>
      </c>
      <c r="D34" s="295" t="s">
        <v>109</v>
      </c>
      <c r="E34" s="300">
        <v>453898</v>
      </c>
      <c r="F34" s="300">
        <v>208708</v>
      </c>
      <c r="G34" s="301">
        <v>70</v>
      </c>
      <c r="H34" s="296" t="s">
        <v>125</v>
      </c>
      <c r="I34" s="302" t="s">
        <v>189</v>
      </c>
      <c r="J34" s="297" t="s">
        <v>143</v>
      </c>
      <c r="K34" s="303"/>
      <c r="L34" s="303"/>
      <c r="M34" s="303"/>
      <c r="N34" s="303"/>
      <c r="O34" s="303"/>
      <c r="P34" s="303"/>
      <c r="Q34" s="303"/>
      <c r="R34" s="303"/>
      <c r="S34" s="303"/>
      <c r="T34" s="303"/>
      <c r="U34" s="303"/>
      <c r="V34" s="303"/>
      <c r="W34" s="303"/>
      <c r="X34" s="303"/>
    </row>
    <row r="35" spans="1:24" ht="17.25" customHeight="1" x14ac:dyDescent="0.2">
      <c r="A35" s="316">
        <v>32</v>
      </c>
      <c r="B35" s="298">
        <v>45570</v>
      </c>
      <c r="C35" s="299">
        <v>0.22152777777777777</v>
      </c>
      <c r="D35" s="295" t="s">
        <v>109</v>
      </c>
      <c r="E35" s="300"/>
      <c r="F35" s="300">
        <v>717200</v>
      </c>
      <c r="G35" s="301">
        <v>0</v>
      </c>
      <c r="H35" s="296" t="s">
        <v>126</v>
      </c>
      <c r="I35" s="302" t="s">
        <v>190</v>
      </c>
      <c r="J35" s="297" t="s">
        <v>143</v>
      </c>
      <c r="K35" s="303"/>
      <c r="L35" s="303"/>
      <c r="M35" s="303"/>
      <c r="N35" s="303"/>
      <c r="O35" s="303"/>
      <c r="P35" s="303"/>
      <c r="Q35" s="303"/>
      <c r="R35" s="303"/>
      <c r="S35" s="303"/>
      <c r="T35" s="303"/>
      <c r="U35" s="303"/>
      <c r="V35" s="303"/>
      <c r="W35" s="303"/>
      <c r="X35" s="303"/>
    </row>
    <row r="36" spans="1:24" ht="17.25" customHeight="1" x14ac:dyDescent="0.2">
      <c r="A36" s="316">
        <v>33</v>
      </c>
      <c r="B36" s="298">
        <v>45570</v>
      </c>
      <c r="C36" s="299">
        <v>0.22222222222222221</v>
      </c>
      <c r="D36" s="295" t="s">
        <v>109</v>
      </c>
      <c r="E36" s="300"/>
      <c r="F36" s="300">
        <v>718200</v>
      </c>
      <c r="G36" s="301">
        <v>0</v>
      </c>
      <c r="H36" s="296" t="s">
        <v>126</v>
      </c>
      <c r="I36" s="302" t="s">
        <v>191</v>
      </c>
      <c r="J36" s="297" t="s">
        <v>143</v>
      </c>
      <c r="K36" s="303"/>
      <c r="L36" s="303"/>
      <c r="M36" s="303"/>
      <c r="N36" s="303"/>
      <c r="O36" s="303"/>
      <c r="P36" s="303"/>
      <c r="Q36" s="303"/>
      <c r="R36" s="303"/>
      <c r="S36" s="303"/>
      <c r="T36" s="303"/>
      <c r="U36" s="303"/>
      <c r="V36" s="303"/>
      <c r="W36" s="303"/>
      <c r="X36" s="303"/>
    </row>
    <row r="37" spans="1:24" ht="17.25" customHeight="1" x14ac:dyDescent="0.2">
      <c r="A37" s="316">
        <v>34</v>
      </c>
      <c r="B37" s="298">
        <v>45570</v>
      </c>
      <c r="C37" s="299">
        <v>0.66249999999999998</v>
      </c>
      <c r="D37" s="295" t="s">
        <v>107</v>
      </c>
      <c r="E37" s="300">
        <v>696055</v>
      </c>
      <c r="F37" s="300">
        <v>9209</v>
      </c>
      <c r="G37" s="301">
        <v>85</v>
      </c>
      <c r="H37" s="296" t="s">
        <v>125</v>
      </c>
      <c r="I37" s="302" t="s">
        <v>192</v>
      </c>
      <c r="J37" s="297" t="s">
        <v>136</v>
      </c>
      <c r="K37" s="303"/>
      <c r="L37" s="303"/>
      <c r="M37" s="303"/>
      <c r="N37" s="303"/>
      <c r="O37" s="303"/>
      <c r="P37" s="303"/>
      <c r="Q37" s="303"/>
      <c r="R37" s="303"/>
      <c r="S37" s="303"/>
      <c r="T37" s="303"/>
      <c r="U37" s="303"/>
      <c r="V37" s="303"/>
      <c r="W37" s="303"/>
      <c r="X37" s="303"/>
    </row>
    <row r="38" spans="1:24" ht="17.25" customHeight="1" x14ac:dyDescent="0.2">
      <c r="A38" s="316">
        <v>35</v>
      </c>
      <c r="B38" s="298">
        <v>45570</v>
      </c>
      <c r="C38" s="299">
        <v>0.77361111111111114</v>
      </c>
      <c r="D38" s="295" t="s">
        <v>107</v>
      </c>
      <c r="E38" s="300">
        <v>691112</v>
      </c>
      <c r="F38" s="300">
        <v>706209</v>
      </c>
      <c r="G38" s="301">
        <v>60</v>
      </c>
      <c r="H38" s="296" t="s">
        <v>125</v>
      </c>
      <c r="I38" s="302" t="s">
        <v>193</v>
      </c>
      <c r="J38" s="297" t="s">
        <v>136</v>
      </c>
      <c r="K38" s="303"/>
      <c r="L38" s="303"/>
      <c r="M38" s="303"/>
      <c r="N38" s="303"/>
      <c r="O38" s="303"/>
      <c r="P38" s="303"/>
      <c r="Q38" s="303"/>
      <c r="R38" s="303"/>
      <c r="S38" s="303"/>
      <c r="T38" s="303"/>
      <c r="U38" s="303"/>
      <c r="V38" s="303"/>
      <c r="W38" s="303"/>
      <c r="X38" s="303"/>
    </row>
    <row r="39" spans="1:24" ht="17.25" customHeight="1" x14ac:dyDescent="0.2">
      <c r="A39" s="316">
        <v>36</v>
      </c>
      <c r="B39" s="298">
        <v>45570</v>
      </c>
      <c r="C39" s="299">
        <v>0.85625000000000007</v>
      </c>
      <c r="D39" s="295" t="s">
        <v>109</v>
      </c>
      <c r="E39" s="300">
        <v>453953</v>
      </c>
      <c r="F39" s="300">
        <v>708708</v>
      </c>
      <c r="G39" s="301">
        <v>135</v>
      </c>
      <c r="H39" s="296" t="s">
        <v>125</v>
      </c>
      <c r="I39" s="302" t="s">
        <v>194</v>
      </c>
      <c r="J39" s="297" t="s">
        <v>106</v>
      </c>
      <c r="K39" s="303"/>
      <c r="L39" s="303"/>
      <c r="M39" s="303"/>
      <c r="N39" s="303"/>
      <c r="O39" s="303"/>
      <c r="P39" s="303"/>
      <c r="Q39" s="303"/>
      <c r="R39" s="303"/>
      <c r="S39" s="303"/>
      <c r="T39" s="303"/>
      <c r="U39" s="303"/>
      <c r="V39" s="303"/>
      <c r="W39" s="303"/>
      <c r="X39" s="303"/>
    </row>
    <row r="40" spans="1:24" ht="17.25" customHeight="1" x14ac:dyDescent="0.2">
      <c r="A40" s="316">
        <v>37</v>
      </c>
      <c r="B40" s="298">
        <v>45570</v>
      </c>
      <c r="C40" s="299">
        <v>0.87986111111111109</v>
      </c>
      <c r="D40" s="295" t="s">
        <v>109</v>
      </c>
      <c r="E40" s="300">
        <v>453962</v>
      </c>
      <c r="F40" s="300">
        <v>915200</v>
      </c>
      <c r="G40" s="301">
        <v>70</v>
      </c>
      <c r="H40" s="296" t="s">
        <v>125</v>
      </c>
      <c r="I40" s="302" t="s">
        <v>195</v>
      </c>
      <c r="J40" s="297" t="s">
        <v>106</v>
      </c>
      <c r="K40" s="303"/>
      <c r="L40" s="303"/>
      <c r="M40" s="303"/>
      <c r="N40" s="303"/>
      <c r="O40" s="303"/>
      <c r="P40" s="303"/>
      <c r="Q40" s="303"/>
      <c r="R40" s="303"/>
      <c r="S40" s="303"/>
      <c r="T40" s="303"/>
      <c r="U40" s="303"/>
      <c r="V40" s="303"/>
      <c r="W40" s="303"/>
      <c r="X40" s="303"/>
    </row>
    <row r="41" spans="1:24" ht="17.25" customHeight="1" x14ac:dyDescent="0.2">
      <c r="A41" s="316">
        <v>38</v>
      </c>
      <c r="B41" s="298">
        <v>45571</v>
      </c>
      <c r="C41" s="299">
        <v>0.21249999999999999</v>
      </c>
      <c r="D41" s="295" t="s">
        <v>109</v>
      </c>
      <c r="E41" s="300">
        <v>453993</v>
      </c>
      <c r="F41" s="300">
        <v>608708</v>
      </c>
      <c r="G41" s="301">
        <v>70</v>
      </c>
      <c r="H41" s="296" t="s">
        <v>125</v>
      </c>
      <c r="I41" s="302" t="s">
        <v>196</v>
      </c>
      <c r="J41" s="297" t="s">
        <v>106</v>
      </c>
      <c r="K41" s="303"/>
      <c r="L41" s="303"/>
      <c r="M41" s="303"/>
      <c r="N41" s="303"/>
      <c r="O41" s="303"/>
      <c r="P41" s="303"/>
      <c r="Q41" s="303"/>
      <c r="R41" s="303"/>
      <c r="S41" s="303"/>
      <c r="T41" s="303"/>
      <c r="U41" s="303"/>
      <c r="V41" s="303"/>
      <c r="W41" s="303"/>
      <c r="X41" s="303"/>
    </row>
    <row r="42" spans="1:24" ht="17.25" customHeight="1" x14ac:dyDescent="0.2">
      <c r="A42" s="316">
        <v>39</v>
      </c>
      <c r="B42" s="298">
        <v>45571</v>
      </c>
      <c r="C42" s="299">
        <v>7.7083333333333337E-2</v>
      </c>
      <c r="D42" s="295" t="s">
        <v>109</v>
      </c>
      <c r="E42" s="300">
        <v>453988</v>
      </c>
      <c r="F42" s="300">
        <v>905708</v>
      </c>
      <c r="G42" s="301">
        <v>70</v>
      </c>
      <c r="H42" s="296" t="s">
        <v>125</v>
      </c>
      <c r="I42" s="302" t="s">
        <v>197</v>
      </c>
      <c r="J42" s="297" t="s">
        <v>106</v>
      </c>
      <c r="K42" s="303"/>
      <c r="L42" s="303"/>
      <c r="M42" s="303"/>
      <c r="N42" s="303"/>
      <c r="O42" s="303"/>
      <c r="P42" s="303"/>
      <c r="Q42" s="303"/>
      <c r="R42" s="303"/>
      <c r="S42" s="303"/>
      <c r="T42" s="303"/>
      <c r="U42" s="303"/>
      <c r="V42" s="303"/>
      <c r="W42" s="303"/>
      <c r="X42" s="303"/>
    </row>
    <row r="43" spans="1:24" ht="17.25" customHeight="1" x14ac:dyDescent="0.2">
      <c r="A43" s="316">
        <v>40</v>
      </c>
      <c r="B43" s="298">
        <v>45571</v>
      </c>
      <c r="C43" s="299">
        <v>0.4680555555555555</v>
      </c>
      <c r="D43" s="295" t="s">
        <v>109</v>
      </c>
      <c r="E43" s="300">
        <v>580611</v>
      </c>
      <c r="F43" s="300">
        <v>909708</v>
      </c>
      <c r="G43" s="301">
        <v>110</v>
      </c>
      <c r="H43" s="296" t="s">
        <v>125</v>
      </c>
      <c r="I43" s="302" t="s">
        <v>198</v>
      </c>
      <c r="J43" s="297" t="s">
        <v>199</v>
      </c>
    </row>
    <row r="44" spans="1:24" ht="17.25" customHeight="1" x14ac:dyDescent="0.2">
      <c r="A44" s="316">
        <v>41</v>
      </c>
      <c r="B44" s="298">
        <v>45571</v>
      </c>
      <c r="C44" s="299" t="s">
        <v>200</v>
      </c>
      <c r="D44" s="295" t="s">
        <v>109</v>
      </c>
      <c r="E44" s="300">
        <v>580628</v>
      </c>
      <c r="F44" s="300">
        <v>603708</v>
      </c>
      <c r="G44" s="301">
        <v>110</v>
      </c>
      <c r="H44" s="296" t="s">
        <v>125</v>
      </c>
      <c r="I44" s="302" t="s">
        <v>201</v>
      </c>
      <c r="J44" s="297" t="s">
        <v>199</v>
      </c>
    </row>
    <row r="45" spans="1:24" ht="17.25" customHeight="1" x14ac:dyDescent="0.2">
      <c r="A45" s="316">
        <v>42</v>
      </c>
      <c r="B45" s="298">
        <v>45571</v>
      </c>
      <c r="C45" s="299">
        <v>0.78611111111111109</v>
      </c>
      <c r="D45" s="295" t="s">
        <v>107</v>
      </c>
      <c r="E45" s="300">
        <v>684375</v>
      </c>
      <c r="F45" s="300">
        <v>704209</v>
      </c>
      <c r="G45" s="301">
        <v>525</v>
      </c>
      <c r="H45" s="296" t="s">
        <v>125</v>
      </c>
      <c r="I45" s="302" t="s">
        <v>202</v>
      </c>
      <c r="J45" s="297" t="s">
        <v>199</v>
      </c>
    </row>
    <row r="46" spans="1:24" ht="17.25" customHeight="1" x14ac:dyDescent="0.2">
      <c r="A46" s="316">
        <v>43</v>
      </c>
      <c r="B46" s="298">
        <v>45571</v>
      </c>
      <c r="C46" s="299">
        <v>0.87222222222222223</v>
      </c>
      <c r="D46" s="295" t="s">
        <v>107</v>
      </c>
      <c r="E46" s="300">
        <v>686563</v>
      </c>
      <c r="F46" s="300">
        <v>302700</v>
      </c>
      <c r="G46" s="301">
        <v>4600</v>
      </c>
      <c r="H46" s="296" t="s">
        <v>124</v>
      </c>
      <c r="I46" s="302" t="s">
        <v>203</v>
      </c>
      <c r="J46" s="297" t="s">
        <v>136</v>
      </c>
    </row>
    <row r="47" spans="1:24" ht="17.25" customHeight="1" x14ac:dyDescent="0.2">
      <c r="A47" s="316">
        <v>44</v>
      </c>
      <c r="B47" s="298">
        <v>45571</v>
      </c>
      <c r="C47" s="299">
        <v>0.87638888888888899</v>
      </c>
      <c r="D47" s="295" t="s">
        <v>107</v>
      </c>
      <c r="E47" s="300">
        <v>686568</v>
      </c>
      <c r="F47" s="300">
        <v>4902</v>
      </c>
      <c r="G47" s="301">
        <v>60</v>
      </c>
      <c r="H47" s="296" t="s">
        <v>125</v>
      </c>
      <c r="I47" s="302" t="s">
        <v>205</v>
      </c>
      <c r="J47" s="297" t="s">
        <v>136</v>
      </c>
    </row>
    <row r="48" spans="1:24" ht="17.25" customHeight="1" x14ac:dyDescent="0.2">
      <c r="A48" s="316">
        <v>45</v>
      </c>
      <c r="B48" s="298">
        <v>45571</v>
      </c>
      <c r="C48" s="299">
        <v>0.91388888888888886</v>
      </c>
      <c r="D48" s="295" t="s">
        <v>107</v>
      </c>
      <c r="E48" s="300">
        <v>686594</v>
      </c>
      <c r="F48" s="300">
        <v>606109</v>
      </c>
      <c r="G48" s="301">
        <v>60</v>
      </c>
      <c r="H48" s="296" t="s">
        <v>125</v>
      </c>
      <c r="I48" s="302" t="s">
        <v>204</v>
      </c>
      <c r="J48" s="297" t="s">
        <v>136</v>
      </c>
    </row>
    <row r="49" spans="1:10" ht="17.25" customHeight="1" x14ac:dyDescent="0.2">
      <c r="A49" s="316">
        <v>46</v>
      </c>
      <c r="B49" s="298">
        <v>45571</v>
      </c>
      <c r="C49" s="299">
        <v>0.96944444444444444</v>
      </c>
      <c r="D49" s="295" t="s">
        <v>123</v>
      </c>
      <c r="E49" s="300">
        <v>681673</v>
      </c>
      <c r="F49" s="300">
        <v>808606</v>
      </c>
      <c r="G49" s="301">
        <v>70</v>
      </c>
      <c r="H49" s="296" t="s">
        <v>125</v>
      </c>
      <c r="I49" s="302" t="s">
        <v>206</v>
      </c>
      <c r="J49" s="297" t="s">
        <v>136</v>
      </c>
    </row>
    <row r="50" spans="1:10" ht="17.25" customHeight="1" x14ac:dyDescent="0.2">
      <c r="A50" s="316">
        <v>47</v>
      </c>
      <c r="B50" s="298">
        <v>45571</v>
      </c>
      <c r="C50" s="299">
        <v>0.97430555555555554</v>
      </c>
      <c r="D50" s="295" t="s">
        <v>107</v>
      </c>
      <c r="E50" s="300">
        <v>686647</v>
      </c>
      <c r="F50" s="300">
        <v>900109</v>
      </c>
      <c r="G50" s="301">
        <v>940</v>
      </c>
      <c r="H50" s="296" t="s">
        <v>125</v>
      </c>
      <c r="I50" s="302" t="s">
        <v>207</v>
      </c>
      <c r="J50" s="297" t="s">
        <v>136</v>
      </c>
    </row>
    <row r="51" spans="1:10" ht="17.25" customHeight="1" x14ac:dyDescent="0.2">
      <c r="A51" s="316">
        <v>48</v>
      </c>
      <c r="B51" s="298">
        <v>45572</v>
      </c>
      <c r="C51" s="299">
        <v>0.3527777777777778</v>
      </c>
      <c r="D51" s="295" t="s">
        <v>101</v>
      </c>
      <c r="E51" s="300">
        <v>683178</v>
      </c>
      <c r="F51" s="300">
        <v>716000</v>
      </c>
      <c r="G51" s="301">
        <v>25</v>
      </c>
      <c r="H51" s="296" t="s">
        <v>124</v>
      </c>
      <c r="I51" s="302" t="s">
        <v>209</v>
      </c>
      <c r="J51" s="297" t="s">
        <v>135</v>
      </c>
    </row>
    <row r="52" spans="1:10" ht="17.25" customHeight="1" x14ac:dyDescent="0.2">
      <c r="A52" s="316">
        <v>49</v>
      </c>
      <c r="B52" s="298">
        <v>45572</v>
      </c>
      <c r="C52" s="299">
        <v>0.54166666666666663</v>
      </c>
      <c r="D52" s="295" t="s">
        <v>107</v>
      </c>
      <c r="E52" s="300" t="s">
        <v>49</v>
      </c>
      <c r="F52" s="300">
        <v>204209</v>
      </c>
      <c r="G52" s="301">
        <v>60</v>
      </c>
      <c r="H52" s="296" t="s">
        <v>125</v>
      </c>
      <c r="I52" s="302" t="s">
        <v>210</v>
      </c>
      <c r="J52" s="297" t="s">
        <v>135</v>
      </c>
    </row>
    <row r="53" spans="1:10" ht="17.25" customHeight="1" x14ac:dyDescent="0.2">
      <c r="A53" s="316">
        <v>50</v>
      </c>
      <c r="B53" s="298">
        <v>45572</v>
      </c>
      <c r="C53" s="299">
        <v>0.43958333333333338</v>
      </c>
      <c r="D53" s="295" t="s">
        <v>109</v>
      </c>
      <c r="E53" s="300">
        <v>580566</v>
      </c>
      <c r="F53" s="300">
        <v>209708</v>
      </c>
      <c r="G53" s="301">
        <v>70</v>
      </c>
      <c r="H53" s="296" t="s">
        <v>125</v>
      </c>
      <c r="I53" s="302" t="s">
        <v>211</v>
      </c>
      <c r="J53" s="297" t="s">
        <v>135</v>
      </c>
    </row>
    <row r="54" spans="1:10" ht="17.25" customHeight="1" x14ac:dyDescent="0.2">
      <c r="A54" s="316">
        <v>51</v>
      </c>
      <c r="B54" s="298">
        <v>45572</v>
      </c>
      <c r="C54" s="299">
        <v>0.64652777777777781</v>
      </c>
      <c r="D54" s="295" t="s">
        <v>107</v>
      </c>
      <c r="E54" s="300" t="s">
        <v>49</v>
      </c>
      <c r="F54" s="300">
        <v>904109</v>
      </c>
      <c r="G54" s="301">
        <v>725</v>
      </c>
      <c r="H54" s="296" t="s">
        <v>125</v>
      </c>
      <c r="I54" s="302" t="s">
        <v>212</v>
      </c>
      <c r="J54" s="297" t="s">
        <v>135</v>
      </c>
    </row>
    <row r="55" spans="1:10" ht="17.25" customHeight="1" x14ac:dyDescent="0.2">
      <c r="A55" s="316">
        <v>52</v>
      </c>
      <c r="B55" s="298">
        <v>45572</v>
      </c>
      <c r="C55" s="299">
        <v>0.66736111111111107</v>
      </c>
      <c r="D55" s="295" t="s">
        <v>107</v>
      </c>
      <c r="E55" s="300" t="s">
        <v>49</v>
      </c>
      <c r="F55" s="300">
        <v>205209</v>
      </c>
      <c r="G55" s="301">
        <v>125</v>
      </c>
      <c r="H55" s="296" t="s">
        <v>125</v>
      </c>
      <c r="I55" s="302" t="s">
        <v>213</v>
      </c>
      <c r="J55" s="297" t="s">
        <v>135</v>
      </c>
    </row>
    <row r="56" spans="1:10" ht="17.25" customHeight="1" x14ac:dyDescent="0.2">
      <c r="A56" s="316">
        <v>53</v>
      </c>
      <c r="B56" s="298">
        <v>45572</v>
      </c>
      <c r="C56" s="299">
        <v>0.85902777777777783</v>
      </c>
      <c r="D56" s="295" t="s">
        <v>107</v>
      </c>
      <c r="E56" s="300">
        <v>981</v>
      </c>
      <c r="F56" s="300">
        <v>702700</v>
      </c>
      <c r="G56" s="301">
        <v>600</v>
      </c>
      <c r="H56" s="296" t="s">
        <v>124</v>
      </c>
      <c r="I56" s="302" t="s">
        <v>214</v>
      </c>
      <c r="J56" s="297" t="s">
        <v>199</v>
      </c>
    </row>
    <row r="57" spans="1:10" ht="17.25" customHeight="1" x14ac:dyDescent="0.2">
      <c r="A57" s="316">
        <v>54</v>
      </c>
      <c r="B57" s="298">
        <v>45572</v>
      </c>
      <c r="C57" s="299">
        <v>0.96875</v>
      </c>
      <c r="D57" s="295" t="s">
        <v>107</v>
      </c>
      <c r="E57" s="300">
        <v>1056</v>
      </c>
      <c r="F57" s="300">
        <v>209209</v>
      </c>
      <c r="G57" s="301">
        <v>85</v>
      </c>
      <c r="H57" s="296" t="s">
        <v>125</v>
      </c>
      <c r="I57" s="302" t="s">
        <v>215</v>
      </c>
      <c r="J57" s="297" t="s">
        <v>199</v>
      </c>
    </row>
    <row r="58" spans="1:10" ht="17.25" customHeight="1" x14ac:dyDescent="0.2">
      <c r="A58" s="316">
        <v>55</v>
      </c>
      <c r="B58" s="298">
        <v>45573</v>
      </c>
      <c r="C58" s="299">
        <v>8.3333333333333329E-2</v>
      </c>
      <c r="D58" s="295" t="s">
        <v>123</v>
      </c>
      <c r="E58" s="300">
        <v>681849</v>
      </c>
      <c r="F58" s="300">
        <v>717100</v>
      </c>
      <c r="G58" s="301">
        <v>110</v>
      </c>
      <c r="H58" s="296" t="s">
        <v>126</v>
      </c>
      <c r="I58" s="302" t="s">
        <v>217</v>
      </c>
      <c r="J58" s="297" t="s">
        <v>199</v>
      </c>
    </row>
    <row r="59" spans="1:10" ht="17.25" customHeight="1" x14ac:dyDescent="0.2">
      <c r="A59" s="316">
        <v>56</v>
      </c>
      <c r="B59" s="298">
        <v>45573</v>
      </c>
      <c r="C59" s="299">
        <v>0.62638888888888888</v>
      </c>
      <c r="D59" s="295" t="s">
        <v>107</v>
      </c>
      <c r="E59" s="300" t="s">
        <v>49</v>
      </c>
      <c r="F59" s="300">
        <v>9260</v>
      </c>
      <c r="G59" s="301">
        <v>85</v>
      </c>
      <c r="H59" s="296" t="s">
        <v>125</v>
      </c>
      <c r="I59" s="302" t="s">
        <v>218</v>
      </c>
      <c r="J59" s="297" t="s">
        <v>144</v>
      </c>
    </row>
    <row r="60" spans="1:10" ht="17.25" customHeight="1" x14ac:dyDescent="0.2">
      <c r="A60" s="316">
        <v>57</v>
      </c>
      <c r="B60" s="298">
        <v>45573</v>
      </c>
      <c r="C60" s="299">
        <v>0.7583333333333333</v>
      </c>
      <c r="D60" s="295" t="s">
        <v>107</v>
      </c>
      <c r="E60" s="300" t="s">
        <v>49</v>
      </c>
      <c r="F60" s="300">
        <v>9262</v>
      </c>
      <c r="G60" s="301">
        <v>85</v>
      </c>
      <c r="H60" s="296" t="s">
        <v>125</v>
      </c>
      <c r="I60" s="302" t="s">
        <v>219</v>
      </c>
      <c r="J60" s="297" t="s">
        <v>144</v>
      </c>
    </row>
    <row r="61" spans="1:10" ht="17.25" customHeight="1" x14ac:dyDescent="0.2">
      <c r="A61" s="316">
        <v>58</v>
      </c>
      <c r="B61" s="298">
        <v>45573</v>
      </c>
      <c r="C61" s="299">
        <v>0.79791666666666661</v>
      </c>
      <c r="D61" s="295" t="s">
        <v>109</v>
      </c>
      <c r="E61" s="300">
        <v>580578</v>
      </c>
      <c r="F61" s="300">
        <v>708708</v>
      </c>
      <c r="G61" s="301">
        <v>70</v>
      </c>
      <c r="H61" s="296" t="s">
        <v>125</v>
      </c>
      <c r="I61" s="302" t="s">
        <v>220</v>
      </c>
      <c r="J61" s="297" t="s">
        <v>144</v>
      </c>
    </row>
    <row r="62" spans="1:10" ht="17.25" customHeight="1" x14ac:dyDescent="0.2">
      <c r="A62" s="316">
        <v>59</v>
      </c>
      <c r="B62" s="298">
        <v>45573</v>
      </c>
      <c r="C62" s="299">
        <v>0.87222222222222223</v>
      </c>
      <c r="D62" s="295" t="s">
        <v>107</v>
      </c>
      <c r="E62" s="300">
        <v>690951</v>
      </c>
      <c r="F62" s="300">
        <v>602209</v>
      </c>
      <c r="G62" s="301">
        <v>60</v>
      </c>
      <c r="H62" s="296" t="s">
        <v>125</v>
      </c>
      <c r="I62" s="302" t="s">
        <v>221</v>
      </c>
      <c r="J62" s="297" t="s">
        <v>135</v>
      </c>
    </row>
    <row r="63" spans="1:10" ht="17.25" customHeight="1" x14ac:dyDescent="0.2">
      <c r="A63" s="316">
        <v>60</v>
      </c>
      <c r="B63" s="298">
        <v>45574</v>
      </c>
      <c r="C63" s="299">
        <v>9.375E-2</v>
      </c>
      <c r="D63" s="295" t="s">
        <v>107</v>
      </c>
      <c r="E63" s="300">
        <v>696578</v>
      </c>
      <c r="F63" s="300">
        <v>701700</v>
      </c>
      <c r="G63" s="301">
        <v>6400</v>
      </c>
      <c r="H63" s="296" t="s">
        <v>124</v>
      </c>
      <c r="I63" s="302" t="s">
        <v>222</v>
      </c>
      <c r="J63" s="297" t="s">
        <v>135</v>
      </c>
    </row>
    <row r="64" spans="1:10" ht="17.25" customHeight="1" x14ac:dyDescent="0.2">
      <c r="A64" s="316">
        <v>61</v>
      </c>
      <c r="B64" s="298">
        <v>45574</v>
      </c>
      <c r="C64" s="299">
        <v>9.375E-2</v>
      </c>
      <c r="D64" s="295" t="s">
        <v>107</v>
      </c>
      <c r="E64" s="300">
        <v>696577</v>
      </c>
      <c r="F64" s="300">
        <v>609700</v>
      </c>
      <c r="G64" s="301">
        <v>6400</v>
      </c>
      <c r="H64" s="296" t="s">
        <v>124</v>
      </c>
      <c r="I64" s="302" t="s">
        <v>222</v>
      </c>
      <c r="J64" s="297" t="s">
        <v>135</v>
      </c>
    </row>
    <row r="65" spans="1:10" ht="17.25" customHeight="1" x14ac:dyDescent="0.2">
      <c r="A65" s="316">
        <v>62</v>
      </c>
      <c r="B65" s="298">
        <v>45574</v>
      </c>
      <c r="C65" s="299">
        <v>0.18472222222222223</v>
      </c>
      <c r="D65" s="295" t="s">
        <v>109</v>
      </c>
      <c r="E65" s="300">
        <v>580704</v>
      </c>
      <c r="F65" s="300">
        <v>700708</v>
      </c>
      <c r="G65" s="301">
        <v>70</v>
      </c>
      <c r="H65" s="296" t="s">
        <v>125</v>
      </c>
      <c r="I65" s="302" t="s">
        <v>223</v>
      </c>
      <c r="J65" s="297" t="s">
        <v>135</v>
      </c>
    </row>
    <row r="66" spans="1:10" ht="17.25" customHeight="1" x14ac:dyDescent="0.2">
      <c r="A66" s="316">
        <v>63</v>
      </c>
      <c r="B66" s="298">
        <v>45574</v>
      </c>
      <c r="C66" s="299">
        <v>0.82777777777777783</v>
      </c>
      <c r="D66" s="295" t="s">
        <v>109</v>
      </c>
      <c r="E66" s="300">
        <v>580744</v>
      </c>
      <c r="F66" s="300">
        <v>701708</v>
      </c>
      <c r="G66" s="301">
        <v>110</v>
      </c>
      <c r="H66" s="296" t="s">
        <v>125</v>
      </c>
      <c r="I66" s="302" t="s">
        <v>224</v>
      </c>
      <c r="J66" s="297" t="s">
        <v>141</v>
      </c>
    </row>
    <row r="67" spans="1:10" ht="17.25" customHeight="1" x14ac:dyDescent="0.2">
      <c r="A67" s="316">
        <v>64</v>
      </c>
      <c r="B67" s="298">
        <v>45574</v>
      </c>
      <c r="C67" s="299">
        <v>0.84513888888888899</v>
      </c>
      <c r="D67" s="295" t="s">
        <v>107</v>
      </c>
      <c r="E67" s="300">
        <v>685043</v>
      </c>
      <c r="F67" s="300">
        <v>704700</v>
      </c>
      <c r="G67" s="301">
        <v>1285</v>
      </c>
      <c r="H67" s="296" t="s">
        <v>124</v>
      </c>
      <c r="I67" s="302" t="s">
        <v>225</v>
      </c>
      <c r="J67" s="297" t="s">
        <v>144</v>
      </c>
    </row>
    <row r="68" spans="1:10" ht="17.25" customHeight="1" x14ac:dyDescent="0.2">
      <c r="A68" s="316">
        <v>65</v>
      </c>
      <c r="B68" s="298">
        <v>45574</v>
      </c>
      <c r="C68" s="299">
        <v>0.98888888888888893</v>
      </c>
      <c r="D68" s="295" t="s">
        <v>107</v>
      </c>
      <c r="E68" s="300">
        <v>695120</v>
      </c>
      <c r="F68" s="300">
        <v>707209</v>
      </c>
      <c r="G68" s="301">
        <v>860</v>
      </c>
      <c r="H68" s="296" t="s">
        <v>125</v>
      </c>
      <c r="I68" s="302" t="s">
        <v>226</v>
      </c>
      <c r="J68" s="297" t="s">
        <v>144</v>
      </c>
    </row>
    <row r="69" spans="1:10" ht="17.25" customHeight="1" x14ac:dyDescent="0.2">
      <c r="A69" s="316">
        <v>66</v>
      </c>
      <c r="B69" s="298">
        <v>45575</v>
      </c>
      <c r="C69" s="299">
        <v>4.6527777777777779E-2</v>
      </c>
      <c r="D69" s="295" t="s">
        <v>107</v>
      </c>
      <c r="E69" s="300">
        <v>686175</v>
      </c>
      <c r="F69" s="300">
        <v>703209</v>
      </c>
      <c r="G69" s="301">
        <v>60</v>
      </c>
      <c r="H69" s="296" t="s">
        <v>125</v>
      </c>
      <c r="I69" s="302" t="s">
        <v>228</v>
      </c>
      <c r="J69" s="297" t="s">
        <v>144</v>
      </c>
    </row>
    <row r="70" spans="1:10" ht="17.25" customHeight="1" x14ac:dyDescent="0.2">
      <c r="A70" s="316">
        <v>67</v>
      </c>
      <c r="B70" s="298">
        <v>45575</v>
      </c>
      <c r="C70" s="299">
        <v>5.9027777777777783E-2</v>
      </c>
      <c r="D70" s="295" t="s">
        <v>107</v>
      </c>
      <c r="E70" s="300">
        <v>686181</v>
      </c>
      <c r="F70" s="300">
        <v>605109</v>
      </c>
      <c r="G70" s="301">
        <v>60</v>
      </c>
      <c r="H70" s="296" t="s">
        <v>125</v>
      </c>
      <c r="I70" s="302" t="s">
        <v>229</v>
      </c>
      <c r="J70" s="297" t="s">
        <v>144</v>
      </c>
    </row>
    <row r="71" spans="1:10" ht="17.25" customHeight="1" x14ac:dyDescent="0.2">
      <c r="A71" s="316">
        <v>68</v>
      </c>
      <c r="B71" s="298">
        <v>45575</v>
      </c>
      <c r="C71" s="299">
        <v>0.25625000000000003</v>
      </c>
      <c r="D71" s="295" t="s">
        <v>107</v>
      </c>
      <c r="E71" s="300">
        <v>685774</v>
      </c>
      <c r="F71" s="300">
        <v>608700</v>
      </c>
      <c r="G71" s="301">
        <v>540</v>
      </c>
      <c r="H71" s="296" t="s">
        <v>126</v>
      </c>
      <c r="I71" s="302" t="s">
        <v>230</v>
      </c>
      <c r="J71" s="297" t="s">
        <v>144</v>
      </c>
    </row>
    <row r="72" spans="1:10" ht="17.25" customHeight="1" x14ac:dyDescent="0.2">
      <c r="A72" s="316">
        <v>69</v>
      </c>
      <c r="B72" s="298">
        <v>45575</v>
      </c>
      <c r="C72" s="299">
        <v>0.4680555555555555</v>
      </c>
      <c r="D72" s="295" t="s">
        <v>107</v>
      </c>
      <c r="E72" s="300">
        <v>695414</v>
      </c>
      <c r="F72" s="300">
        <v>900209</v>
      </c>
      <c r="G72" s="301">
        <v>0</v>
      </c>
      <c r="H72" s="296" t="s">
        <v>125</v>
      </c>
      <c r="I72" s="302" t="s">
        <v>232</v>
      </c>
      <c r="J72" s="297" t="s">
        <v>133</v>
      </c>
    </row>
    <row r="73" spans="1:10" ht="17.25" customHeight="1" x14ac:dyDescent="0.2">
      <c r="A73" s="316">
        <v>70</v>
      </c>
      <c r="B73" s="298">
        <v>45575</v>
      </c>
      <c r="C73" s="299">
        <v>0.48819444444444443</v>
      </c>
      <c r="D73" s="295" t="s">
        <v>107</v>
      </c>
      <c r="E73" s="300">
        <v>695432</v>
      </c>
      <c r="F73" s="300">
        <v>808209</v>
      </c>
      <c r="G73" s="301">
        <v>125</v>
      </c>
      <c r="H73" s="296" t="s">
        <v>125</v>
      </c>
      <c r="I73" s="302" t="s">
        <v>231</v>
      </c>
      <c r="J73" s="297" t="s">
        <v>133</v>
      </c>
    </row>
    <row r="74" spans="1:10" ht="17.25" customHeight="1" x14ac:dyDescent="0.2">
      <c r="A74" s="316">
        <v>71</v>
      </c>
      <c r="B74" s="298">
        <v>45575</v>
      </c>
      <c r="C74" s="299">
        <v>0.63194444444444442</v>
      </c>
      <c r="D74" s="295" t="s">
        <v>123</v>
      </c>
      <c r="E74" s="300">
        <v>686168</v>
      </c>
      <c r="F74" s="300">
        <v>712100</v>
      </c>
      <c r="G74" s="301">
        <v>100</v>
      </c>
      <c r="H74" s="296" t="s">
        <v>126</v>
      </c>
      <c r="I74" s="302" t="s">
        <v>233</v>
      </c>
      <c r="J74" s="297" t="s">
        <v>133</v>
      </c>
    </row>
    <row r="75" spans="1:10" ht="17.25" customHeight="1" x14ac:dyDescent="0.2">
      <c r="A75" s="316">
        <v>72</v>
      </c>
      <c r="B75" s="298">
        <v>45575</v>
      </c>
      <c r="C75" s="299">
        <v>0.74444444444444446</v>
      </c>
      <c r="D75" s="295" t="s">
        <v>107</v>
      </c>
      <c r="E75" s="300">
        <v>697080</v>
      </c>
      <c r="F75" s="300">
        <v>800109</v>
      </c>
      <c r="G75" s="301">
        <v>85</v>
      </c>
      <c r="H75" s="296" t="s">
        <v>125</v>
      </c>
      <c r="I75" s="302" t="s">
        <v>234</v>
      </c>
      <c r="J75" s="297" t="s">
        <v>133</v>
      </c>
    </row>
    <row r="76" spans="1:10" ht="17.25" customHeight="1" x14ac:dyDescent="0.2">
      <c r="A76" s="316">
        <v>73</v>
      </c>
      <c r="B76" s="298">
        <v>45575</v>
      </c>
      <c r="C76" s="299">
        <v>0.9</v>
      </c>
      <c r="D76" s="295" t="s">
        <v>107</v>
      </c>
      <c r="E76" s="300">
        <v>697239</v>
      </c>
      <c r="F76" s="300">
        <v>901209</v>
      </c>
      <c r="G76" s="301">
        <v>0</v>
      </c>
      <c r="H76" s="296" t="s">
        <v>125</v>
      </c>
      <c r="I76" s="302" t="s">
        <v>235</v>
      </c>
      <c r="J76" s="297" t="s">
        <v>141</v>
      </c>
    </row>
    <row r="77" spans="1:10" ht="17.25" customHeight="1" x14ac:dyDescent="0.2">
      <c r="A77" s="316">
        <v>74</v>
      </c>
      <c r="B77" s="298">
        <v>45575</v>
      </c>
      <c r="C77" s="299">
        <v>0.99444444444444446</v>
      </c>
      <c r="D77" s="295" t="s">
        <v>107</v>
      </c>
      <c r="E77" s="300">
        <v>697316</v>
      </c>
      <c r="F77" s="300">
        <v>103109</v>
      </c>
      <c r="G77" s="301">
        <v>940</v>
      </c>
      <c r="H77" s="296" t="s">
        <v>125</v>
      </c>
      <c r="I77" s="302" t="s">
        <v>236</v>
      </c>
      <c r="J77" s="297" t="s">
        <v>141</v>
      </c>
    </row>
    <row r="78" spans="1:10" ht="17.25" customHeight="1" x14ac:dyDescent="0.2">
      <c r="A78" s="316">
        <v>75</v>
      </c>
      <c r="B78" s="298">
        <v>45576</v>
      </c>
      <c r="C78" s="299">
        <v>0.35555555555555557</v>
      </c>
      <c r="D78" s="295" t="s">
        <v>101</v>
      </c>
      <c r="E78" s="300">
        <v>883303</v>
      </c>
      <c r="F78" s="300">
        <v>613000</v>
      </c>
      <c r="G78" s="301">
        <v>20</v>
      </c>
      <c r="H78" s="296" t="s">
        <v>124</v>
      </c>
      <c r="I78" s="302" t="s">
        <v>177</v>
      </c>
      <c r="J78" s="297" t="s">
        <v>143</v>
      </c>
    </row>
    <row r="79" spans="1:10" ht="17.25" customHeight="1" x14ac:dyDescent="0.2">
      <c r="A79" s="316">
        <v>76</v>
      </c>
      <c r="B79" s="298">
        <v>45576</v>
      </c>
      <c r="C79" s="299">
        <v>0.50138888888888888</v>
      </c>
      <c r="D79" s="295" t="s">
        <v>107</v>
      </c>
      <c r="E79" s="300">
        <v>692591</v>
      </c>
      <c r="F79" s="300">
        <v>801209</v>
      </c>
      <c r="G79" s="301">
        <v>4340</v>
      </c>
      <c r="H79" s="296" t="s">
        <v>125</v>
      </c>
      <c r="I79" s="302" t="s">
        <v>237</v>
      </c>
      <c r="J79" s="297" t="s">
        <v>143</v>
      </c>
    </row>
    <row r="80" spans="1:10" ht="17.25" customHeight="1" x14ac:dyDescent="0.2">
      <c r="A80" s="316">
        <v>77</v>
      </c>
      <c r="B80" s="298">
        <v>45576</v>
      </c>
      <c r="C80" s="299">
        <v>0.51736111111111105</v>
      </c>
      <c r="D80" s="295" t="s">
        <v>107</v>
      </c>
      <c r="E80" s="300">
        <v>692602</v>
      </c>
      <c r="F80" s="300">
        <v>904700</v>
      </c>
      <c r="G80" s="301">
        <v>3700</v>
      </c>
      <c r="H80" s="296" t="s">
        <v>124</v>
      </c>
      <c r="I80" s="302" t="s">
        <v>238</v>
      </c>
      <c r="J80" s="297" t="s">
        <v>143</v>
      </c>
    </row>
    <row r="81" spans="1:10" ht="17.25" customHeight="1" x14ac:dyDescent="0.2">
      <c r="A81" s="316">
        <v>78</v>
      </c>
      <c r="B81" s="298">
        <v>45576</v>
      </c>
      <c r="C81" s="299">
        <v>0.5180555555555556</v>
      </c>
      <c r="D81" s="295" t="s">
        <v>107</v>
      </c>
      <c r="E81" s="300">
        <v>692603</v>
      </c>
      <c r="F81" s="300">
        <v>906700</v>
      </c>
      <c r="G81" s="301">
        <v>3700</v>
      </c>
      <c r="H81" s="296" t="s">
        <v>124</v>
      </c>
      <c r="I81" s="302" t="s">
        <v>238</v>
      </c>
      <c r="J81" s="297" t="s">
        <v>143</v>
      </c>
    </row>
    <row r="82" spans="1:10" ht="17.25" customHeight="1" x14ac:dyDescent="0.2">
      <c r="A82" s="316">
        <v>79</v>
      </c>
      <c r="B82" s="298">
        <v>45576</v>
      </c>
      <c r="C82" s="299">
        <v>0.6479166666666667</v>
      </c>
      <c r="D82" s="295" t="s">
        <v>107</v>
      </c>
      <c r="E82" s="300">
        <v>692663</v>
      </c>
      <c r="F82" s="300">
        <v>3109</v>
      </c>
      <c r="G82" s="301">
        <v>540</v>
      </c>
      <c r="H82" s="296" t="s">
        <v>125</v>
      </c>
      <c r="I82" s="302" t="s">
        <v>239</v>
      </c>
      <c r="J82" s="297" t="s">
        <v>143</v>
      </c>
    </row>
    <row r="83" spans="1:10" ht="17.25" customHeight="1" x14ac:dyDescent="0.2">
      <c r="A83" s="316">
        <v>80</v>
      </c>
      <c r="B83" s="298">
        <v>45576</v>
      </c>
      <c r="C83" s="299">
        <v>0.65416666666666667</v>
      </c>
      <c r="D83" s="295" t="s">
        <v>107</v>
      </c>
      <c r="E83" s="300">
        <v>692680</v>
      </c>
      <c r="F83" s="300">
        <v>601109</v>
      </c>
      <c r="G83" s="301">
        <v>885</v>
      </c>
      <c r="H83" s="296" t="s">
        <v>125</v>
      </c>
      <c r="I83" s="302" t="s">
        <v>240</v>
      </c>
      <c r="J83" s="297" t="s">
        <v>143</v>
      </c>
    </row>
    <row r="84" spans="1:10" ht="17.25" customHeight="1" x14ac:dyDescent="0.2">
      <c r="A84" s="316">
        <v>81</v>
      </c>
      <c r="B84" s="298">
        <v>45576</v>
      </c>
      <c r="C84" s="299">
        <v>0.71597222222222223</v>
      </c>
      <c r="D84" s="295" t="s">
        <v>107</v>
      </c>
      <c r="E84" s="300">
        <v>692716</v>
      </c>
      <c r="F84" s="300">
        <v>607700</v>
      </c>
      <c r="G84" s="301">
        <v>800</v>
      </c>
      <c r="H84" s="296" t="s">
        <v>126</v>
      </c>
      <c r="I84" s="302" t="s">
        <v>241</v>
      </c>
      <c r="J84" s="297" t="s">
        <v>143</v>
      </c>
    </row>
    <row r="85" spans="1:10" ht="17.25" customHeight="1" x14ac:dyDescent="0.2">
      <c r="A85" s="316">
        <v>82</v>
      </c>
      <c r="B85" s="298">
        <v>45576</v>
      </c>
      <c r="C85" s="299">
        <v>0.84166666666666667</v>
      </c>
      <c r="D85" s="295" t="s">
        <v>107</v>
      </c>
      <c r="E85" s="300">
        <v>692818</v>
      </c>
      <c r="F85" s="300">
        <v>901109</v>
      </c>
      <c r="G85" s="301">
        <v>740</v>
      </c>
      <c r="H85" s="296" t="s">
        <v>125</v>
      </c>
      <c r="I85" s="302" t="s">
        <v>242</v>
      </c>
      <c r="J85" s="297" t="s">
        <v>133</v>
      </c>
    </row>
    <row r="86" spans="1:10" ht="17.25" customHeight="1" x14ac:dyDescent="0.2">
      <c r="A86" s="316">
        <v>83</v>
      </c>
      <c r="B86" s="298">
        <v>45576</v>
      </c>
      <c r="C86" s="299">
        <v>0.86875000000000002</v>
      </c>
      <c r="D86" s="295" t="s">
        <v>107</v>
      </c>
      <c r="E86" s="300">
        <v>692847</v>
      </c>
      <c r="F86" s="300">
        <v>109109</v>
      </c>
      <c r="G86" s="301">
        <v>1000</v>
      </c>
      <c r="H86" s="296" t="s">
        <v>125</v>
      </c>
      <c r="I86" s="302" t="s">
        <v>243</v>
      </c>
      <c r="J86" s="297" t="s">
        <v>133</v>
      </c>
    </row>
    <row r="87" spans="1:10" ht="17.25" customHeight="1" x14ac:dyDescent="0.2">
      <c r="A87" s="316">
        <v>84</v>
      </c>
      <c r="B87" s="298">
        <v>45576</v>
      </c>
      <c r="C87" s="299">
        <v>0.85555555555555562</v>
      </c>
      <c r="D87" s="295" t="s">
        <v>107</v>
      </c>
      <c r="E87" s="300">
        <v>692830</v>
      </c>
      <c r="F87" s="300">
        <v>5109</v>
      </c>
      <c r="G87" s="301">
        <v>940</v>
      </c>
      <c r="H87" s="296" t="s">
        <v>125</v>
      </c>
      <c r="I87" s="302" t="s">
        <v>244</v>
      </c>
      <c r="J87" s="297" t="s">
        <v>133</v>
      </c>
    </row>
    <row r="88" spans="1:10" ht="17.25" customHeight="1" x14ac:dyDescent="0.2">
      <c r="A88" s="316">
        <v>85</v>
      </c>
      <c r="B88" s="298">
        <v>45576</v>
      </c>
      <c r="C88" s="299">
        <v>0.84861111111111109</v>
      </c>
      <c r="D88" s="295" t="s">
        <v>107</v>
      </c>
      <c r="E88" s="300">
        <v>692820</v>
      </c>
      <c r="F88" s="300">
        <v>807700</v>
      </c>
      <c r="G88" s="301">
        <v>1000</v>
      </c>
      <c r="H88" s="296" t="s">
        <v>124</v>
      </c>
      <c r="I88" s="302" t="s">
        <v>245</v>
      </c>
      <c r="J88" s="297" t="s">
        <v>133</v>
      </c>
    </row>
    <row r="89" spans="1:10" ht="17.25" customHeight="1" x14ac:dyDescent="0.2">
      <c r="A89" s="316">
        <v>86</v>
      </c>
      <c r="B89" s="298">
        <v>45577</v>
      </c>
      <c r="C89" s="299">
        <v>0.18194444444444444</v>
      </c>
      <c r="D89" s="295" t="s">
        <v>109</v>
      </c>
      <c r="E89" s="300">
        <v>680893</v>
      </c>
      <c r="F89" s="300">
        <v>818200</v>
      </c>
      <c r="G89" s="301">
        <v>70</v>
      </c>
      <c r="H89" s="296" t="s">
        <v>126</v>
      </c>
      <c r="I89" s="302" t="s">
        <v>247</v>
      </c>
      <c r="J89" s="297" t="s">
        <v>133</v>
      </c>
    </row>
    <row r="90" spans="1:10" ht="17.25" customHeight="1" x14ac:dyDescent="0.2">
      <c r="A90" s="316">
        <v>87</v>
      </c>
      <c r="B90" s="298">
        <v>45577</v>
      </c>
      <c r="C90" s="299">
        <v>0.39166666666666666</v>
      </c>
      <c r="D90" s="295" t="s">
        <v>109</v>
      </c>
      <c r="E90" s="300">
        <v>680902</v>
      </c>
      <c r="F90" s="300">
        <v>807708</v>
      </c>
      <c r="G90" s="301">
        <v>135</v>
      </c>
      <c r="H90" s="296" t="s">
        <v>125</v>
      </c>
      <c r="I90" s="302" t="s">
        <v>248</v>
      </c>
      <c r="J90" s="297" t="s">
        <v>106</v>
      </c>
    </row>
    <row r="91" spans="1:10" ht="17.25" customHeight="1" x14ac:dyDescent="0.2">
      <c r="A91" s="316">
        <v>88</v>
      </c>
      <c r="B91" s="298">
        <v>45577</v>
      </c>
      <c r="C91" s="299">
        <v>0.52638888888888891</v>
      </c>
      <c r="D91" s="295" t="s">
        <v>109</v>
      </c>
      <c r="E91" s="300">
        <v>680917</v>
      </c>
      <c r="F91" s="300">
        <v>706708</v>
      </c>
      <c r="G91" s="301">
        <v>110</v>
      </c>
      <c r="H91" s="296" t="s">
        <v>125</v>
      </c>
      <c r="I91" s="302" t="s">
        <v>249</v>
      </c>
      <c r="J91" s="297" t="s">
        <v>106</v>
      </c>
    </row>
    <row r="92" spans="1:10" ht="17.25" customHeight="1" x14ac:dyDescent="0.2">
      <c r="A92" s="316">
        <v>89</v>
      </c>
      <c r="B92" s="298">
        <v>45578</v>
      </c>
      <c r="C92" s="299">
        <v>4.8611111111111112E-3</v>
      </c>
      <c r="D92" s="295" t="s">
        <v>107</v>
      </c>
      <c r="E92" s="300">
        <v>696660</v>
      </c>
      <c r="F92" s="300">
        <v>104209</v>
      </c>
      <c r="G92" s="301">
        <v>600</v>
      </c>
      <c r="H92" s="296" t="s">
        <v>125</v>
      </c>
      <c r="I92" s="302" t="s">
        <v>250</v>
      </c>
      <c r="J92" s="297" t="s">
        <v>143</v>
      </c>
    </row>
    <row r="93" spans="1:10" ht="17.25" customHeight="1" x14ac:dyDescent="0.2">
      <c r="A93" s="316">
        <v>90</v>
      </c>
      <c r="B93" s="298">
        <v>45578</v>
      </c>
      <c r="C93" s="299">
        <v>0.1125</v>
      </c>
      <c r="D93" s="295" t="s">
        <v>107</v>
      </c>
      <c r="E93" s="300">
        <v>698715</v>
      </c>
      <c r="F93" s="300">
        <v>707700</v>
      </c>
      <c r="G93" s="301">
        <v>3285</v>
      </c>
      <c r="H93" s="296" t="s">
        <v>124</v>
      </c>
      <c r="I93" s="302" t="s">
        <v>251</v>
      </c>
      <c r="J93" s="297" t="s">
        <v>143</v>
      </c>
    </row>
    <row r="94" spans="1:10" ht="17.25" customHeight="1" x14ac:dyDescent="0.2">
      <c r="A94" s="316">
        <v>91</v>
      </c>
      <c r="B94" s="298">
        <v>45578</v>
      </c>
      <c r="C94" s="299">
        <v>0.37361111111111112</v>
      </c>
      <c r="D94" s="295" t="s">
        <v>109</v>
      </c>
      <c r="E94" s="300">
        <v>580975</v>
      </c>
      <c r="F94" s="300">
        <v>706708</v>
      </c>
      <c r="G94" s="301">
        <v>135</v>
      </c>
      <c r="H94" s="296" t="s">
        <v>125</v>
      </c>
      <c r="I94" s="302" t="s">
        <v>252</v>
      </c>
      <c r="J94" s="297" t="s">
        <v>136</v>
      </c>
    </row>
    <row r="95" spans="1:10" ht="17.25" customHeight="1" x14ac:dyDescent="0.2">
      <c r="A95" s="316">
        <v>92</v>
      </c>
      <c r="B95" s="298">
        <v>45578</v>
      </c>
      <c r="C95" s="299">
        <v>0.3979166666666667</v>
      </c>
      <c r="D95" s="295" t="s">
        <v>101</v>
      </c>
      <c r="E95" s="300">
        <v>683380</v>
      </c>
      <c r="F95" s="300">
        <v>718000</v>
      </c>
      <c r="G95" s="301">
        <v>5</v>
      </c>
      <c r="H95" s="296" t="s">
        <v>124</v>
      </c>
      <c r="I95" s="302" t="s">
        <v>177</v>
      </c>
      <c r="J95" s="297" t="s">
        <v>136</v>
      </c>
    </row>
    <row r="96" spans="1:10" ht="17.25" customHeight="1" x14ac:dyDescent="0.2">
      <c r="A96" s="316">
        <v>93</v>
      </c>
      <c r="B96" s="298">
        <v>45578</v>
      </c>
      <c r="C96" s="299">
        <v>0.3979166666666667</v>
      </c>
      <c r="D96" s="295" t="s">
        <v>107</v>
      </c>
      <c r="E96" s="300">
        <v>698829</v>
      </c>
      <c r="F96" s="300">
        <v>5209</v>
      </c>
      <c r="G96" s="301">
        <v>0</v>
      </c>
      <c r="H96" s="296" t="s">
        <v>125</v>
      </c>
      <c r="I96" s="302" t="s">
        <v>253</v>
      </c>
      <c r="J96" s="297" t="s">
        <v>136</v>
      </c>
    </row>
    <row r="97" spans="1:10" ht="17.25" customHeight="1" x14ac:dyDescent="0.2">
      <c r="A97" s="316">
        <v>94</v>
      </c>
      <c r="B97" s="298">
        <v>45578</v>
      </c>
      <c r="C97" s="299">
        <v>0.43194444444444446</v>
      </c>
      <c r="D97" s="295" t="s">
        <v>107</v>
      </c>
      <c r="E97" s="300">
        <v>698877</v>
      </c>
      <c r="F97" s="300">
        <v>605109</v>
      </c>
      <c r="G97" s="301">
        <v>1600</v>
      </c>
      <c r="H97" s="296" t="s">
        <v>125</v>
      </c>
      <c r="I97" s="302" t="s">
        <v>254</v>
      </c>
      <c r="J97" s="297" t="s">
        <v>136</v>
      </c>
    </row>
    <row r="98" spans="1:10" ht="17.25" customHeight="1" x14ac:dyDescent="0.2">
      <c r="A98" s="316">
        <v>95</v>
      </c>
      <c r="B98" s="298">
        <v>45578</v>
      </c>
      <c r="C98" s="299">
        <v>0.77222222222222225</v>
      </c>
      <c r="D98" s="295" t="s">
        <v>109</v>
      </c>
      <c r="E98" s="300">
        <v>680997</v>
      </c>
      <c r="F98" s="300">
        <v>805708</v>
      </c>
      <c r="G98" s="301">
        <v>245</v>
      </c>
      <c r="H98" s="296" t="s">
        <v>125</v>
      </c>
      <c r="I98" s="302" t="s">
        <v>255</v>
      </c>
      <c r="J98" s="297" t="s">
        <v>136</v>
      </c>
    </row>
    <row r="99" spans="1:10" ht="17.25" customHeight="1" x14ac:dyDescent="0.2">
      <c r="A99" s="316">
        <v>96</v>
      </c>
      <c r="B99" s="298">
        <v>45578</v>
      </c>
      <c r="C99" s="299">
        <v>0.82916666666666661</v>
      </c>
      <c r="D99" s="295" t="s">
        <v>109</v>
      </c>
      <c r="E99" s="300" t="s">
        <v>49</v>
      </c>
      <c r="F99" s="300">
        <v>71220</v>
      </c>
      <c r="G99" s="301">
        <v>0</v>
      </c>
      <c r="H99" s="296" t="s">
        <v>126</v>
      </c>
      <c r="I99" s="302" t="s">
        <v>256</v>
      </c>
      <c r="J99" s="297" t="s">
        <v>136</v>
      </c>
    </row>
    <row r="100" spans="1:10" ht="17.25" customHeight="1" x14ac:dyDescent="0.2">
      <c r="A100" s="316">
        <v>97</v>
      </c>
      <c r="B100" s="298">
        <v>45578</v>
      </c>
      <c r="C100" s="299">
        <v>0.83680555555555547</v>
      </c>
      <c r="D100" s="295" t="s">
        <v>107</v>
      </c>
      <c r="E100" s="300">
        <v>683808</v>
      </c>
      <c r="F100" s="300">
        <v>907209</v>
      </c>
      <c r="G100" s="301">
        <v>85</v>
      </c>
      <c r="H100" s="296" t="s">
        <v>125</v>
      </c>
      <c r="I100" s="302" t="s">
        <v>257</v>
      </c>
      <c r="J100" s="297" t="s">
        <v>143</v>
      </c>
    </row>
    <row r="101" spans="1:10" ht="17.25" customHeight="1" x14ac:dyDescent="0.2">
      <c r="A101" s="316">
        <v>98</v>
      </c>
      <c r="B101" s="298">
        <v>45578</v>
      </c>
      <c r="C101" s="299">
        <v>0.91111111111111109</v>
      </c>
      <c r="D101" s="295" t="s">
        <v>107</v>
      </c>
      <c r="E101" s="300">
        <v>683567</v>
      </c>
      <c r="F101" s="300">
        <v>807109</v>
      </c>
      <c r="G101" s="301">
        <v>85</v>
      </c>
      <c r="H101" s="296" t="s">
        <v>125</v>
      </c>
      <c r="I101" s="302" t="s">
        <v>258</v>
      </c>
      <c r="J101" s="297" t="s">
        <v>143</v>
      </c>
    </row>
    <row r="102" spans="1:10" ht="17.25" customHeight="1" x14ac:dyDescent="0.2">
      <c r="A102" s="316">
        <v>99</v>
      </c>
      <c r="B102" s="298">
        <v>45578</v>
      </c>
      <c r="C102" s="299">
        <v>0.96458333333333324</v>
      </c>
      <c r="D102" s="295" t="s">
        <v>109</v>
      </c>
      <c r="E102" s="300">
        <v>454510</v>
      </c>
      <c r="F102" s="300">
        <v>703708</v>
      </c>
      <c r="G102" s="301">
        <v>0</v>
      </c>
      <c r="H102" s="296" t="s">
        <v>125</v>
      </c>
      <c r="I102" s="302" t="s">
        <v>259</v>
      </c>
      <c r="J102" s="297" t="s">
        <v>143</v>
      </c>
    </row>
    <row r="103" spans="1:10" ht="17.25" customHeight="1" x14ac:dyDescent="0.2">
      <c r="A103" s="316">
        <v>100</v>
      </c>
      <c r="B103" s="298">
        <v>45579</v>
      </c>
      <c r="C103" s="299">
        <v>1.8055555555555557E-2</v>
      </c>
      <c r="D103" s="295" t="s">
        <v>107</v>
      </c>
      <c r="E103" s="300">
        <v>683971</v>
      </c>
      <c r="F103" s="300">
        <v>703109</v>
      </c>
      <c r="G103" s="301">
        <v>1340</v>
      </c>
      <c r="H103" s="296" t="s">
        <v>125</v>
      </c>
      <c r="I103" s="302" t="s">
        <v>261</v>
      </c>
      <c r="J103" s="297" t="s">
        <v>143</v>
      </c>
    </row>
    <row r="104" spans="1:10" ht="17.25" customHeight="1" x14ac:dyDescent="0.2">
      <c r="A104" s="316">
        <v>101</v>
      </c>
      <c r="B104" s="298">
        <v>45579</v>
      </c>
      <c r="C104" s="299">
        <v>7.1527777777777787E-2</v>
      </c>
      <c r="D104" s="295" t="s">
        <v>101</v>
      </c>
      <c r="E104" s="300">
        <v>6833398</v>
      </c>
      <c r="F104" s="300">
        <v>115000</v>
      </c>
      <c r="G104" s="301">
        <v>10</v>
      </c>
      <c r="H104" s="296" t="s">
        <v>124</v>
      </c>
      <c r="I104" s="302" t="s">
        <v>177</v>
      </c>
      <c r="J104" s="297" t="s">
        <v>143</v>
      </c>
    </row>
    <row r="105" spans="1:10" ht="17.25" customHeight="1" x14ac:dyDescent="0.2">
      <c r="A105" s="316">
        <v>102</v>
      </c>
      <c r="B105" s="298">
        <v>45579</v>
      </c>
      <c r="C105" s="299">
        <v>0.14097222222222222</v>
      </c>
      <c r="D105" s="295" t="s">
        <v>123</v>
      </c>
      <c r="E105" s="300"/>
      <c r="F105" s="300">
        <v>612100</v>
      </c>
      <c r="G105" s="301">
        <v>0</v>
      </c>
      <c r="H105" s="296" t="s">
        <v>126</v>
      </c>
      <c r="I105" s="302" t="s">
        <v>262</v>
      </c>
      <c r="J105" s="297" t="s">
        <v>143</v>
      </c>
    </row>
    <row r="106" spans="1:10" ht="17.25" customHeight="1" x14ac:dyDescent="0.2">
      <c r="A106" s="316">
        <v>103</v>
      </c>
      <c r="B106" s="298">
        <v>45579</v>
      </c>
      <c r="C106" s="299">
        <v>0.20486111111111113</v>
      </c>
      <c r="D106" s="295" t="s">
        <v>107</v>
      </c>
      <c r="E106" s="300">
        <v>699083</v>
      </c>
      <c r="F106" s="300">
        <v>605700</v>
      </c>
      <c r="G106" s="301">
        <v>3200</v>
      </c>
      <c r="H106" s="296" t="s">
        <v>124</v>
      </c>
      <c r="I106" s="302" t="s">
        <v>263</v>
      </c>
      <c r="J106" s="297" t="s">
        <v>143</v>
      </c>
    </row>
    <row r="107" spans="1:10" ht="17.25" customHeight="1" x14ac:dyDescent="0.2">
      <c r="A107" s="316">
        <v>104</v>
      </c>
      <c r="B107" s="298">
        <v>45579</v>
      </c>
      <c r="C107" s="299">
        <v>0.3972222222222222</v>
      </c>
      <c r="D107" s="295" t="s">
        <v>107</v>
      </c>
      <c r="E107" s="300">
        <v>699162</v>
      </c>
      <c r="F107" s="300">
        <v>609209</v>
      </c>
      <c r="G107" s="301">
        <v>1125</v>
      </c>
      <c r="H107" s="296" t="s">
        <v>125</v>
      </c>
      <c r="I107" s="302" t="s">
        <v>264</v>
      </c>
      <c r="J107" s="297" t="s">
        <v>199</v>
      </c>
    </row>
    <row r="108" spans="1:10" ht="17.25" customHeight="1" x14ac:dyDescent="0.2">
      <c r="A108" s="316">
        <v>105</v>
      </c>
      <c r="B108" s="298">
        <v>45579</v>
      </c>
      <c r="C108" s="299">
        <v>0.40763888888888888</v>
      </c>
      <c r="D108" s="295" t="s">
        <v>107</v>
      </c>
      <c r="E108" s="300">
        <v>699193</v>
      </c>
      <c r="F108" s="300">
        <v>101209</v>
      </c>
      <c r="G108" s="301">
        <v>140</v>
      </c>
      <c r="H108" s="296" t="s">
        <v>125</v>
      </c>
      <c r="I108" s="302" t="s">
        <v>265</v>
      </c>
      <c r="J108" s="297" t="s">
        <v>199</v>
      </c>
    </row>
    <row r="109" spans="1:10" ht="17.25" customHeight="1" x14ac:dyDescent="0.2">
      <c r="A109" s="316">
        <v>106</v>
      </c>
      <c r="B109" s="298">
        <v>45579</v>
      </c>
      <c r="C109" s="299">
        <v>0.47152777777777777</v>
      </c>
      <c r="D109" s="295" t="s">
        <v>107</v>
      </c>
      <c r="E109" s="300" t="s">
        <v>49</v>
      </c>
      <c r="F109" s="300">
        <v>906700</v>
      </c>
      <c r="G109" s="301">
        <v>85</v>
      </c>
      <c r="H109" s="296" t="s">
        <v>126</v>
      </c>
      <c r="I109" s="302" t="s">
        <v>266</v>
      </c>
      <c r="J109" s="297" t="s">
        <v>199</v>
      </c>
    </row>
    <row r="110" spans="1:10" ht="17.25" customHeight="1" x14ac:dyDescent="0.2">
      <c r="A110" s="316">
        <v>107</v>
      </c>
      <c r="B110" s="298">
        <v>45579</v>
      </c>
      <c r="C110" s="299">
        <v>0.53541666666666665</v>
      </c>
      <c r="D110" s="295" t="s">
        <v>107</v>
      </c>
      <c r="E110" s="300">
        <v>699322</v>
      </c>
      <c r="F110" s="300">
        <v>807109</v>
      </c>
      <c r="G110" s="301">
        <v>600</v>
      </c>
      <c r="H110" s="296" t="s">
        <v>125</v>
      </c>
      <c r="I110" s="302" t="s">
        <v>267</v>
      </c>
      <c r="J110" s="297" t="s">
        <v>199</v>
      </c>
    </row>
    <row r="111" spans="1:10" ht="17.25" customHeight="1" x14ac:dyDescent="0.2">
      <c r="A111" s="316">
        <v>108</v>
      </c>
      <c r="B111" s="298">
        <v>45579</v>
      </c>
      <c r="C111" s="299">
        <v>0.81944444444444453</v>
      </c>
      <c r="D111" s="295" t="s">
        <v>107</v>
      </c>
      <c r="E111" s="300">
        <v>681035</v>
      </c>
      <c r="F111" s="300">
        <v>702209</v>
      </c>
      <c r="G111" s="301">
        <v>125</v>
      </c>
      <c r="H111" s="296" t="s">
        <v>125</v>
      </c>
      <c r="I111" s="302" t="s">
        <v>268</v>
      </c>
      <c r="J111" s="297" t="s">
        <v>199</v>
      </c>
    </row>
    <row r="112" spans="1:10" ht="17.25" customHeight="1" x14ac:dyDescent="0.2">
      <c r="A112" s="316">
        <v>109</v>
      </c>
      <c r="B112" s="298">
        <v>45579</v>
      </c>
      <c r="C112" s="299">
        <v>0.87777777777777777</v>
      </c>
      <c r="D112" s="295" t="s">
        <v>123</v>
      </c>
      <c r="E112" s="300">
        <v>698427</v>
      </c>
      <c r="F112" s="300">
        <v>611100</v>
      </c>
      <c r="G112" s="301">
        <v>110</v>
      </c>
      <c r="H112" s="296" t="s">
        <v>126</v>
      </c>
      <c r="I112" s="302" t="s">
        <v>269</v>
      </c>
      <c r="J112" s="297" t="s">
        <v>136</v>
      </c>
    </row>
    <row r="113" spans="1:10" ht="17.25" customHeight="1" x14ac:dyDescent="0.2">
      <c r="A113" s="316">
        <v>110</v>
      </c>
      <c r="B113" s="298">
        <v>45579</v>
      </c>
      <c r="C113" s="299">
        <v>0.8881944444444444</v>
      </c>
      <c r="D113" s="295" t="s">
        <v>101</v>
      </c>
      <c r="E113" s="300">
        <v>683445</v>
      </c>
      <c r="F113" s="300">
        <v>919000</v>
      </c>
      <c r="G113" s="301">
        <v>40</v>
      </c>
      <c r="H113" s="296" t="s">
        <v>124</v>
      </c>
      <c r="I113" s="302" t="s">
        <v>270</v>
      </c>
      <c r="J113" s="297" t="s">
        <v>136</v>
      </c>
    </row>
    <row r="114" spans="1:10" ht="17.25" customHeight="1" x14ac:dyDescent="0.2">
      <c r="A114" s="316">
        <v>111</v>
      </c>
      <c r="B114" s="298">
        <v>45580</v>
      </c>
      <c r="C114" s="299">
        <v>0.12708333333333333</v>
      </c>
      <c r="D114" s="295" t="s">
        <v>109</v>
      </c>
      <c r="E114" s="300">
        <v>454604</v>
      </c>
      <c r="F114" s="300">
        <v>5708</v>
      </c>
      <c r="G114" s="301">
        <v>70</v>
      </c>
      <c r="H114" s="296" t="s">
        <v>125</v>
      </c>
      <c r="I114" s="302" t="s">
        <v>272</v>
      </c>
      <c r="J114" s="297" t="s">
        <v>136</v>
      </c>
    </row>
    <row r="115" spans="1:10" ht="17.25" customHeight="1" x14ac:dyDescent="0.2">
      <c r="A115" s="316">
        <v>112</v>
      </c>
      <c r="B115" s="298">
        <v>45580</v>
      </c>
      <c r="C115" s="299">
        <v>0.43263888888888885</v>
      </c>
      <c r="D115" s="295" t="s">
        <v>101</v>
      </c>
      <c r="E115" s="300">
        <v>683169</v>
      </c>
      <c r="F115" s="300">
        <v>13000</v>
      </c>
      <c r="G115" s="301">
        <v>15</v>
      </c>
      <c r="H115" s="296" t="s">
        <v>124</v>
      </c>
      <c r="I115" s="302" t="s">
        <v>177</v>
      </c>
      <c r="J115" s="297" t="s">
        <v>135</v>
      </c>
    </row>
    <row r="116" spans="1:10" ht="17.25" customHeight="1" x14ac:dyDescent="0.2">
      <c r="A116" s="316">
        <v>113</v>
      </c>
      <c r="B116" s="298">
        <v>45580</v>
      </c>
      <c r="C116" s="299">
        <v>0.46180555555555558</v>
      </c>
      <c r="D116" s="295" t="s">
        <v>107</v>
      </c>
      <c r="E116" s="300">
        <v>681397</v>
      </c>
      <c r="F116" s="300">
        <v>707209</v>
      </c>
      <c r="G116" s="301">
        <v>85</v>
      </c>
      <c r="H116" s="296" t="s">
        <v>125</v>
      </c>
      <c r="I116" s="302" t="s">
        <v>273</v>
      </c>
      <c r="J116" s="297" t="s">
        <v>135</v>
      </c>
    </row>
    <row r="117" spans="1:10" ht="17.25" customHeight="1" x14ac:dyDescent="0.2">
      <c r="A117" s="316">
        <v>114</v>
      </c>
      <c r="B117" s="298">
        <v>45580</v>
      </c>
      <c r="C117" s="299">
        <v>0.4777777777777778</v>
      </c>
      <c r="D117" s="295" t="s">
        <v>107</v>
      </c>
      <c r="E117" s="300">
        <v>681409</v>
      </c>
      <c r="F117" s="300">
        <v>920109</v>
      </c>
      <c r="G117" s="301">
        <v>85</v>
      </c>
      <c r="H117" s="296" t="s">
        <v>125</v>
      </c>
      <c r="I117" s="302" t="s">
        <v>274</v>
      </c>
      <c r="J117" s="297" t="s">
        <v>135</v>
      </c>
    </row>
    <row r="118" spans="1:10" ht="17.25" customHeight="1" x14ac:dyDescent="0.2">
      <c r="A118" s="316">
        <v>115</v>
      </c>
      <c r="B118" s="298">
        <v>45580</v>
      </c>
      <c r="C118" s="299">
        <v>0.5541666666666667</v>
      </c>
      <c r="D118" s="295" t="s">
        <v>107</v>
      </c>
      <c r="E118" s="300">
        <v>681451</v>
      </c>
      <c r="F118" s="300">
        <v>5700</v>
      </c>
      <c r="G118" s="301">
        <v>85</v>
      </c>
      <c r="H118" s="296" t="s">
        <v>126</v>
      </c>
      <c r="I118" s="302" t="s">
        <v>275</v>
      </c>
      <c r="J118" s="297" t="s">
        <v>135</v>
      </c>
    </row>
    <row r="119" spans="1:10" ht="17.25" customHeight="1" x14ac:dyDescent="0.2">
      <c r="A119" s="316">
        <v>116</v>
      </c>
      <c r="B119" s="298">
        <v>45580</v>
      </c>
      <c r="C119" s="299">
        <v>0.52083333333333337</v>
      </c>
      <c r="D119" s="295" t="s">
        <v>107</v>
      </c>
      <c r="E119" s="300">
        <v>454619</v>
      </c>
      <c r="F119" s="300" t="s">
        <v>49</v>
      </c>
      <c r="G119" s="301">
        <v>110</v>
      </c>
      <c r="H119" s="296" t="s">
        <v>125</v>
      </c>
      <c r="I119" s="302" t="s">
        <v>276</v>
      </c>
      <c r="J119" s="297" t="s">
        <v>135</v>
      </c>
    </row>
    <row r="120" spans="1:10" ht="17.25" customHeight="1" x14ac:dyDescent="0.2">
      <c r="A120" s="316">
        <v>117</v>
      </c>
      <c r="B120" s="298">
        <v>45580</v>
      </c>
      <c r="C120" s="299">
        <v>0.63611111111111118</v>
      </c>
      <c r="D120" s="295" t="s">
        <v>107</v>
      </c>
      <c r="E120" s="300">
        <v>681484</v>
      </c>
      <c r="F120" s="300">
        <v>201209</v>
      </c>
      <c r="G120" s="301">
        <v>460</v>
      </c>
      <c r="H120" s="296" t="s">
        <v>125</v>
      </c>
      <c r="I120" s="302" t="s">
        <v>277</v>
      </c>
      <c r="J120" s="297" t="s">
        <v>135</v>
      </c>
    </row>
    <row r="121" spans="1:10" ht="17.25" customHeight="1" x14ac:dyDescent="0.2">
      <c r="A121" s="316">
        <v>118</v>
      </c>
      <c r="B121" s="298">
        <v>45580</v>
      </c>
      <c r="C121" s="299">
        <v>0.81319444444444444</v>
      </c>
      <c r="D121" s="295" t="s">
        <v>107</v>
      </c>
      <c r="E121" s="300">
        <v>685618</v>
      </c>
      <c r="F121" s="300">
        <v>706700</v>
      </c>
      <c r="G121" s="301">
        <v>1400</v>
      </c>
      <c r="H121" s="296" t="s">
        <v>126</v>
      </c>
      <c r="I121" s="302" t="s">
        <v>278</v>
      </c>
      <c r="J121" s="297" t="s">
        <v>135</v>
      </c>
    </row>
    <row r="122" spans="1:10" ht="17.25" customHeight="1" x14ac:dyDescent="0.2">
      <c r="A122" s="316">
        <v>119</v>
      </c>
      <c r="B122" s="298">
        <v>45580</v>
      </c>
      <c r="C122" s="299">
        <v>0.82291666666666663</v>
      </c>
      <c r="D122" s="295" t="s">
        <v>107</v>
      </c>
      <c r="E122" s="300">
        <v>685630</v>
      </c>
      <c r="F122" s="300">
        <v>7109</v>
      </c>
      <c r="G122" s="301">
        <v>85</v>
      </c>
      <c r="H122" s="296" t="s">
        <v>125</v>
      </c>
      <c r="I122" s="302" t="s">
        <v>279</v>
      </c>
      <c r="J122" s="297" t="s">
        <v>135</v>
      </c>
    </row>
    <row r="123" spans="1:10" ht="17.25" customHeight="1" x14ac:dyDescent="0.2">
      <c r="A123" s="316">
        <v>120</v>
      </c>
      <c r="B123" s="298">
        <v>45580</v>
      </c>
      <c r="C123" s="299">
        <v>0.8354166666666667</v>
      </c>
      <c r="D123" s="295" t="s">
        <v>107</v>
      </c>
      <c r="E123" s="300">
        <v>685661</v>
      </c>
      <c r="F123" s="300">
        <v>906209</v>
      </c>
      <c r="G123" s="301">
        <v>85</v>
      </c>
      <c r="H123" s="296" t="s">
        <v>125</v>
      </c>
      <c r="I123" s="302" t="s">
        <v>280</v>
      </c>
      <c r="J123" s="297" t="s">
        <v>199</v>
      </c>
    </row>
    <row r="124" spans="1:10" ht="17.25" customHeight="1" x14ac:dyDescent="0.2">
      <c r="A124" s="316">
        <v>121</v>
      </c>
      <c r="B124" s="298">
        <v>45580</v>
      </c>
      <c r="C124" s="299">
        <v>0.83194444444444438</v>
      </c>
      <c r="D124" s="295" t="s">
        <v>123</v>
      </c>
      <c r="E124" s="300">
        <v>685067</v>
      </c>
      <c r="F124" s="300">
        <v>218100</v>
      </c>
      <c r="G124" s="301">
        <v>110</v>
      </c>
      <c r="H124" s="296" t="s">
        <v>126</v>
      </c>
      <c r="I124" s="302" t="s">
        <v>281</v>
      </c>
      <c r="J124" s="297" t="s">
        <v>199</v>
      </c>
    </row>
    <row r="125" spans="1:10" ht="17.25" customHeight="1" x14ac:dyDescent="0.2">
      <c r="A125" s="316">
        <v>122</v>
      </c>
      <c r="B125" s="298">
        <v>45581</v>
      </c>
      <c r="C125" s="299">
        <v>0.3840277777777778</v>
      </c>
      <c r="D125" s="295" t="s">
        <v>123</v>
      </c>
      <c r="E125" s="300">
        <v>685148</v>
      </c>
      <c r="F125" s="300">
        <v>616100</v>
      </c>
      <c r="G125" s="301">
        <v>110</v>
      </c>
      <c r="H125" s="296" t="s">
        <v>125</v>
      </c>
      <c r="I125" s="302" t="s">
        <v>282</v>
      </c>
      <c r="J125" s="297" t="s">
        <v>144</v>
      </c>
    </row>
    <row r="126" spans="1:10" ht="17.25" customHeight="1" x14ac:dyDescent="0.2">
      <c r="A126" s="316">
        <v>123</v>
      </c>
      <c r="B126" s="298">
        <v>45581</v>
      </c>
      <c r="C126" s="299">
        <v>0.65625</v>
      </c>
      <c r="D126" s="295" t="s">
        <v>107</v>
      </c>
      <c r="E126" s="300">
        <v>690209</v>
      </c>
      <c r="F126" s="300">
        <v>800209</v>
      </c>
      <c r="G126" s="301">
        <v>85</v>
      </c>
      <c r="H126" s="296" t="s">
        <v>125</v>
      </c>
      <c r="I126" s="302" t="s">
        <v>283</v>
      </c>
      <c r="J126" s="297" t="s">
        <v>144</v>
      </c>
    </row>
    <row r="127" spans="1:10" ht="17.25" customHeight="1" x14ac:dyDescent="0.2">
      <c r="A127" s="316">
        <v>124</v>
      </c>
      <c r="B127" s="298">
        <v>45581</v>
      </c>
      <c r="C127" s="299">
        <v>0.67083333333333339</v>
      </c>
      <c r="D127" s="295" t="s">
        <v>107</v>
      </c>
      <c r="E127" s="300">
        <v>690238</v>
      </c>
      <c r="F127" s="300">
        <v>606209</v>
      </c>
      <c r="G127" s="301">
        <v>0</v>
      </c>
      <c r="H127" s="296" t="s">
        <v>125</v>
      </c>
      <c r="I127" s="302" t="s">
        <v>284</v>
      </c>
      <c r="J127" s="297" t="s">
        <v>144</v>
      </c>
    </row>
    <row r="128" spans="1:10" ht="17.25" customHeight="1" x14ac:dyDescent="0.2">
      <c r="A128" s="316">
        <v>125</v>
      </c>
      <c r="B128" s="298">
        <v>45582</v>
      </c>
      <c r="C128" s="299">
        <v>7.013888888888889E-2</v>
      </c>
      <c r="D128" s="295" t="s">
        <v>107</v>
      </c>
      <c r="E128" s="300">
        <v>687530</v>
      </c>
      <c r="F128" s="300">
        <v>704109</v>
      </c>
      <c r="G128" s="301">
        <v>140</v>
      </c>
      <c r="H128" s="296" t="s">
        <v>125</v>
      </c>
      <c r="I128" s="302" t="s">
        <v>285</v>
      </c>
      <c r="J128" s="297" t="s">
        <v>135</v>
      </c>
    </row>
    <row r="129" spans="1:10" ht="17.25" customHeight="1" x14ac:dyDescent="0.2">
      <c r="A129" s="316">
        <v>126</v>
      </c>
      <c r="B129" s="298">
        <v>45582</v>
      </c>
      <c r="C129" s="299">
        <v>9.7222222222222224E-2</v>
      </c>
      <c r="D129" s="295" t="s">
        <v>107</v>
      </c>
      <c r="E129" s="300">
        <v>451714</v>
      </c>
      <c r="F129" s="300">
        <v>706708</v>
      </c>
      <c r="G129" s="301">
        <v>0</v>
      </c>
      <c r="H129" s="296" t="s">
        <v>125</v>
      </c>
      <c r="I129" s="302" t="s">
        <v>286</v>
      </c>
      <c r="J129" s="297" t="s">
        <v>135</v>
      </c>
    </row>
    <row r="130" spans="1:10" ht="17.25" customHeight="1" x14ac:dyDescent="0.2">
      <c r="A130" s="316">
        <v>127</v>
      </c>
      <c r="B130" s="298">
        <v>45582</v>
      </c>
      <c r="C130" s="299">
        <v>0.18333333333333335</v>
      </c>
      <c r="D130" s="295" t="s">
        <v>107</v>
      </c>
      <c r="E130" s="300">
        <v>687581</v>
      </c>
      <c r="F130" s="300">
        <v>708700</v>
      </c>
      <c r="G130" s="301">
        <v>60</v>
      </c>
      <c r="H130" s="296" t="s">
        <v>124</v>
      </c>
      <c r="I130" s="302" t="s">
        <v>287</v>
      </c>
      <c r="J130" s="297" t="s">
        <v>135</v>
      </c>
    </row>
    <row r="131" spans="1:10" ht="17.25" customHeight="1" x14ac:dyDescent="0.2">
      <c r="A131" s="316">
        <v>128</v>
      </c>
      <c r="B131" s="298">
        <v>45582</v>
      </c>
      <c r="C131" s="299">
        <v>0.42430555555555555</v>
      </c>
      <c r="D131" s="295" t="s">
        <v>109</v>
      </c>
      <c r="E131" s="300">
        <v>454724</v>
      </c>
      <c r="F131" s="300">
        <v>604708</v>
      </c>
      <c r="G131" s="301">
        <v>110</v>
      </c>
      <c r="H131" s="296" t="s">
        <v>125</v>
      </c>
      <c r="I131" s="302" t="s">
        <v>288</v>
      </c>
      <c r="J131" s="297" t="s">
        <v>136</v>
      </c>
    </row>
    <row r="132" spans="1:10" ht="17.25" customHeight="1" x14ac:dyDescent="0.2">
      <c r="A132" s="316">
        <v>129</v>
      </c>
      <c r="B132" s="298">
        <v>45582</v>
      </c>
      <c r="C132" s="299">
        <v>0.71944444444444444</v>
      </c>
      <c r="D132" s="295" t="s">
        <v>107</v>
      </c>
      <c r="E132" s="300">
        <v>687866</v>
      </c>
      <c r="F132" s="300">
        <v>706109</v>
      </c>
      <c r="G132" s="301">
        <v>600</v>
      </c>
      <c r="H132" s="296" t="s">
        <v>125</v>
      </c>
      <c r="I132" s="302" t="s">
        <v>289</v>
      </c>
      <c r="J132" s="297" t="s">
        <v>136</v>
      </c>
    </row>
    <row r="133" spans="1:10" ht="17.25" customHeight="1" x14ac:dyDescent="0.2">
      <c r="A133" s="316">
        <v>130</v>
      </c>
      <c r="B133" s="298">
        <v>45582</v>
      </c>
      <c r="C133" s="299">
        <v>0.81180555555555556</v>
      </c>
      <c r="D133" s="295" t="s">
        <v>107</v>
      </c>
      <c r="E133" s="300">
        <v>687947</v>
      </c>
      <c r="F133" s="300">
        <v>109</v>
      </c>
      <c r="G133" s="301">
        <v>60</v>
      </c>
      <c r="H133" s="296" t="s">
        <v>125</v>
      </c>
      <c r="I133" s="302" t="s">
        <v>290</v>
      </c>
      <c r="J133" s="297" t="s">
        <v>136</v>
      </c>
    </row>
    <row r="134" spans="1:10" ht="17.25" customHeight="1" x14ac:dyDescent="0.2">
      <c r="A134" s="316">
        <v>131</v>
      </c>
      <c r="B134" s="298">
        <v>45582</v>
      </c>
      <c r="C134" s="299">
        <v>0.80138888888888893</v>
      </c>
      <c r="D134" s="295" t="s">
        <v>123</v>
      </c>
      <c r="E134" s="300" t="s">
        <v>49</v>
      </c>
      <c r="F134" s="300">
        <v>616100</v>
      </c>
      <c r="G134" s="300" t="s">
        <v>49</v>
      </c>
      <c r="H134" s="296" t="s">
        <v>126</v>
      </c>
      <c r="I134" s="302" t="s">
        <v>291</v>
      </c>
      <c r="J134" s="297" t="s">
        <v>144</v>
      </c>
    </row>
    <row r="135" spans="1:10" ht="17.25" customHeight="1" x14ac:dyDescent="0.2">
      <c r="A135" s="316">
        <v>132</v>
      </c>
      <c r="B135" s="298">
        <v>45582</v>
      </c>
      <c r="C135" s="299">
        <v>0.8125</v>
      </c>
      <c r="D135" s="295" t="s">
        <v>123</v>
      </c>
      <c r="E135" s="300">
        <v>685333</v>
      </c>
      <c r="F135" s="300">
        <v>612100</v>
      </c>
      <c r="G135" s="301">
        <v>70</v>
      </c>
      <c r="H135" s="296" t="s">
        <v>126</v>
      </c>
      <c r="I135" s="302" t="s">
        <v>292</v>
      </c>
      <c r="J135" s="297" t="s">
        <v>144</v>
      </c>
    </row>
    <row r="136" spans="1:10" ht="17.25" customHeight="1" x14ac:dyDescent="0.2">
      <c r="A136" s="316">
        <v>133</v>
      </c>
      <c r="B136" s="298">
        <v>45582</v>
      </c>
      <c r="C136" s="299">
        <v>0.96250000000000002</v>
      </c>
      <c r="D136" s="295" t="s">
        <v>107</v>
      </c>
      <c r="E136" s="300">
        <v>697576</v>
      </c>
      <c r="F136" s="300">
        <v>105700</v>
      </c>
      <c r="G136" s="301">
        <v>2800</v>
      </c>
      <c r="H136" s="296" t="s">
        <v>126</v>
      </c>
      <c r="I136" s="302" t="s">
        <v>293</v>
      </c>
      <c r="J136" s="297" t="s">
        <v>144</v>
      </c>
    </row>
    <row r="137" spans="1:10" ht="17.25" customHeight="1" x14ac:dyDescent="0.2">
      <c r="A137" s="316">
        <v>134</v>
      </c>
      <c r="B137" s="298">
        <v>45583</v>
      </c>
      <c r="C137" s="299">
        <v>6.8749999999999992E-2</v>
      </c>
      <c r="D137" s="295" t="s">
        <v>123</v>
      </c>
      <c r="E137" s="300" t="s">
        <v>49</v>
      </c>
      <c r="F137" s="300">
        <v>913100</v>
      </c>
      <c r="G137" s="301">
        <v>0</v>
      </c>
      <c r="H137" s="296" t="s">
        <v>126</v>
      </c>
      <c r="I137" s="302" t="s">
        <v>295</v>
      </c>
      <c r="J137" s="297" t="s">
        <v>144</v>
      </c>
    </row>
    <row r="138" spans="1:10" ht="17.25" customHeight="1" x14ac:dyDescent="0.2">
      <c r="A138" s="316">
        <v>135</v>
      </c>
      <c r="B138" s="298">
        <v>45583</v>
      </c>
      <c r="C138" s="299">
        <v>0.34652777777777777</v>
      </c>
      <c r="D138" s="295" t="s">
        <v>101</v>
      </c>
      <c r="E138" s="300">
        <v>682568</v>
      </c>
      <c r="F138" s="300">
        <v>110000</v>
      </c>
      <c r="G138" s="301">
        <v>50</v>
      </c>
      <c r="H138" s="296" t="s">
        <v>124</v>
      </c>
      <c r="I138" s="302" t="s">
        <v>177</v>
      </c>
      <c r="J138" s="297" t="s">
        <v>133</v>
      </c>
    </row>
    <row r="139" spans="1:10" ht="17.25" customHeight="1" x14ac:dyDescent="0.2">
      <c r="A139" s="316">
        <v>136</v>
      </c>
      <c r="B139" s="298">
        <v>45583</v>
      </c>
      <c r="C139" s="299">
        <v>0.50486111111111109</v>
      </c>
      <c r="D139" s="295" t="s">
        <v>107</v>
      </c>
      <c r="E139" s="300">
        <v>697926</v>
      </c>
      <c r="F139" s="300">
        <v>102209</v>
      </c>
      <c r="G139" s="301">
        <v>925</v>
      </c>
      <c r="H139" s="296" t="s">
        <v>125</v>
      </c>
      <c r="I139" s="302" t="s">
        <v>296</v>
      </c>
      <c r="J139" s="297" t="s">
        <v>133</v>
      </c>
    </row>
    <row r="140" spans="1:10" ht="17.25" customHeight="1" x14ac:dyDescent="0.2">
      <c r="A140" s="316">
        <v>137</v>
      </c>
      <c r="B140" s="298">
        <v>45583</v>
      </c>
      <c r="C140" s="299">
        <v>0.50624999999999998</v>
      </c>
      <c r="D140" s="295" t="s">
        <v>107</v>
      </c>
      <c r="E140" s="300">
        <v>697940</v>
      </c>
      <c r="F140" s="300">
        <v>900209</v>
      </c>
      <c r="G140" s="301">
        <v>85</v>
      </c>
      <c r="H140" s="296" t="s">
        <v>125</v>
      </c>
      <c r="I140" s="302" t="s">
        <v>297</v>
      </c>
      <c r="J140" s="297" t="s">
        <v>133</v>
      </c>
    </row>
    <row r="141" spans="1:10" ht="17.25" customHeight="1" x14ac:dyDescent="0.2">
      <c r="A141" s="316">
        <v>138</v>
      </c>
      <c r="B141" s="298">
        <v>45585</v>
      </c>
      <c r="C141" s="299">
        <v>0.99652777777777779</v>
      </c>
      <c r="D141" s="295" t="s">
        <v>107</v>
      </c>
      <c r="E141" s="300">
        <v>392346</v>
      </c>
      <c r="F141" s="300">
        <v>702109</v>
      </c>
      <c r="G141" s="301">
        <v>1200</v>
      </c>
      <c r="H141" s="296" t="s">
        <v>125</v>
      </c>
      <c r="I141" s="302" t="s">
        <v>298</v>
      </c>
      <c r="J141" s="297" t="s">
        <v>133</v>
      </c>
    </row>
    <row r="142" spans="1:10" ht="17.25" customHeight="1" x14ac:dyDescent="0.2">
      <c r="A142" s="316">
        <v>139</v>
      </c>
      <c r="B142" s="298">
        <v>45585</v>
      </c>
      <c r="C142" s="299">
        <v>0.21249999999999999</v>
      </c>
      <c r="D142" s="295" t="s">
        <v>107</v>
      </c>
      <c r="E142" s="300">
        <v>392430</v>
      </c>
      <c r="F142" s="300">
        <v>804209</v>
      </c>
      <c r="G142" s="301">
        <v>85</v>
      </c>
      <c r="H142" s="296" t="s">
        <v>125</v>
      </c>
      <c r="I142" s="302" t="s">
        <v>299</v>
      </c>
      <c r="J142" s="297" t="s">
        <v>133</v>
      </c>
    </row>
    <row r="143" spans="1:10" ht="17.25" customHeight="1" x14ac:dyDescent="0.2">
      <c r="A143" s="316">
        <v>140</v>
      </c>
      <c r="B143" s="298">
        <v>45585</v>
      </c>
      <c r="C143" s="299">
        <v>0.21388888888888891</v>
      </c>
      <c r="D143" s="295" t="s">
        <v>109</v>
      </c>
      <c r="E143" s="300">
        <v>486321</v>
      </c>
      <c r="F143" s="300">
        <v>609708</v>
      </c>
      <c r="G143" s="301">
        <v>110</v>
      </c>
      <c r="H143" s="296" t="s">
        <v>125</v>
      </c>
      <c r="I143" s="302" t="s">
        <v>300</v>
      </c>
      <c r="J143" s="297" t="s">
        <v>133</v>
      </c>
    </row>
    <row r="144" spans="1:10" ht="17.25" customHeight="1" x14ac:dyDescent="0.2">
      <c r="A144" s="316">
        <v>141</v>
      </c>
      <c r="B144" s="298">
        <v>45585</v>
      </c>
      <c r="C144" s="299">
        <v>0.6645833333333333</v>
      </c>
      <c r="D144" s="295" t="s">
        <v>107</v>
      </c>
      <c r="E144" s="300">
        <v>393789</v>
      </c>
      <c r="F144" s="300">
        <v>604109</v>
      </c>
      <c r="G144" s="301">
        <v>540</v>
      </c>
      <c r="H144" s="296" t="s">
        <v>125</v>
      </c>
      <c r="I144" s="302" t="s">
        <v>301</v>
      </c>
      <c r="J144" s="297" t="s">
        <v>141</v>
      </c>
    </row>
    <row r="145" spans="1:10" ht="17.25" customHeight="1" x14ac:dyDescent="0.2">
      <c r="A145" s="316">
        <v>142</v>
      </c>
      <c r="B145" s="298">
        <v>45585</v>
      </c>
      <c r="C145" s="299">
        <v>0.75</v>
      </c>
      <c r="D145" s="295" t="s">
        <v>109</v>
      </c>
      <c r="E145" s="300" t="s">
        <v>49</v>
      </c>
      <c r="F145" s="300">
        <v>201708</v>
      </c>
      <c r="G145" s="301" t="s">
        <v>49</v>
      </c>
      <c r="H145" s="296" t="s">
        <v>125</v>
      </c>
      <c r="I145" s="302" t="s">
        <v>302</v>
      </c>
      <c r="J145" s="297" t="s">
        <v>141</v>
      </c>
    </row>
    <row r="146" spans="1:10" ht="17.25" customHeight="1" x14ac:dyDescent="0.2">
      <c r="A146" s="316">
        <v>143</v>
      </c>
      <c r="B146" s="298">
        <v>45585</v>
      </c>
      <c r="C146" s="299">
        <v>0.70138888888888884</v>
      </c>
      <c r="D146" s="295" t="s">
        <v>107</v>
      </c>
      <c r="E146" s="300">
        <v>393842</v>
      </c>
      <c r="F146" s="300">
        <v>801700</v>
      </c>
      <c r="G146" s="301">
        <v>1600</v>
      </c>
      <c r="H146" s="296" t="s">
        <v>126</v>
      </c>
      <c r="I146" s="302" t="s">
        <v>303</v>
      </c>
      <c r="J146" s="297" t="s">
        <v>141</v>
      </c>
    </row>
    <row r="147" spans="1:10" ht="17.25" customHeight="1" x14ac:dyDescent="0.2">
      <c r="A147" s="316">
        <v>144</v>
      </c>
      <c r="B147" s="298">
        <v>45585</v>
      </c>
      <c r="C147" s="299">
        <v>0.85486111111111107</v>
      </c>
      <c r="D147" s="295" t="s">
        <v>107</v>
      </c>
      <c r="E147" s="300">
        <v>390573</v>
      </c>
      <c r="F147" s="300">
        <v>601209</v>
      </c>
      <c r="G147" s="301">
        <v>740</v>
      </c>
      <c r="H147" s="296" t="s">
        <v>125</v>
      </c>
      <c r="I147" s="302" t="s">
        <v>304</v>
      </c>
      <c r="J147" s="297" t="s">
        <v>143</v>
      </c>
    </row>
    <row r="148" spans="1:10" ht="17.25" customHeight="1" x14ac:dyDescent="0.2">
      <c r="A148" s="316">
        <v>145</v>
      </c>
      <c r="B148" s="298">
        <v>45586</v>
      </c>
      <c r="C148" s="299">
        <v>4.5833333333333337E-2</v>
      </c>
      <c r="D148" s="295" t="s">
        <v>123</v>
      </c>
      <c r="E148" s="300">
        <v>684304</v>
      </c>
      <c r="F148" s="300">
        <v>618100</v>
      </c>
      <c r="G148" s="301">
        <v>110</v>
      </c>
      <c r="H148" s="296" t="s">
        <v>126</v>
      </c>
      <c r="I148" s="302" t="s">
        <v>305</v>
      </c>
      <c r="J148" s="297" t="s">
        <v>143</v>
      </c>
    </row>
    <row r="149" spans="1:10" ht="17.25" customHeight="1" x14ac:dyDescent="0.2">
      <c r="A149" s="316">
        <v>146</v>
      </c>
      <c r="B149" s="298">
        <v>45586</v>
      </c>
      <c r="C149" s="299">
        <v>0.16388888888888889</v>
      </c>
      <c r="D149" s="295" t="s">
        <v>107</v>
      </c>
      <c r="E149" s="300">
        <v>390787</v>
      </c>
      <c r="F149" s="300">
        <v>2209</v>
      </c>
      <c r="G149" s="301">
        <v>85</v>
      </c>
      <c r="H149" s="296" t="s">
        <v>125</v>
      </c>
      <c r="I149" s="302" t="s">
        <v>306</v>
      </c>
      <c r="J149" s="297" t="s">
        <v>143</v>
      </c>
    </row>
    <row r="150" spans="1:10" ht="17.25" customHeight="1" x14ac:dyDescent="0.2">
      <c r="A150" s="316">
        <v>147</v>
      </c>
      <c r="B150" s="298">
        <v>45586</v>
      </c>
      <c r="C150" s="299">
        <v>0.33402777777777781</v>
      </c>
      <c r="D150" s="295" t="s">
        <v>123</v>
      </c>
      <c r="E150" s="300">
        <v>684315</v>
      </c>
      <c r="F150" s="300">
        <v>613100</v>
      </c>
      <c r="G150" s="301">
        <v>180</v>
      </c>
      <c r="H150" s="296" t="s">
        <v>126</v>
      </c>
      <c r="I150" s="302" t="s">
        <v>308</v>
      </c>
      <c r="J150" s="297" t="s">
        <v>136</v>
      </c>
    </row>
    <row r="151" spans="1:10" ht="17.25" customHeight="1" x14ac:dyDescent="0.2">
      <c r="A151" s="316">
        <v>148</v>
      </c>
      <c r="B151" s="298">
        <v>45586</v>
      </c>
      <c r="C151" s="299">
        <v>0.44166666666666665</v>
      </c>
      <c r="D151" s="295" t="s">
        <v>107</v>
      </c>
      <c r="E151" s="300">
        <v>390949</v>
      </c>
      <c r="F151" s="300">
        <v>709700</v>
      </c>
      <c r="G151" s="301">
        <v>740</v>
      </c>
      <c r="H151" s="296" t="s">
        <v>126</v>
      </c>
      <c r="I151" s="302" t="s">
        <v>307</v>
      </c>
      <c r="J151" s="297" t="s">
        <v>136</v>
      </c>
    </row>
    <row r="152" spans="1:10" ht="17.25" customHeight="1" x14ac:dyDescent="0.2">
      <c r="A152" s="316">
        <v>149</v>
      </c>
      <c r="B152" s="298">
        <v>45586</v>
      </c>
      <c r="C152" s="299">
        <v>0.44166666666666665</v>
      </c>
      <c r="D152" s="295" t="s">
        <v>107</v>
      </c>
      <c r="E152" s="300">
        <v>391045</v>
      </c>
      <c r="F152" s="300">
        <v>300109</v>
      </c>
      <c r="G152" s="301">
        <v>85</v>
      </c>
      <c r="H152" s="296" t="s">
        <v>125</v>
      </c>
      <c r="I152" s="302" t="s">
        <v>309</v>
      </c>
      <c r="J152" s="297" t="s">
        <v>136</v>
      </c>
    </row>
    <row r="153" spans="1:10" ht="17.25" customHeight="1" x14ac:dyDescent="0.2">
      <c r="A153" s="316">
        <v>150</v>
      </c>
      <c r="B153" s="298"/>
      <c r="C153" s="299"/>
      <c r="D153" s="295"/>
      <c r="E153" s="300"/>
      <c r="F153" s="300"/>
      <c r="G153" s="301"/>
      <c r="H153" s="296"/>
      <c r="I153" s="302"/>
      <c r="J153" s="297"/>
    </row>
    <row r="154" spans="1:10" ht="17.25" customHeight="1" x14ac:dyDescent="0.2">
      <c r="A154" s="316">
        <v>151</v>
      </c>
      <c r="B154" s="298"/>
      <c r="C154" s="299"/>
      <c r="D154" s="295"/>
      <c r="E154" s="300"/>
      <c r="F154" s="300"/>
      <c r="G154" s="301"/>
      <c r="H154" s="296"/>
      <c r="I154" s="302"/>
      <c r="J154" s="297"/>
    </row>
    <row r="155" spans="1:10" ht="17.25" customHeight="1" x14ac:dyDescent="0.2">
      <c r="A155" s="316">
        <v>152</v>
      </c>
      <c r="B155" s="298"/>
      <c r="C155" s="299"/>
      <c r="D155" s="295"/>
      <c r="E155" s="300"/>
      <c r="F155" s="300"/>
      <c r="G155" s="301"/>
      <c r="H155" s="296"/>
      <c r="I155" s="302"/>
      <c r="J155" s="297"/>
    </row>
    <row r="156" spans="1:10" ht="17.25" customHeight="1" x14ac:dyDescent="0.2">
      <c r="A156" s="316">
        <v>153</v>
      </c>
      <c r="B156" s="298"/>
      <c r="C156" s="299"/>
      <c r="D156" s="295"/>
      <c r="E156" s="300"/>
      <c r="F156" s="300"/>
      <c r="G156" s="301"/>
      <c r="H156" s="296"/>
      <c r="I156" s="302"/>
      <c r="J156" s="297"/>
    </row>
    <row r="157" spans="1:10" ht="17.25" customHeight="1" x14ac:dyDescent="0.2">
      <c r="A157" s="316">
        <v>154</v>
      </c>
      <c r="B157" s="298"/>
      <c r="C157" s="299"/>
      <c r="D157" s="295"/>
      <c r="E157" s="300"/>
      <c r="F157" s="300"/>
      <c r="G157" s="301"/>
      <c r="H157" s="296"/>
      <c r="I157" s="302"/>
      <c r="J157" s="297"/>
    </row>
    <row r="158" spans="1:10" ht="17.25" customHeight="1" x14ac:dyDescent="0.2">
      <c r="A158" s="316">
        <v>155</v>
      </c>
      <c r="B158" s="298"/>
      <c r="C158" s="299"/>
      <c r="D158" s="295"/>
      <c r="E158" s="300"/>
      <c r="F158" s="300"/>
      <c r="G158" s="301"/>
      <c r="H158" s="296"/>
      <c r="I158" s="302"/>
      <c r="J158" s="297"/>
    </row>
    <row r="159" spans="1:10" ht="17.25" customHeight="1" x14ac:dyDescent="0.2">
      <c r="A159" s="316">
        <v>156</v>
      </c>
      <c r="B159" s="298"/>
      <c r="C159" s="299"/>
      <c r="D159" s="295"/>
      <c r="E159" s="300"/>
      <c r="F159" s="300"/>
      <c r="G159" s="301"/>
      <c r="H159" s="296"/>
      <c r="I159" s="302"/>
      <c r="J159" s="297"/>
    </row>
    <row r="160" spans="1:10" ht="17.25" customHeight="1" x14ac:dyDescent="0.2">
      <c r="A160" s="316">
        <v>157</v>
      </c>
      <c r="B160" s="298"/>
      <c r="C160" s="299"/>
      <c r="D160" s="295"/>
      <c r="E160" s="300"/>
      <c r="F160" s="300"/>
      <c r="G160" s="301"/>
      <c r="H160" s="296"/>
      <c r="I160" s="302"/>
      <c r="J160" s="297"/>
    </row>
    <row r="161" spans="1:10" ht="17.25" customHeight="1" x14ac:dyDescent="0.2">
      <c r="A161" s="316">
        <v>158</v>
      </c>
      <c r="B161" s="298"/>
      <c r="C161" s="299"/>
      <c r="D161" s="295"/>
      <c r="E161" s="300"/>
      <c r="F161" s="300"/>
      <c r="G161" s="301"/>
      <c r="H161" s="296"/>
      <c r="I161" s="302"/>
      <c r="J161" s="297"/>
    </row>
    <row r="162" spans="1:10" ht="17.25" customHeight="1" x14ac:dyDescent="0.2">
      <c r="A162" s="316">
        <v>159</v>
      </c>
      <c r="B162" s="298"/>
      <c r="C162" s="299"/>
      <c r="D162" s="295"/>
      <c r="E162" s="300"/>
      <c r="F162" s="300"/>
      <c r="G162" s="301"/>
      <c r="H162" s="296"/>
      <c r="I162" s="302"/>
      <c r="J162" s="297"/>
    </row>
    <row r="163" spans="1:10" ht="17.25" customHeight="1" x14ac:dyDescent="0.2">
      <c r="A163" s="316">
        <v>160</v>
      </c>
      <c r="B163" s="298"/>
      <c r="C163" s="299"/>
      <c r="D163" s="295"/>
      <c r="E163" s="300"/>
      <c r="F163" s="300"/>
      <c r="G163" s="301"/>
      <c r="H163" s="296"/>
      <c r="I163" s="302"/>
      <c r="J163" s="297"/>
    </row>
    <row r="164" spans="1:10" ht="17.25" customHeight="1" x14ac:dyDescent="0.2">
      <c r="A164" s="316">
        <v>161</v>
      </c>
      <c r="B164" s="298"/>
      <c r="C164" s="299"/>
      <c r="D164" s="295"/>
      <c r="E164" s="300"/>
      <c r="F164" s="300"/>
      <c r="G164" s="301"/>
      <c r="H164" s="296"/>
      <c r="I164" s="302"/>
      <c r="J164" s="297"/>
    </row>
    <row r="165" spans="1:10" ht="17.25" customHeight="1" x14ac:dyDescent="0.2">
      <c r="A165" s="316">
        <v>162</v>
      </c>
      <c r="B165" s="298"/>
      <c r="C165" s="299"/>
      <c r="D165" s="295"/>
      <c r="E165" s="300"/>
      <c r="F165" s="300"/>
      <c r="G165" s="301"/>
      <c r="H165" s="296"/>
      <c r="I165" s="302"/>
      <c r="J165" s="297"/>
    </row>
    <row r="166" spans="1:10" ht="17.25" customHeight="1" x14ac:dyDescent="0.2">
      <c r="A166" s="316">
        <v>163</v>
      </c>
      <c r="B166" s="298"/>
      <c r="C166" s="299"/>
      <c r="D166" s="295"/>
      <c r="E166" s="300"/>
      <c r="F166" s="300"/>
      <c r="G166" s="301"/>
      <c r="H166" s="296"/>
      <c r="I166" s="302"/>
      <c r="J166" s="297"/>
    </row>
    <row r="167" spans="1:10" ht="17.25" customHeight="1" x14ac:dyDescent="0.2">
      <c r="A167" s="316">
        <v>164</v>
      </c>
      <c r="B167" s="298"/>
      <c r="C167" s="299"/>
      <c r="D167" s="295"/>
      <c r="E167" s="300"/>
      <c r="F167" s="300"/>
      <c r="G167" s="301"/>
      <c r="H167" s="296"/>
      <c r="I167" s="302"/>
      <c r="J167" s="297"/>
    </row>
    <row r="168" spans="1:10" ht="17.25" customHeight="1" x14ac:dyDescent="0.2">
      <c r="A168" s="316">
        <v>165</v>
      </c>
      <c r="B168" s="298"/>
      <c r="C168" s="299"/>
      <c r="D168" s="295"/>
      <c r="E168" s="300"/>
      <c r="F168" s="300"/>
      <c r="G168" s="301"/>
      <c r="H168" s="296"/>
      <c r="I168" s="302"/>
      <c r="J168" s="297"/>
    </row>
    <row r="169" spans="1:10" ht="17.25" customHeight="1" x14ac:dyDescent="0.2">
      <c r="A169" s="316">
        <v>166</v>
      </c>
      <c r="B169" s="298"/>
      <c r="C169" s="299"/>
      <c r="D169" s="295"/>
      <c r="E169" s="300"/>
      <c r="F169" s="300"/>
      <c r="G169" s="301"/>
      <c r="H169" s="296"/>
      <c r="I169" s="302"/>
      <c r="J169" s="297"/>
    </row>
    <row r="170" spans="1:10" ht="17.25" customHeight="1" x14ac:dyDescent="0.2">
      <c r="A170" s="316">
        <v>167</v>
      </c>
      <c r="B170" s="298"/>
      <c r="C170" s="299"/>
      <c r="D170" s="295"/>
      <c r="E170" s="300"/>
      <c r="F170" s="300"/>
      <c r="G170" s="301"/>
      <c r="H170" s="296"/>
      <c r="I170" s="302"/>
      <c r="J170" s="297"/>
    </row>
    <row r="171" spans="1:10" ht="17.25" customHeight="1" x14ac:dyDescent="0.2">
      <c r="A171" s="316">
        <v>168</v>
      </c>
      <c r="B171" s="298"/>
      <c r="C171" s="299"/>
      <c r="D171" s="295"/>
      <c r="E171" s="300"/>
      <c r="F171" s="300"/>
      <c r="G171" s="301"/>
      <c r="H171" s="296"/>
      <c r="I171" s="302"/>
      <c r="J171" s="297"/>
    </row>
    <row r="172" spans="1:10" ht="17.25" customHeight="1" x14ac:dyDescent="0.2">
      <c r="A172" s="316">
        <v>169</v>
      </c>
      <c r="B172" s="298"/>
      <c r="C172" s="299"/>
      <c r="D172" s="295"/>
      <c r="E172" s="300"/>
      <c r="F172" s="300"/>
      <c r="G172" s="301"/>
      <c r="H172" s="296"/>
      <c r="I172" s="302"/>
      <c r="J172" s="297"/>
    </row>
    <row r="173" spans="1:10" ht="17.25" customHeight="1" x14ac:dyDescent="0.2">
      <c r="A173" s="316">
        <v>170</v>
      </c>
      <c r="B173" s="298"/>
      <c r="C173" s="299"/>
      <c r="D173" s="295"/>
      <c r="E173" s="300"/>
      <c r="F173" s="300"/>
      <c r="G173" s="301"/>
      <c r="H173" s="296"/>
      <c r="I173" s="302"/>
      <c r="J173" s="297"/>
    </row>
    <row r="174" spans="1:10" ht="17.25" customHeight="1" x14ac:dyDescent="0.2">
      <c r="A174" s="316">
        <v>171</v>
      </c>
      <c r="B174" s="298"/>
      <c r="C174" s="299"/>
      <c r="D174" s="295"/>
      <c r="E174" s="300"/>
      <c r="F174" s="300"/>
      <c r="G174" s="301"/>
      <c r="H174" s="296"/>
      <c r="I174" s="302"/>
      <c r="J174" s="297"/>
    </row>
    <row r="175" spans="1:10" ht="17.25" customHeight="1" x14ac:dyDescent="0.2">
      <c r="A175" s="316">
        <v>172</v>
      </c>
      <c r="B175" s="298"/>
      <c r="C175" s="299"/>
      <c r="D175" s="295"/>
      <c r="E175" s="300"/>
      <c r="F175" s="300"/>
      <c r="G175" s="301"/>
      <c r="H175" s="296"/>
      <c r="I175" s="302"/>
      <c r="J175" s="297"/>
    </row>
    <row r="176" spans="1:10" ht="17.25" customHeight="1" x14ac:dyDescent="0.2">
      <c r="A176" s="316">
        <v>173</v>
      </c>
      <c r="B176" s="298"/>
      <c r="C176" s="299"/>
      <c r="D176" s="295"/>
      <c r="E176" s="300"/>
      <c r="F176" s="300"/>
      <c r="G176" s="301"/>
      <c r="H176" s="296"/>
      <c r="I176" s="302"/>
      <c r="J176" s="297"/>
    </row>
    <row r="177" spans="1:10" ht="17.25" customHeight="1" x14ac:dyDescent="0.2">
      <c r="A177" s="316">
        <v>174</v>
      </c>
      <c r="B177" s="298"/>
      <c r="C177" s="299"/>
      <c r="D177" s="295"/>
      <c r="E177" s="300"/>
      <c r="F177" s="300"/>
      <c r="G177" s="301"/>
      <c r="H177" s="296"/>
      <c r="I177" s="302"/>
      <c r="J177" s="297"/>
    </row>
    <row r="178" spans="1:10" ht="17.25" customHeight="1" x14ac:dyDescent="0.2">
      <c r="A178" s="316">
        <v>175</v>
      </c>
      <c r="B178" s="298"/>
      <c r="C178" s="299"/>
      <c r="D178" s="295"/>
      <c r="E178" s="300"/>
      <c r="F178" s="300"/>
      <c r="G178" s="301"/>
      <c r="H178" s="296"/>
      <c r="I178" s="302"/>
      <c r="J178" s="297"/>
    </row>
    <row r="179" spans="1:10" ht="17.25" customHeight="1" x14ac:dyDescent="0.2">
      <c r="A179" s="316">
        <v>176</v>
      </c>
      <c r="B179" s="298"/>
      <c r="C179" s="299"/>
      <c r="D179" s="295"/>
      <c r="E179" s="300"/>
      <c r="F179" s="300"/>
      <c r="G179" s="301"/>
      <c r="H179" s="296"/>
      <c r="I179" s="302"/>
      <c r="J179" s="297"/>
    </row>
    <row r="180" spans="1:10" ht="17.25" customHeight="1" x14ac:dyDescent="0.2">
      <c r="A180" s="316">
        <v>177</v>
      </c>
      <c r="B180" s="298"/>
      <c r="C180" s="299"/>
      <c r="D180" s="295"/>
      <c r="E180" s="300"/>
      <c r="F180" s="300"/>
      <c r="G180" s="301"/>
      <c r="H180" s="296"/>
      <c r="I180" s="302"/>
      <c r="J180" s="297"/>
    </row>
    <row r="181" spans="1:10" ht="17.25" customHeight="1" x14ac:dyDescent="0.2">
      <c r="A181" s="316">
        <v>178</v>
      </c>
      <c r="B181" s="298"/>
      <c r="C181" s="299"/>
      <c r="D181" s="295"/>
      <c r="E181" s="300"/>
      <c r="F181" s="300"/>
      <c r="G181" s="301"/>
      <c r="H181" s="296"/>
      <c r="I181" s="302"/>
      <c r="J181" s="297"/>
    </row>
    <row r="182" spans="1:10" ht="17.25" customHeight="1" x14ac:dyDescent="0.2">
      <c r="A182" s="316">
        <v>179</v>
      </c>
      <c r="B182" s="298"/>
      <c r="C182" s="299"/>
      <c r="D182" s="295"/>
      <c r="E182" s="300"/>
      <c r="F182" s="300"/>
      <c r="G182" s="301"/>
      <c r="H182" s="296"/>
      <c r="I182" s="302"/>
      <c r="J182" s="297"/>
    </row>
    <row r="183" spans="1:10" ht="17.25" customHeight="1" x14ac:dyDescent="0.2">
      <c r="A183" s="316">
        <v>180</v>
      </c>
      <c r="B183" s="298"/>
      <c r="C183" s="299"/>
      <c r="D183" s="295"/>
      <c r="E183" s="300"/>
      <c r="F183" s="300"/>
      <c r="G183" s="301"/>
      <c r="H183" s="296"/>
      <c r="I183" s="302"/>
      <c r="J183" s="297"/>
    </row>
    <row r="184" spans="1:10" ht="17.25" customHeight="1" x14ac:dyDescent="0.2">
      <c r="A184" s="316">
        <v>181</v>
      </c>
      <c r="B184" s="298"/>
      <c r="C184" s="299"/>
      <c r="D184" s="295"/>
      <c r="E184" s="300"/>
      <c r="F184" s="300"/>
      <c r="G184" s="301"/>
      <c r="H184" s="296"/>
      <c r="I184" s="302"/>
      <c r="J184" s="297"/>
    </row>
    <row r="185" spans="1:10" ht="17.25" customHeight="1" x14ac:dyDescent="0.2">
      <c r="A185" s="316">
        <v>182</v>
      </c>
      <c r="B185" s="298"/>
      <c r="C185" s="299"/>
      <c r="D185" s="295"/>
      <c r="E185" s="300"/>
      <c r="F185" s="300"/>
      <c r="G185" s="301"/>
      <c r="H185" s="296"/>
      <c r="I185" s="302"/>
      <c r="J185" s="297"/>
    </row>
    <row r="186" spans="1:10" ht="17.25" customHeight="1" x14ac:dyDescent="0.2">
      <c r="A186" s="316">
        <v>183</v>
      </c>
      <c r="B186" s="298"/>
      <c r="C186" s="299"/>
      <c r="D186" s="295"/>
      <c r="E186" s="300"/>
      <c r="F186" s="300"/>
      <c r="G186" s="301"/>
      <c r="H186" s="296"/>
      <c r="I186" s="302"/>
      <c r="J186" s="297"/>
    </row>
    <row r="187" spans="1:10" ht="17.25" customHeight="1" x14ac:dyDescent="0.2">
      <c r="A187" s="316">
        <v>184</v>
      </c>
      <c r="B187" s="298"/>
      <c r="C187" s="299"/>
      <c r="D187" s="295"/>
      <c r="E187" s="300"/>
      <c r="F187" s="300"/>
      <c r="G187" s="301"/>
      <c r="H187" s="296"/>
      <c r="I187" s="302"/>
      <c r="J187" s="297"/>
    </row>
    <row r="188" spans="1:10" ht="17.25" customHeight="1" x14ac:dyDescent="0.2">
      <c r="A188" s="316">
        <v>185</v>
      </c>
      <c r="B188" s="298"/>
      <c r="C188" s="299"/>
      <c r="D188" s="295"/>
      <c r="E188" s="300"/>
      <c r="F188" s="300"/>
      <c r="G188" s="301"/>
      <c r="H188" s="296"/>
      <c r="I188" s="302"/>
      <c r="J188" s="297"/>
    </row>
    <row r="189" spans="1:10" ht="17.25" customHeight="1" x14ac:dyDescent="0.2">
      <c r="A189" s="316">
        <v>186</v>
      </c>
      <c r="B189" s="298"/>
      <c r="C189" s="299"/>
      <c r="D189" s="295"/>
      <c r="E189" s="300"/>
      <c r="F189" s="300"/>
      <c r="G189" s="301"/>
      <c r="H189" s="296"/>
      <c r="I189" s="302"/>
      <c r="J189" s="297"/>
    </row>
    <row r="190" spans="1:10" ht="17.25" customHeight="1" x14ac:dyDescent="0.2">
      <c r="A190" s="316">
        <v>187</v>
      </c>
      <c r="B190" s="298"/>
      <c r="C190" s="299"/>
      <c r="D190" s="295"/>
      <c r="E190" s="300"/>
      <c r="F190" s="300"/>
      <c r="G190" s="301"/>
      <c r="H190" s="296"/>
      <c r="I190" s="302"/>
      <c r="J190" s="297"/>
    </row>
    <row r="191" spans="1:10" ht="17.25" customHeight="1" x14ac:dyDescent="0.2">
      <c r="A191" s="316">
        <v>188</v>
      </c>
      <c r="B191" s="298"/>
      <c r="C191" s="299"/>
      <c r="D191" s="295"/>
      <c r="E191" s="300"/>
      <c r="F191" s="300"/>
      <c r="G191" s="301"/>
      <c r="H191" s="296"/>
      <c r="I191" s="302"/>
      <c r="J191" s="297"/>
    </row>
    <row r="192" spans="1:10" ht="17.25" customHeight="1" x14ac:dyDescent="0.2">
      <c r="A192" s="316">
        <v>189</v>
      </c>
      <c r="B192" s="298"/>
      <c r="C192" s="299"/>
      <c r="D192" s="295"/>
      <c r="E192" s="300"/>
      <c r="F192" s="300"/>
      <c r="G192" s="301"/>
      <c r="H192" s="296"/>
      <c r="I192" s="302"/>
      <c r="J192" s="297"/>
    </row>
    <row r="193" spans="1:10" ht="17.25" customHeight="1" x14ac:dyDescent="0.2">
      <c r="A193" s="316">
        <v>190</v>
      </c>
      <c r="B193" s="298"/>
      <c r="C193" s="299"/>
      <c r="D193" s="295"/>
      <c r="E193" s="300"/>
      <c r="F193" s="300"/>
      <c r="G193" s="301"/>
      <c r="H193" s="296"/>
      <c r="I193" s="302"/>
      <c r="J193" s="297"/>
    </row>
    <row r="194" spans="1:10" ht="17.25" customHeight="1" x14ac:dyDescent="0.2">
      <c r="A194" s="316">
        <v>191</v>
      </c>
      <c r="B194" s="298"/>
      <c r="C194" s="299"/>
      <c r="D194" s="295"/>
      <c r="E194" s="300"/>
      <c r="F194" s="300"/>
      <c r="G194" s="301"/>
      <c r="H194" s="296"/>
      <c r="I194" s="302"/>
      <c r="J194" s="297"/>
    </row>
    <row r="195" spans="1:10" ht="17.25" customHeight="1" x14ac:dyDescent="0.2">
      <c r="A195" s="316">
        <v>192</v>
      </c>
      <c r="B195" s="298"/>
      <c r="C195" s="299"/>
      <c r="D195" s="295"/>
      <c r="E195" s="300"/>
      <c r="F195" s="300"/>
      <c r="G195" s="301"/>
      <c r="H195" s="296"/>
      <c r="I195" s="302"/>
      <c r="J195" s="297"/>
    </row>
    <row r="196" spans="1:10" ht="17.25" customHeight="1" x14ac:dyDescent="0.2">
      <c r="A196" s="316">
        <v>193</v>
      </c>
      <c r="B196" s="298"/>
      <c r="C196" s="299"/>
      <c r="D196" s="295"/>
      <c r="E196" s="300"/>
      <c r="F196" s="300"/>
      <c r="G196" s="301"/>
      <c r="H196" s="296"/>
      <c r="I196" s="302"/>
      <c r="J196" s="297"/>
    </row>
    <row r="197" spans="1:10" ht="17.25" customHeight="1" x14ac:dyDescent="0.2">
      <c r="A197" s="316">
        <v>194</v>
      </c>
      <c r="B197" s="298"/>
      <c r="C197" s="299"/>
      <c r="D197" s="295"/>
      <c r="E197" s="300"/>
      <c r="F197" s="300"/>
      <c r="G197" s="301"/>
      <c r="H197" s="296"/>
      <c r="I197" s="302"/>
      <c r="J197" s="297"/>
    </row>
    <row r="198" spans="1:10" ht="17.25" customHeight="1" x14ac:dyDescent="0.2">
      <c r="A198" s="316">
        <v>195</v>
      </c>
      <c r="B198" s="298"/>
      <c r="C198" s="299"/>
      <c r="D198" s="295"/>
      <c r="E198" s="300"/>
      <c r="F198" s="300"/>
      <c r="G198" s="301"/>
      <c r="H198" s="296"/>
      <c r="I198" s="302"/>
      <c r="J198" s="297"/>
    </row>
    <row r="199" spans="1:10" ht="17.25" customHeight="1" x14ac:dyDescent="0.2">
      <c r="A199" s="316">
        <v>196</v>
      </c>
      <c r="B199" s="298"/>
      <c r="C199" s="299"/>
      <c r="D199" s="295"/>
      <c r="E199" s="300"/>
      <c r="F199" s="300"/>
      <c r="G199" s="301"/>
      <c r="H199" s="296"/>
      <c r="I199" s="302"/>
      <c r="J199" s="297"/>
    </row>
    <row r="200" spans="1:10" ht="17.25" customHeight="1" x14ac:dyDescent="0.2">
      <c r="A200" s="316">
        <v>197</v>
      </c>
      <c r="B200" s="298"/>
      <c r="C200" s="299"/>
      <c r="D200" s="295"/>
      <c r="E200" s="300"/>
      <c r="F200" s="300"/>
      <c r="G200" s="301"/>
      <c r="H200" s="296"/>
      <c r="I200" s="302"/>
      <c r="J200" s="297"/>
    </row>
    <row r="201" spans="1:10" ht="17.25" customHeight="1" x14ac:dyDescent="0.2">
      <c r="A201" s="316">
        <v>198</v>
      </c>
      <c r="B201" s="298"/>
      <c r="C201" s="299"/>
      <c r="D201" s="295"/>
      <c r="E201" s="300"/>
      <c r="F201" s="300"/>
      <c r="G201" s="301"/>
      <c r="H201" s="296"/>
      <c r="I201" s="302"/>
      <c r="J201" s="297"/>
    </row>
    <row r="202" spans="1:10" ht="17.25" customHeight="1" x14ac:dyDescent="0.2">
      <c r="A202" s="316">
        <v>199</v>
      </c>
      <c r="B202" s="298"/>
      <c r="C202" s="299"/>
      <c r="D202" s="295"/>
      <c r="E202" s="300"/>
      <c r="F202" s="300"/>
      <c r="G202" s="301"/>
      <c r="H202" s="296"/>
      <c r="I202" s="302"/>
      <c r="J202" s="297"/>
    </row>
    <row r="203" spans="1:10" ht="17.25" customHeight="1" x14ac:dyDescent="0.2">
      <c r="A203" s="316">
        <v>200</v>
      </c>
      <c r="B203" s="298"/>
      <c r="C203" s="299"/>
      <c r="D203" s="295"/>
      <c r="E203" s="300"/>
      <c r="F203" s="300"/>
      <c r="G203" s="301"/>
      <c r="H203" s="296"/>
      <c r="I203" s="302"/>
      <c r="J203" s="297"/>
    </row>
    <row r="204" spans="1:10" ht="17.25" customHeight="1" x14ac:dyDescent="0.2">
      <c r="A204" s="316">
        <v>201</v>
      </c>
      <c r="B204" s="298"/>
      <c r="C204" s="299"/>
      <c r="D204" s="295"/>
      <c r="E204" s="300"/>
      <c r="F204" s="300"/>
      <c r="G204" s="301"/>
      <c r="H204" s="296"/>
      <c r="I204" s="302"/>
      <c r="J204" s="297"/>
    </row>
    <row r="205" spans="1:10" ht="17.25" customHeight="1" x14ac:dyDescent="0.2">
      <c r="A205" s="316">
        <v>202</v>
      </c>
      <c r="B205" s="298"/>
      <c r="C205" s="299"/>
      <c r="D205" s="295"/>
      <c r="E205" s="300"/>
      <c r="F205" s="300"/>
      <c r="G205" s="301"/>
      <c r="H205" s="296"/>
      <c r="I205" s="302"/>
      <c r="J205" s="297"/>
    </row>
    <row r="206" spans="1:10" ht="17.25" customHeight="1" x14ac:dyDescent="0.2">
      <c r="A206" s="316">
        <v>203</v>
      </c>
      <c r="B206" s="298"/>
      <c r="C206" s="299"/>
      <c r="D206" s="295"/>
      <c r="E206" s="300"/>
      <c r="F206" s="300"/>
      <c r="G206" s="301"/>
      <c r="H206" s="296"/>
      <c r="I206" s="302"/>
      <c r="J206" s="297"/>
    </row>
    <row r="207" spans="1:10" ht="17.25" customHeight="1" x14ac:dyDescent="0.2">
      <c r="A207" s="316">
        <v>204</v>
      </c>
      <c r="B207" s="298"/>
      <c r="C207" s="299"/>
      <c r="D207" s="295"/>
      <c r="E207" s="300"/>
      <c r="F207" s="300"/>
      <c r="G207" s="301"/>
      <c r="H207" s="296"/>
      <c r="I207" s="302"/>
      <c r="J207" s="297"/>
    </row>
    <row r="208" spans="1:10" ht="17.25" customHeight="1" x14ac:dyDescent="0.2">
      <c r="A208" s="316">
        <v>205</v>
      </c>
      <c r="B208" s="298"/>
      <c r="C208" s="299"/>
      <c r="D208" s="295"/>
      <c r="E208" s="300"/>
      <c r="F208" s="300"/>
      <c r="G208" s="301"/>
      <c r="H208" s="296"/>
      <c r="I208" s="302"/>
      <c r="J208" s="297"/>
    </row>
    <row r="209" spans="1:10" ht="17.25" customHeight="1" x14ac:dyDescent="0.2">
      <c r="A209" s="316">
        <v>206</v>
      </c>
      <c r="B209" s="298"/>
      <c r="C209" s="299"/>
      <c r="D209" s="295"/>
      <c r="E209" s="300"/>
      <c r="F209" s="300"/>
      <c r="G209" s="301"/>
      <c r="H209" s="296"/>
      <c r="I209" s="302"/>
      <c r="J209" s="297"/>
    </row>
    <row r="210" spans="1:10" ht="17.25" customHeight="1" x14ac:dyDescent="0.2">
      <c r="A210" s="316">
        <v>207</v>
      </c>
      <c r="B210" s="298"/>
      <c r="C210" s="299"/>
      <c r="D210" s="295"/>
      <c r="E210" s="300"/>
      <c r="F210" s="300"/>
      <c r="G210" s="301"/>
      <c r="H210" s="296"/>
      <c r="I210" s="302"/>
      <c r="J210" s="297"/>
    </row>
    <row r="211" spans="1:10" ht="17.25" customHeight="1" x14ac:dyDescent="0.2">
      <c r="A211" s="316">
        <v>208</v>
      </c>
      <c r="B211" s="298"/>
      <c r="C211" s="299"/>
      <c r="D211" s="295"/>
      <c r="E211" s="300"/>
      <c r="F211" s="300"/>
      <c r="G211" s="301"/>
      <c r="H211" s="296"/>
      <c r="I211" s="302"/>
      <c r="J211" s="297"/>
    </row>
    <row r="212" spans="1:10" ht="17.25" customHeight="1" x14ac:dyDescent="0.2">
      <c r="A212" s="316">
        <v>209</v>
      </c>
      <c r="B212" s="298"/>
      <c r="C212" s="299"/>
      <c r="D212" s="295"/>
      <c r="E212" s="300"/>
      <c r="F212" s="300"/>
      <c r="G212" s="301"/>
      <c r="H212" s="296"/>
      <c r="I212" s="302"/>
      <c r="J212" s="297"/>
    </row>
    <row r="213" spans="1:10" ht="17.25" customHeight="1" x14ac:dyDescent="0.2">
      <c r="A213" s="316">
        <v>210</v>
      </c>
      <c r="B213" s="298"/>
      <c r="C213" s="299"/>
      <c r="D213" s="295"/>
      <c r="E213" s="300"/>
      <c r="F213" s="300"/>
      <c r="G213" s="301"/>
      <c r="H213" s="296"/>
      <c r="I213" s="302"/>
      <c r="J213" s="297"/>
    </row>
    <row r="214" spans="1:10" ht="17.25" customHeight="1" x14ac:dyDescent="0.2">
      <c r="A214" s="316">
        <v>211</v>
      </c>
      <c r="B214" s="298"/>
      <c r="C214" s="299"/>
      <c r="D214" s="295"/>
      <c r="E214" s="300"/>
      <c r="F214" s="300"/>
      <c r="G214" s="301"/>
      <c r="H214" s="296"/>
      <c r="I214" s="302"/>
      <c r="J214" s="297"/>
    </row>
    <row r="215" spans="1:10" ht="17.25" customHeight="1" x14ac:dyDescent="0.2">
      <c r="A215" s="316">
        <v>212</v>
      </c>
      <c r="B215" s="298"/>
      <c r="C215" s="299"/>
      <c r="D215" s="295"/>
      <c r="E215" s="300"/>
      <c r="F215" s="300"/>
      <c r="G215" s="301"/>
      <c r="H215" s="296"/>
      <c r="I215" s="302"/>
      <c r="J215" s="297"/>
    </row>
    <row r="216" spans="1:10" ht="17.25" customHeight="1" x14ac:dyDescent="0.2">
      <c r="A216" s="316">
        <v>213</v>
      </c>
      <c r="B216" s="298"/>
      <c r="C216" s="299"/>
      <c r="D216" s="295"/>
      <c r="E216" s="300"/>
      <c r="F216" s="300"/>
      <c r="G216" s="301"/>
      <c r="H216" s="296"/>
      <c r="I216" s="302"/>
      <c r="J216" s="297"/>
    </row>
    <row r="217" spans="1:10" ht="17.25" customHeight="1" x14ac:dyDescent="0.2">
      <c r="A217" s="316">
        <v>214</v>
      </c>
      <c r="B217" s="298"/>
      <c r="C217" s="299"/>
      <c r="D217" s="295"/>
      <c r="E217" s="300"/>
      <c r="F217" s="300"/>
      <c r="G217" s="301"/>
      <c r="H217" s="296"/>
      <c r="I217" s="302"/>
      <c r="J217" s="297"/>
    </row>
    <row r="218" spans="1:10" ht="17.25" customHeight="1" x14ac:dyDescent="0.2">
      <c r="A218" s="316">
        <v>215</v>
      </c>
      <c r="B218" s="298"/>
      <c r="C218" s="299"/>
      <c r="D218" s="295"/>
      <c r="E218" s="300"/>
      <c r="F218" s="300"/>
      <c r="G218" s="301"/>
      <c r="H218" s="296"/>
      <c r="I218" s="302"/>
      <c r="J218" s="297"/>
    </row>
    <row r="219" spans="1:10" ht="17.25" customHeight="1" x14ac:dyDescent="0.2">
      <c r="A219" s="316">
        <v>216</v>
      </c>
      <c r="B219" s="298"/>
      <c r="C219" s="299"/>
      <c r="D219" s="295"/>
      <c r="E219" s="300"/>
      <c r="F219" s="300"/>
      <c r="G219" s="301"/>
      <c r="H219" s="296"/>
      <c r="I219" s="302"/>
      <c r="J219" s="297"/>
    </row>
    <row r="220" spans="1:10" ht="17.25" customHeight="1" x14ac:dyDescent="0.2">
      <c r="A220" s="316">
        <v>217</v>
      </c>
      <c r="B220" s="298"/>
      <c r="C220" s="299"/>
      <c r="D220" s="295"/>
      <c r="E220" s="300"/>
      <c r="F220" s="300"/>
      <c r="G220" s="301"/>
      <c r="H220" s="296"/>
      <c r="I220" s="302"/>
      <c r="J220" s="297"/>
    </row>
    <row r="221" spans="1:10" ht="17.25" customHeight="1" x14ac:dyDescent="0.2">
      <c r="A221" s="316">
        <v>218</v>
      </c>
      <c r="B221" s="298"/>
      <c r="C221" s="299"/>
      <c r="D221" s="295"/>
      <c r="E221" s="300"/>
      <c r="F221" s="300"/>
      <c r="G221" s="301"/>
      <c r="H221" s="296"/>
      <c r="I221" s="302"/>
      <c r="J221" s="297"/>
    </row>
    <row r="222" spans="1:10" ht="17.25" customHeight="1" x14ac:dyDescent="0.2">
      <c r="A222" s="316">
        <v>219</v>
      </c>
      <c r="B222" s="298"/>
      <c r="C222" s="299"/>
      <c r="D222" s="295"/>
      <c r="E222" s="300"/>
      <c r="F222" s="300"/>
      <c r="G222" s="301"/>
      <c r="H222" s="296"/>
      <c r="I222" s="302"/>
      <c r="J222" s="297"/>
    </row>
    <row r="223" spans="1:10" ht="17.25" customHeight="1" x14ac:dyDescent="0.2">
      <c r="A223" s="316">
        <v>220</v>
      </c>
      <c r="B223" s="298"/>
      <c r="C223" s="299"/>
      <c r="D223" s="295"/>
      <c r="E223" s="300"/>
      <c r="F223" s="300"/>
      <c r="G223" s="301"/>
      <c r="H223" s="296"/>
      <c r="I223" s="302"/>
      <c r="J223" s="297"/>
    </row>
    <row r="224" spans="1:10" ht="17.25" customHeight="1" x14ac:dyDescent="0.2">
      <c r="A224" s="316">
        <v>221</v>
      </c>
      <c r="B224" s="298"/>
      <c r="C224" s="299"/>
      <c r="D224" s="295"/>
      <c r="E224" s="300"/>
      <c r="F224" s="300"/>
      <c r="G224" s="301"/>
      <c r="H224" s="296"/>
      <c r="I224" s="302"/>
      <c r="J224" s="297"/>
    </row>
    <row r="225" spans="1:10" ht="17.25" customHeight="1" x14ac:dyDescent="0.2">
      <c r="A225" s="316">
        <v>222</v>
      </c>
      <c r="B225" s="298"/>
      <c r="C225" s="299"/>
      <c r="D225" s="295"/>
      <c r="E225" s="300"/>
      <c r="F225" s="300"/>
      <c r="G225" s="301"/>
      <c r="H225" s="296"/>
      <c r="I225" s="302"/>
      <c r="J225" s="297"/>
    </row>
    <row r="226" spans="1:10" ht="17.25" customHeight="1" x14ac:dyDescent="0.2">
      <c r="A226" s="316">
        <v>223</v>
      </c>
      <c r="B226" s="298"/>
      <c r="C226" s="299"/>
      <c r="D226" s="295"/>
      <c r="E226" s="300"/>
      <c r="F226" s="300"/>
      <c r="G226" s="301"/>
      <c r="H226" s="296"/>
      <c r="I226" s="302"/>
      <c r="J226" s="297"/>
    </row>
    <row r="227" spans="1:10" ht="17.25" customHeight="1" x14ac:dyDescent="0.2">
      <c r="A227" s="316">
        <v>224</v>
      </c>
      <c r="B227" s="298"/>
      <c r="C227" s="299"/>
      <c r="D227" s="295"/>
      <c r="E227" s="300"/>
      <c r="F227" s="300"/>
      <c r="G227" s="301"/>
      <c r="H227" s="296"/>
      <c r="I227" s="302"/>
      <c r="J227" s="297"/>
    </row>
    <row r="228" spans="1:10" ht="17.25" customHeight="1" x14ac:dyDescent="0.2">
      <c r="A228" s="316">
        <v>225</v>
      </c>
      <c r="B228" s="298"/>
      <c r="C228" s="299"/>
      <c r="D228" s="295"/>
      <c r="E228" s="300"/>
      <c r="F228" s="300"/>
      <c r="G228" s="301"/>
      <c r="H228" s="296"/>
      <c r="I228" s="302"/>
      <c r="J228" s="297"/>
    </row>
    <row r="229" spans="1:10" ht="17.25" customHeight="1" x14ac:dyDescent="0.2">
      <c r="A229" s="316">
        <v>226</v>
      </c>
      <c r="B229" s="298"/>
      <c r="C229" s="299"/>
      <c r="D229" s="295"/>
      <c r="E229" s="300"/>
      <c r="F229" s="300"/>
      <c r="G229" s="301"/>
      <c r="H229" s="296"/>
      <c r="I229" s="302"/>
      <c r="J229" s="297"/>
    </row>
    <row r="230" spans="1:10" ht="17.25" customHeight="1" x14ac:dyDescent="0.2">
      <c r="A230" s="316">
        <v>227</v>
      </c>
      <c r="B230" s="298"/>
      <c r="C230" s="299"/>
      <c r="D230" s="295"/>
      <c r="E230" s="300"/>
      <c r="F230" s="300"/>
      <c r="G230" s="301"/>
      <c r="H230" s="296"/>
      <c r="I230" s="302"/>
      <c r="J230" s="297"/>
    </row>
    <row r="231" spans="1:10" ht="17.25" customHeight="1" x14ac:dyDescent="0.2">
      <c r="A231" s="316">
        <v>228</v>
      </c>
      <c r="B231" s="298"/>
      <c r="C231" s="299"/>
      <c r="D231" s="295"/>
      <c r="E231" s="300"/>
      <c r="F231" s="300"/>
      <c r="G231" s="301"/>
      <c r="H231" s="296"/>
      <c r="I231" s="302"/>
      <c r="J231" s="297"/>
    </row>
    <row r="232" spans="1:10" ht="17.25" customHeight="1" x14ac:dyDescent="0.2">
      <c r="A232" s="316">
        <v>229</v>
      </c>
      <c r="B232" s="298"/>
      <c r="C232" s="299"/>
      <c r="D232" s="295"/>
      <c r="E232" s="300"/>
      <c r="F232" s="300"/>
      <c r="G232" s="301"/>
      <c r="H232" s="296"/>
      <c r="I232" s="302"/>
      <c r="J232" s="297"/>
    </row>
    <row r="233" spans="1:10" ht="17.25" customHeight="1" x14ac:dyDescent="0.2">
      <c r="A233" s="316">
        <v>230</v>
      </c>
      <c r="B233" s="298"/>
      <c r="C233" s="299"/>
      <c r="D233" s="295"/>
      <c r="E233" s="300"/>
      <c r="F233" s="300"/>
      <c r="G233" s="301"/>
      <c r="H233" s="296"/>
      <c r="I233" s="302"/>
      <c r="J233" s="297"/>
    </row>
    <row r="234" spans="1:10" ht="17.25" customHeight="1" x14ac:dyDescent="0.2">
      <c r="A234" s="316">
        <v>231</v>
      </c>
      <c r="B234" s="298"/>
      <c r="C234" s="299"/>
      <c r="D234" s="295"/>
      <c r="E234" s="300"/>
      <c r="F234" s="300"/>
      <c r="G234" s="301"/>
      <c r="H234" s="296"/>
      <c r="I234" s="302"/>
      <c r="J234" s="297"/>
    </row>
    <row r="235" spans="1:10" ht="17.25" customHeight="1" x14ac:dyDescent="0.2">
      <c r="A235" s="316">
        <v>232</v>
      </c>
      <c r="B235" s="298"/>
      <c r="C235" s="299"/>
      <c r="D235" s="295"/>
      <c r="E235" s="300"/>
      <c r="F235" s="300"/>
      <c r="G235" s="301"/>
      <c r="H235" s="296"/>
      <c r="I235" s="302"/>
      <c r="J235" s="297"/>
    </row>
    <row r="236" spans="1:10" ht="17.25" customHeight="1" x14ac:dyDescent="0.2">
      <c r="A236" s="316">
        <v>233</v>
      </c>
      <c r="B236" s="298"/>
      <c r="C236" s="299"/>
      <c r="D236" s="295"/>
      <c r="E236" s="300"/>
      <c r="F236" s="300"/>
      <c r="G236" s="301"/>
      <c r="H236" s="296"/>
      <c r="I236" s="302"/>
      <c r="J236" s="297"/>
    </row>
    <row r="237" spans="1:10" ht="17.25" customHeight="1" x14ac:dyDescent="0.2">
      <c r="A237" s="316">
        <v>234</v>
      </c>
      <c r="B237" s="298"/>
      <c r="C237" s="299"/>
      <c r="D237" s="295"/>
      <c r="E237" s="300"/>
      <c r="F237" s="300"/>
      <c r="G237" s="301"/>
      <c r="H237" s="296"/>
      <c r="I237" s="302"/>
      <c r="J237" s="297"/>
    </row>
    <row r="238" spans="1:10" ht="17.25" customHeight="1" x14ac:dyDescent="0.2">
      <c r="A238" s="316">
        <v>235</v>
      </c>
      <c r="B238" s="298"/>
      <c r="C238" s="299"/>
      <c r="D238" s="295"/>
      <c r="E238" s="300"/>
      <c r="F238" s="300"/>
      <c r="G238" s="301"/>
      <c r="H238" s="296"/>
      <c r="I238" s="302"/>
      <c r="J238" s="297"/>
    </row>
    <row r="239" spans="1:10" ht="17.25" customHeight="1" x14ac:dyDescent="0.2">
      <c r="A239" s="316">
        <v>236</v>
      </c>
      <c r="B239" s="298"/>
      <c r="C239" s="299"/>
      <c r="D239" s="295"/>
      <c r="E239" s="300"/>
      <c r="F239" s="300"/>
      <c r="G239" s="301"/>
      <c r="H239" s="296"/>
      <c r="I239" s="302"/>
      <c r="J239" s="297"/>
    </row>
    <row r="240" spans="1:10" ht="17.25" customHeight="1" x14ac:dyDescent="0.2">
      <c r="A240" s="316">
        <v>237</v>
      </c>
      <c r="B240" s="298"/>
      <c r="C240" s="299"/>
      <c r="D240" s="295"/>
      <c r="E240" s="300"/>
      <c r="F240" s="300"/>
      <c r="G240" s="301"/>
      <c r="H240" s="296"/>
      <c r="I240" s="302"/>
      <c r="J240" s="297"/>
    </row>
    <row r="241" spans="1:10" ht="17.25" customHeight="1" x14ac:dyDescent="0.2">
      <c r="A241" s="316">
        <v>238</v>
      </c>
      <c r="B241" s="298"/>
      <c r="C241" s="299"/>
      <c r="D241" s="295"/>
      <c r="E241" s="300"/>
      <c r="F241" s="300"/>
      <c r="G241" s="301"/>
      <c r="H241" s="296"/>
      <c r="I241" s="302"/>
      <c r="J241" s="297"/>
    </row>
    <row r="242" spans="1:10" ht="17.25" customHeight="1" x14ac:dyDescent="0.2">
      <c r="A242" s="316">
        <v>239</v>
      </c>
      <c r="B242" s="298"/>
      <c r="C242" s="299"/>
      <c r="D242" s="295"/>
      <c r="E242" s="300"/>
      <c r="F242" s="300"/>
      <c r="G242" s="301"/>
      <c r="H242" s="296"/>
      <c r="I242" s="302"/>
      <c r="J242" s="297"/>
    </row>
    <row r="243" spans="1:10" ht="17.25" customHeight="1" x14ac:dyDescent="0.2">
      <c r="A243" s="316">
        <v>240</v>
      </c>
      <c r="B243" s="298"/>
      <c r="C243" s="299"/>
      <c r="D243" s="295"/>
      <c r="E243" s="300"/>
      <c r="F243" s="300"/>
      <c r="G243" s="301"/>
      <c r="H243" s="296"/>
      <c r="I243" s="302"/>
      <c r="J243" s="297"/>
    </row>
    <row r="244" spans="1:10" ht="17.25" customHeight="1" x14ac:dyDescent="0.2">
      <c r="A244" s="316">
        <v>241</v>
      </c>
      <c r="B244" s="298"/>
      <c r="C244" s="299"/>
      <c r="D244" s="295"/>
      <c r="E244" s="300"/>
      <c r="F244" s="300"/>
      <c r="G244" s="301"/>
      <c r="H244" s="296"/>
      <c r="I244" s="302"/>
      <c r="J244" s="297"/>
    </row>
    <row r="245" spans="1:10" ht="17.25" customHeight="1" x14ac:dyDescent="0.2">
      <c r="A245" s="316">
        <v>242</v>
      </c>
      <c r="B245" s="298"/>
      <c r="C245" s="299"/>
      <c r="D245" s="295"/>
      <c r="E245" s="300"/>
      <c r="F245" s="300"/>
      <c r="G245" s="301"/>
      <c r="H245" s="296"/>
      <c r="I245" s="302"/>
      <c r="J245" s="297"/>
    </row>
    <row r="246" spans="1:10" ht="17.25" customHeight="1" x14ac:dyDescent="0.2">
      <c r="A246" s="316">
        <v>243</v>
      </c>
      <c r="B246" s="298"/>
      <c r="C246" s="299"/>
      <c r="D246" s="295"/>
      <c r="E246" s="300"/>
      <c r="F246" s="300"/>
      <c r="G246" s="301"/>
      <c r="H246" s="296"/>
      <c r="I246" s="302"/>
      <c r="J246" s="297"/>
    </row>
    <row r="247" spans="1:10" ht="17.25" customHeight="1" x14ac:dyDescent="0.2">
      <c r="A247" s="316">
        <v>244</v>
      </c>
      <c r="B247" s="298"/>
      <c r="C247" s="299"/>
      <c r="D247" s="295"/>
      <c r="E247" s="300"/>
      <c r="F247" s="300"/>
      <c r="G247" s="301"/>
      <c r="H247" s="296"/>
      <c r="I247" s="302"/>
      <c r="J247" s="297"/>
    </row>
    <row r="248" spans="1:10" ht="17.25" customHeight="1" x14ac:dyDescent="0.2">
      <c r="A248" s="316">
        <v>245</v>
      </c>
      <c r="B248" s="298"/>
      <c r="C248" s="299"/>
      <c r="D248" s="295"/>
      <c r="E248" s="300"/>
      <c r="F248" s="300"/>
      <c r="G248" s="301"/>
      <c r="H248" s="296"/>
      <c r="I248" s="302"/>
      <c r="J248" s="297"/>
    </row>
    <row r="249" spans="1:10" ht="17.25" customHeight="1" x14ac:dyDescent="0.2">
      <c r="A249" s="316">
        <v>246</v>
      </c>
      <c r="B249" s="298"/>
      <c r="C249" s="299"/>
      <c r="D249" s="295"/>
      <c r="E249" s="300"/>
      <c r="F249" s="300"/>
      <c r="G249" s="301"/>
      <c r="H249" s="296"/>
      <c r="I249" s="302"/>
      <c r="J249" s="297"/>
    </row>
    <row r="250" spans="1:10" ht="17.25" customHeight="1" x14ac:dyDescent="0.2">
      <c r="A250" s="316">
        <v>247</v>
      </c>
      <c r="B250" s="298"/>
      <c r="C250" s="299"/>
      <c r="D250" s="295"/>
      <c r="E250" s="300"/>
      <c r="F250" s="300"/>
      <c r="G250" s="301"/>
      <c r="H250" s="296"/>
      <c r="I250" s="302"/>
      <c r="J250" s="297"/>
    </row>
    <row r="251" spans="1:10" ht="17.25" customHeight="1" x14ac:dyDescent="0.2">
      <c r="A251" s="316">
        <v>248</v>
      </c>
      <c r="B251" s="298"/>
      <c r="C251" s="299"/>
      <c r="D251" s="295"/>
      <c r="E251" s="300"/>
      <c r="F251" s="300"/>
      <c r="G251" s="301"/>
      <c r="H251" s="296"/>
      <c r="I251" s="302"/>
      <c r="J251" s="297"/>
    </row>
    <row r="252" spans="1:10" ht="17.25" customHeight="1" x14ac:dyDescent="0.2">
      <c r="A252" s="316">
        <v>249</v>
      </c>
      <c r="B252" s="298"/>
      <c r="C252" s="299"/>
      <c r="D252" s="295"/>
      <c r="E252" s="300"/>
      <c r="F252" s="300"/>
      <c r="G252" s="301"/>
      <c r="H252" s="296"/>
      <c r="I252" s="302"/>
      <c r="J252" s="297"/>
    </row>
    <row r="253" spans="1:10" ht="17.25" customHeight="1" x14ac:dyDescent="0.2">
      <c r="A253" s="316">
        <v>250</v>
      </c>
      <c r="B253" s="298"/>
      <c r="C253" s="299"/>
      <c r="D253" s="295"/>
      <c r="E253" s="300"/>
      <c r="F253" s="300"/>
      <c r="G253" s="301"/>
      <c r="H253" s="296"/>
      <c r="I253" s="302"/>
      <c r="J253" s="297"/>
    </row>
    <row r="254" spans="1:10" ht="17.25" customHeight="1" x14ac:dyDescent="0.2">
      <c r="A254" s="316">
        <v>251</v>
      </c>
      <c r="B254" s="298"/>
      <c r="C254" s="299"/>
      <c r="D254" s="295"/>
      <c r="E254" s="300"/>
      <c r="F254" s="300"/>
      <c r="G254" s="301"/>
      <c r="H254" s="296"/>
      <c r="I254" s="302"/>
      <c r="J254" s="297"/>
    </row>
    <row r="255" spans="1:10" ht="17.25" customHeight="1" x14ac:dyDescent="0.2">
      <c r="A255" s="316">
        <v>252</v>
      </c>
      <c r="B255" s="298"/>
      <c r="C255" s="299"/>
      <c r="D255" s="295"/>
      <c r="E255" s="300"/>
      <c r="F255" s="300"/>
      <c r="G255" s="301"/>
      <c r="H255" s="296"/>
      <c r="I255" s="302"/>
      <c r="J255" s="297"/>
    </row>
    <row r="256" spans="1:10" ht="17.25" customHeight="1" x14ac:dyDescent="0.2">
      <c r="A256" s="316">
        <v>253</v>
      </c>
      <c r="B256" s="298"/>
      <c r="C256" s="299"/>
      <c r="D256" s="295"/>
      <c r="E256" s="300"/>
      <c r="F256" s="300"/>
      <c r="G256" s="301"/>
      <c r="H256" s="296"/>
      <c r="I256" s="302"/>
      <c r="J256" s="297"/>
    </row>
    <row r="257" spans="1:10" ht="17.25" customHeight="1" x14ac:dyDescent="0.2">
      <c r="A257" s="316">
        <v>254</v>
      </c>
      <c r="B257" s="298"/>
      <c r="C257" s="299"/>
      <c r="D257" s="295"/>
      <c r="E257" s="300"/>
      <c r="F257" s="300"/>
      <c r="G257" s="301"/>
      <c r="H257" s="296"/>
      <c r="I257" s="302"/>
      <c r="J257" s="297"/>
    </row>
    <row r="258" spans="1:10" ht="17.25" customHeight="1" x14ac:dyDescent="0.2">
      <c r="A258" s="316">
        <v>255</v>
      </c>
      <c r="B258" s="298"/>
      <c r="C258" s="299"/>
      <c r="D258" s="295"/>
      <c r="E258" s="300"/>
      <c r="F258" s="300"/>
      <c r="G258" s="301"/>
      <c r="H258" s="296"/>
      <c r="I258" s="302"/>
      <c r="J258" s="297"/>
    </row>
    <row r="259" spans="1:10" ht="17.25" customHeight="1" x14ac:dyDescent="0.2">
      <c r="A259" s="316">
        <v>256</v>
      </c>
      <c r="B259" s="298"/>
      <c r="C259" s="299"/>
      <c r="D259" s="295"/>
      <c r="E259" s="300"/>
      <c r="F259" s="300"/>
      <c r="G259" s="301"/>
      <c r="H259" s="296"/>
      <c r="I259" s="302"/>
      <c r="J259" s="297"/>
    </row>
    <row r="260" spans="1:10" ht="17.25" customHeight="1" x14ac:dyDescent="0.2">
      <c r="A260" s="316">
        <v>257</v>
      </c>
      <c r="B260" s="298"/>
      <c r="C260" s="299"/>
      <c r="D260" s="295"/>
      <c r="E260" s="300"/>
      <c r="F260" s="300"/>
      <c r="G260" s="301"/>
      <c r="H260" s="296"/>
      <c r="I260" s="302"/>
      <c r="J260" s="297"/>
    </row>
    <row r="261" spans="1:10" ht="17.25" customHeight="1" x14ac:dyDescent="0.2">
      <c r="A261" s="316">
        <v>258</v>
      </c>
      <c r="B261" s="298"/>
      <c r="C261" s="299"/>
      <c r="D261" s="295"/>
      <c r="E261" s="300"/>
      <c r="F261" s="300"/>
      <c r="G261" s="301"/>
      <c r="H261" s="296"/>
      <c r="I261" s="302"/>
      <c r="J261" s="297"/>
    </row>
    <row r="262" spans="1:10" ht="17.25" customHeight="1" x14ac:dyDescent="0.2">
      <c r="A262" s="316">
        <v>259</v>
      </c>
      <c r="B262" s="298"/>
      <c r="C262" s="299"/>
      <c r="D262" s="295"/>
      <c r="E262" s="300"/>
      <c r="F262" s="300"/>
      <c r="G262" s="301"/>
      <c r="H262" s="296"/>
      <c r="I262" s="302"/>
      <c r="J262" s="297"/>
    </row>
    <row r="263" spans="1:10" ht="17.25" customHeight="1" x14ac:dyDescent="0.2">
      <c r="A263" s="316">
        <v>260</v>
      </c>
      <c r="B263" s="298"/>
      <c r="C263" s="299"/>
      <c r="D263" s="295"/>
      <c r="E263" s="300"/>
      <c r="F263" s="300"/>
      <c r="G263" s="301"/>
      <c r="H263" s="296"/>
      <c r="I263" s="302"/>
      <c r="J263" s="297"/>
    </row>
    <row r="264" spans="1:10" ht="17.25" customHeight="1" x14ac:dyDescent="0.2">
      <c r="A264" s="316">
        <v>261</v>
      </c>
      <c r="B264" s="298"/>
      <c r="C264" s="299"/>
      <c r="D264" s="295"/>
      <c r="E264" s="300"/>
      <c r="F264" s="300"/>
      <c r="G264" s="301"/>
      <c r="H264" s="296"/>
      <c r="I264" s="302"/>
      <c r="J264" s="297"/>
    </row>
    <row r="265" spans="1:10" ht="17.25" customHeight="1" x14ac:dyDescent="0.2">
      <c r="A265" s="316">
        <v>262</v>
      </c>
      <c r="B265" s="298"/>
      <c r="C265" s="299"/>
      <c r="D265" s="295"/>
      <c r="E265" s="300"/>
      <c r="F265" s="300"/>
      <c r="G265" s="301"/>
      <c r="H265" s="296"/>
      <c r="I265" s="302"/>
      <c r="J265" s="297"/>
    </row>
    <row r="266" spans="1:10" ht="17.25" customHeight="1" x14ac:dyDescent="0.2">
      <c r="A266" s="316">
        <v>263</v>
      </c>
      <c r="B266" s="298"/>
      <c r="C266" s="299"/>
      <c r="D266" s="295"/>
      <c r="E266" s="300"/>
      <c r="F266" s="300"/>
      <c r="G266" s="301"/>
      <c r="H266" s="296"/>
      <c r="I266" s="302"/>
      <c r="J266" s="297"/>
    </row>
    <row r="267" spans="1:10" ht="17.25" customHeight="1" x14ac:dyDescent="0.2">
      <c r="A267" s="316">
        <v>264</v>
      </c>
      <c r="B267" s="298"/>
      <c r="C267" s="299"/>
      <c r="D267" s="295"/>
      <c r="E267" s="300"/>
      <c r="F267" s="300"/>
      <c r="G267" s="301"/>
      <c r="H267" s="296"/>
      <c r="I267" s="302"/>
      <c r="J267" s="297"/>
    </row>
    <row r="268" spans="1:10" ht="17.25" customHeight="1" x14ac:dyDescent="0.2">
      <c r="A268" s="316">
        <v>265</v>
      </c>
      <c r="B268" s="298"/>
      <c r="C268" s="299"/>
      <c r="D268" s="295"/>
      <c r="E268" s="300"/>
      <c r="F268" s="300"/>
      <c r="G268" s="301"/>
      <c r="H268" s="296"/>
      <c r="I268" s="302"/>
      <c r="J268" s="297"/>
    </row>
    <row r="269" spans="1:10" ht="17.25" customHeight="1" x14ac:dyDescent="0.2">
      <c r="A269" s="316">
        <v>266</v>
      </c>
      <c r="B269" s="298"/>
      <c r="C269" s="299"/>
      <c r="D269" s="295"/>
      <c r="E269" s="300"/>
      <c r="F269" s="300"/>
      <c r="G269" s="301"/>
      <c r="H269" s="296"/>
      <c r="I269" s="302"/>
      <c r="J269" s="297"/>
    </row>
    <row r="270" spans="1:10" ht="17.25" customHeight="1" x14ac:dyDescent="0.2">
      <c r="A270" s="316">
        <v>267</v>
      </c>
      <c r="B270" s="298"/>
      <c r="C270" s="299"/>
      <c r="D270" s="295"/>
      <c r="E270" s="300"/>
      <c r="F270" s="300"/>
      <c r="G270" s="301"/>
      <c r="H270" s="296"/>
      <c r="I270" s="302"/>
      <c r="J270" s="297"/>
    </row>
    <row r="271" spans="1:10" ht="17.25" customHeight="1" x14ac:dyDescent="0.2">
      <c r="A271" s="316">
        <v>268</v>
      </c>
      <c r="B271" s="298"/>
      <c r="C271" s="299"/>
      <c r="D271" s="295"/>
      <c r="E271" s="300"/>
      <c r="F271" s="300"/>
      <c r="G271" s="301"/>
      <c r="H271" s="296"/>
      <c r="I271" s="302"/>
      <c r="J271" s="297"/>
    </row>
    <row r="272" spans="1:10" ht="17.25" customHeight="1" x14ac:dyDescent="0.2">
      <c r="A272" s="316">
        <v>269</v>
      </c>
      <c r="B272" s="298"/>
      <c r="C272" s="299"/>
      <c r="D272" s="295"/>
      <c r="E272" s="300"/>
      <c r="F272" s="300"/>
      <c r="G272" s="301"/>
      <c r="H272" s="296"/>
      <c r="I272" s="302"/>
      <c r="J272" s="297"/>
    </row>
    <row r="273" spans="1:10" ht="17.25" customHeight="1" x14ac:dyDescent="0.2">
      <c r="A273" s="316">
        <v>270</v>
      </c>
      <c r="B273" s="298"/>
      <c r="C273" s="299"/>
      <c r="D273" s="295"/>
      <c r="E273" s="300"/>
      <c r="F273" s="300"/>
      <c r="G273" s="301"/>
      <c r="H273" s="296"/>
      <c r="I273" s="302"/>
      <c r="J273" s="297"/>
    </row>
    <row r="274" spans="1:10" ht="17.25" customHeight="1" x14ac:dyDescent="0.2">
      <c r="A274" s="316">
        <v>271</v>
      </c>
      <c r="B274" s="298"/>
      <c r="C274" s="299"/>
      <c r="D274" s="295"/>
      <c r="E274" s="300"/>
      <c r="F274" s="300"/>
      <c r="G274" s="301"/>
      <c r="H274" s="296"/>
      <c r="I274" s="302"/>
      <c r="J274" s="297"/>
    </row>
    <row r="275" spans="1:10" ht="17.25" customHeight="1" x14ac:dyDescent="0.2">
      <c r="A275" s="316">
        <v>272</v>
      </c>
      <c r="B275" s="298"/>
      <c r="C275" s="299"/>
      <c r="D275" s="295"/>
      <c r="E275" s="300"/>
      <c r="F275" s="300"/>
      <c r="G275" s="301"/>
      <c r="H275" s="296"/>
      <c r="I275" s="302"/>
      <c r="J275" s="297"/>
    </row>
    <row r="276" spans="1:10" ht="17.25" customHeight="1" x14ac:dyDescent="0.2">
      <c r="A276" s="316">
        <v>273</v>
      </c>
      <c r="B276" s="298"/>
      <c r="C276" s="299"/>
      <c r="D276" s="295"/>
      <c r="E276" s="300"/>
      <c r="F276" s="300"/>
      <c r="G276" s="301"/>
      <c r="H276" s="296"/>
      <c r="I276" s="302"/>
      <c r="J276" s="297"/>
    </row>
    <row r="277" spans="1:10" ht="17.25" customHeight="1" x14ac:dyDescent="0.2">
      <c r="A277" s="316">
        <v>274</v>
      </c>
      <c r="B277" s="298"/>
      <c r="C277" s="299"/>
      <c r="D277" s="295"/>
      <c r="E277" s="300"/>
      <c r="F277" s="300"/>
      <c r="G277" s="301"/>
      <c r="H277" s="296"/>
      <c r="I277" s="302"/>
      <c r="J277" s="297"/>
    </row>
    <row r="278" spans="1:10" ht="17.25" customHeight="1" x14ac:dyDescent="0.2">
      <c r="A278" s="316">
        <v>275</v>
      </c>
      <c r="B278" s="298"/>
      <c r="C278" s="299"/>
      <c r="D278" s="295"/>
      <c r="E278" s="300"/>
      <c r="F278" s="300"/>
      <c r="G278" s="301"/>
      <c r="H278" s="296"/>
      <c r="I278" s="302"/>
      <c r="J278" s="297"/>
    </row>
    <row r="279" spans="1:10" ht="17.25" customHeight="1" x14ac:dyDescent="0.2">
      <c r="A279" s="316">
        <v>276</v>
      </c>
      <c r="B279" s="298"/>
      <c r="C279" s="299"/>
      <c r="D279" s="295"/>
      <c r="E279" s="300"/>
      <c r="F279" s="300"/>
      <c r="G279" s="301"/>
      <c r="H279" s="296"/>
      <c r="I279" s="302"/>
      <c r="J279" s="297"/>
    </row>
    <row r="280" spans="1:10" ht="17.25" customHeight="1" x14ac:dyDescent="0.2">
      <c r="A280" s="316">
        <v>277</v>
      </c>
      <c r="B280" s="298"/>
      <c r="C280" s="299"/>
      <c r="D280" s="295"/>
      <c r="E280" s="300"/>
      <c r="F280" s="300"/>
      <c r="G280" s="301"/>
      <c r="H280" s="296"/>
      <c r="I280" s="302"/>
      <c r="J280" s="297"/>
    </row>
    <row r="281" spans="1:10" ht="17.25" customHeight="1" x14ac:dyDescent="0.2">
      <c r="A281" s="316">
        <v>278</v>
      </c>
      <c r="B281" s="298"/>
      <c r="C281" s="299"/>
      <c r="D281" s="295"/>
      <c r="E281" s="300"/>
      <c r="F281" s="300"/>
      <c r="G281" s="301"/>
      <c r="H281" s="296"/>
      <c r="I281" s="302"/>
      <c r="J281" s="297"/>
    </row>
    <row r="282" spans="1:10" ht="17.25" customHeight="1" x14ac:dyDescent="0.2">
      <c r="A282" s="316">
        <v>279</v>
      </c>
      <c r="B282" s="298"/>
      <c r="C282" s="299"/>
      <c r="D282" s="295"/>
      <c r="E282" s="300"/>
      <c r="F282" s="300"/>
      <c r="G282" s="301"/>
      <c r="H282" s="296"/>
      <c r="I282" s="302"/>
      <c r="J282" s="297"/>
    </row>
    <row r="283" spans="1:10" ht="17.25" customHeight="1" x14ac:dyDescent="0.2">
      <c r="A283" s="316">
        <v>280</v>
      </c>
      <c r="B283" s="298"/>
      <c r="C283" s="299"/>
      <c r="D283" s="295"/>
      <c r="E283" s="300"/>
      <c r="F283" s="300"/>
      <c r="G283" s="301"/>
      <c r="H283" s="296"/>
      <c r="I283" s="302"/>
      <c r="J283" s="297"/>
    </row>
    <row r="284" spans="1:10" ht="17.25" customHeight="1" x14ac:dyDescent="0.2">
      <c r="A284" s="316">
        <v>281</v>
      </c>
      <c r="B284" s="298"/>
      <c r="C284" s="299"/>
      <c r="D284" s="295"/>
      <c r="E284" s="300"/>
      <c r="F284" s="300"/>
      <c r="G284" s="301"/>
      <c r="H284" s="296"/>
      <c r="I284" s="302"/>
      <c r="J284" s="297"/>
    </row>
    <row r="285" spans="1:10" ht="17.25" customHeight="1" x14ac:dyDescent="0.2">
      <c r="A285" s="316">
        <v>282</v>
      </c>
      <c r="B285" s="298"/>
      <c r="C285" s="299"/>
      <c r="D285" s="295"/>
      <c r="E285" s="300"/>
      <c r="F285" s="300"/>
      <c r="G285" s="301"/>
      <c r="H285" s="296"/>
      <c r="I285" s="302"/>
      <c r="J285" s="297"/>
    </row>
    <row r="286" spans="1:10" ht="17.25" customHeight="1" x14ac:dyDescent="0.2">
      <c r="A286" s="316">
        <v>283</v>
      </c>
      <c r="B286" s="298"/>
      <c r="C286" s="299"/>
      <c r="D286" s="295"/>
      <c r="E286" s="300"/>
      <c r="F286" s="300"/>
      <c r="G286" s="301"/>
      <c r="H286" s="296"/>
      <c r="I286" s="302"/>
      <c r="J286" s="297"/>
    </row>
    <row r="287" spans="1:10" ht="17.25" customHeight="1" x14ac:dyDescent="0.2">
      <c r="A287" s="316">
        <v>284</v>
      </c>
      <c r="B287" s="298"/>
      <c r="C287" s="299"/>
      <c r="D287" s="295"/>
      <c r="E287" s="300"/>
      <c r="F287" s="300"/>
      <c r="G287" s="301"/>
      <c r="H287" s="296"/>
      <c r="I287" s="302"/>
      <c r="J287" s="297"/>
    </row>
    <row r="288" spans="1:10" ht="17.25" customHeight="1" x14ac:dyDescent="0.2">
      <c r="A288" s="316">
        <v>285</v>
      </c>
      <c r="B288" s="298"/>
      <c r="C288" s="299"/>
      <c r="D288" s="295"/>
      <c r="E288" s="300"/>
      <c r="F288" s="300"/>
      <c r="G288" s="301"/>
      <c r="H288" s="296"/>
      <c r="I288" s="302"/>
      <c r="J288" s="297"/>
    </row>
    <row r="289" spans="1:10" ht="17.25" customHeight="1" x14ac:dyDescent="0.2">
      <c r="A289" s="316">
        <v>286</v>
      </c>
      <c r="B289" s="298"/>
      <c r="C289" s="299"/>
      <c r="D289" s="295"/>
      <c r="E289" s="300"/>
      <c r="F289" s="300"/>
      <c r="G289" s="301"/>
      <c r="H289" s="296"/>
      <c r="I289" s="302"/>
      <c r="J289" s="297"/>
    </row>
    <row r="290" spans="1:10" ht="17.25" customHeight="1" x14ac:dyDescent="0.2">
      <c r="A290" s="316">
        <v>287</v>
      </c>
      <c r="B290" s="298"/>
      <c r="C290" s="299"/>
      <c r="D290" s="295"/>
      <c r="E290" s="300"/>
      <c r="F290" s="300"/>
      <c r="G290" s="301"/>
      <c r="H290" s="296"/>
      <c r="I290" s="302"/>
      <c r="J290" s="297"/>
    </row>
    <row r="291" spans="1:10" ht="17.25" customHeight="1" x14ac:dyDescent="0.2">
      <c r="A291" s="316">
        <v>288</v>
      </c>
      <c r="B291" s="298"/>
      <c r="C291" s="299"/>
      <c r="D291" s="295"/>
      <c r="E291" s="300"/>
      <c r="F291" s="300"/>
      <c r="G291" s="301"/>
      <c r="H291" s="296"/>
      <c r="I291" s="302"/>
      <c r="J291" s="297"/>
    </row>
    <row r="292" spans="1:10" ht="17.25" customHeight="1" x14ac:dyDescent="0.2">
      <c r="A292" s="316">
        <v>289</v>
      </c>
      <c r="B292" s="298"/>
      <c r="C292" s="299"/>
      <c r="D292" s="295"/>
      <c r="E292" s="300"/>
      <c r="F292" s="300"/>
      <c r="G292" s="301"/>
      <c r="H292" s="296"/>
      <c r="I292" s="302"/>
      <c r="J292" s="297"/>
    </row>
    <row r="293" spans="1:10" ht="17.25" customHeight="1" x14ac:dyDescent="0.2">
      <c r="A293" s="316">
        <v>290</v>
      </c>
      <c r="B293" s="298"/>
      <c r="C293" s="299"/>
      <c r="D293" s="295"/>
      <c r="E293" s="300"/>
      <c r="F293" s="300"/>
      <c r="G293" s="301"/>
      <c r="H293" s="296"/>
      <c r="I293" s="302"/>
      <c r="J293" s="297"/>
    </row>
    <row r="294" spans="1:10" ht="17.25" customHeight="1" x14ac:dyDescent="0.2">
      <c r="A294" s="316">
        <v>291</v>
      </c>
      <c r="B294" s="298"/>
      <c r="C294" s="299"/>
      <c r="D294" s="295"/>
      <c r="E294" s="300"/>
      <c r="F294" s="300"/>
      <c r="G294" s="301"/>
      <c r="H294" s="296"/>
      <c r="I294" s="302"/>
      <c r="J294" s="297"/>
    </row>
    <row r="295" spans="1:10" ht="17.25" customHeight="1" x14ac:dyDescent="0.2">
      <c r="A295" s="316">
        <v>292</v>
      </c>
      <c r="B295" s="298"/>
      <c r="C295" s="299"/>
      <c r="D295" s="295"/>
      <c r="E295" s="300"/>
      <c r="F295" s="300"/>
      <c r="G295" s="301"/>
      <c r="H295" s="296"/>
      <c r="I295" s="302"/>
      <c r="J295" s="297"/>
    </row>
    <row r="296" spans="1:10" ht="17.25" customHeight="1" x14ac:dyDescent="0.2">
      <c r="A296" s="316">
        <v>293</v>
      </c>
      <c r="B296" s="298"/>
      <c r="C296" s="299"/>
      <c r="D296" s="295"/>
      <c r="E296" s="300"/>
      <c r="F296" s="300"/>
      <c r="G296" s="301"/>
      <c r="H296" s="296"/>
      <c r="I296" s="302"/>
      <c r="J296" s="297"/>
    </row>
    <row r="297" spans="1:10" ht="17.25" customHeight="1" x14ac:dyDescent="0.2">
      <c r="A297" s="316">
        <v>294</v>
      </c>
      <c r="B297" s="298"/>
      <c r="C297" s="299"/>
      <c r="D297" s="295"/>
      <c r="E297" s="300"/>
      <c r="F297" s="300"/>
      <c r="G297" s="301"/>
      <c r="H297" s="296"/>
      <c r="I297" s="302"/>
      <c r="J297" s="297"/>
    </row>
    <row r="298" spans="1:10" ht="17.25" customHeight="1" x14ac:dyDescent="0.2">
      <c r="A298" s="316">
        <v>295</v>
      </c>
      <c r="B298" s="298"/>
      <c r="C298" s="299"/>
      <c r="D298" s="295"/>
      <c r="E298" s="300"/>
      <c r="F298" s="300"/>
      <c r="G298" s="301"/>
      <c r="H298" s="296"/>
      <c r="I298" s="302"/>
      <c r="J298" s="297"/>
    </row>
    <row r="299" spans="1:10" ht="17.25" customHeight="1" x14ac:dyDescent="0.2">
      <c r="A299" s="316">
        <v>296</v>
      </c>
      <c r="B299" s="298"/>
      <c r="C299" s="299"/>
      <c r="D299" s="295"/>
      <c r="E299" s="300"/>
      <c r="F299" s="300"/>
      <c r="G299" s="301"/>
      <c r="H299" s="296"/>
      <c r="I299" s="302"/>
      <c r="J299" s="297"/>
    </row>
    <row r="300" spans="1:10" ht="17.25" customHeight="1" x14ac:dyDescent="0.2">
      <c r="A300" s="316">
        <v>297</v>
      </c>
      <c r="B300" s="298"/>
      <c r="C300" s="299"/>
      <c r="D300" s="295"/>
      <c r="E300" s="300"/>
      <c r="F300" s="300"/>
      <c r="G300" s="301"/>
      <c r="H300" s="296"/>
      <c r="I300" s="302"/>
      <c r="J300" s="297"/>
    </row>
    <row r="301" spans="1:10" ht="17.25" customHeight="1" x14ac:dyDescent="0.2">
      <c r="A301" s="316">
        <v>298</v>
      </c>
      <c r="B301" s="298"/>
      <c r="C301" s="299"/>
      <c r="D301" s="295"/>
      <c r="E301" s="300"/>
      <c r="F301" s="300"/>
      <c r="G301" s="301"/>
      <c r="H301" s="296"/>
      <c r="I301" s="302"/>
      <c r="J301" s="297"/>
    </row>
    <row r="302" spans="1:10" ht="17.25" customHeight="1" x14ac:dyDescent="0.2">
      <c r="A302" s="316">
        <v>299</v>
      </c>
      <c r="B302" s="298"/>
      <c r="C302" s="299"/>
      <c r="D302" s="295"/>
      <c r="E302" s="300"/>
      <c r="F302" s="300"/>
      <c r="G302" s="301"/>
      <c r="H302" s="296"/>
      <c r="I302" s="302"/>
      <c r="J302" s="297"/>
    </row>
    <row r="303" spans="1:10" ht="17.25" customHeight="1" x14ac:dyDescent="0.2">
      <c r="A303" s="316">
        <v>300</v>
      </c>
      <c r="B303" s="298"/>
      <c r="C303" s="299"/>
      <c r="D303" s="295"/>
      <c r="E303" s="300"/>
      <c r="F303" s="300"/>
      <c r="G303" s="301"/>
      <c r="H303" s="296"/>
      <c r="I303" s="302"/>
      <c r="J303" s="297"/>
    </row>
    <row r="304" spans="1:10" ht="17.25" customHeight="1" x14ac:dyDescent="0.2">
      <c r="A304" s="316">
        <v>301</v>
      </c>
      <c r="B304" s="298"/>
      <c r="C304" s="299"/>
      <c r="D304" s="295"/>
      <c r="E304" s="300"/>
      <c r="F304" s="300"/>
      <c r="G304" s="301"/>
      <c r="H304" s="296"/>
      <c r="I304" s="302"/>
      <c r="J304" s="297"/>
    </row>
    <row r="305" spans="1:10" ht="17.25" customHeight="1" x14ac:dyDescent="0.2">
      <c r="A305" s="316">
        <v>302</v>
      </c>
      <c r="B305" s="298"/>
      <c r="C305" s="299"/>
      <c r="D305" s="295"/>
      <c r="E305" s="300"/>
      <c r="F305" s="300"/>
      <c r="G305" s="301"/>
      <c r="H305" s="296"/>
      <c r="I305" s="302"/>
      <c r="J305" s="297"/>
    </row>
    <row r="306" spans="1:10" ht="17.25" customHeight="1" x14ac:dyDescent="0.2">
      <c r="A306" s="316">
        <v>303</v>
      </c>
      <c r="B306" s="298"/>
      <c r="C306" s="299"/>
      <c r="D306" s="295"/>
      <c r="E306" s="300"/>
      <c r="F306" s="300"/>
      <c r="G306" s="301"/>
      <c r="H306" s="296"/>
      <c r="I306" s="302"/>
      <c r="J306" s="297"/>
    </row>
    <row r="307" spans="1:10" ht="17.25" customHeight="1" x14ac:dyDescent="0.2">
      <c r="A307" s="316">
        <v>304</v>
      </c>
      <c r="B307" s="298"/>
      <c r="C307" s="299"/>
      <c r="D307" s="295"/>
      <c r="E307" s="300"/>
      <c r="F307" s="300"/>
      <c r="G307" s="301"/>
      <c r="H307" s="296"/>
      <c r="I307" s="302"/>
      <c r="J307" s="297"/>
    </row>
    <row r="308" spans="1:10" ht="17.25" customHeight="1" x14ac:dyDescent="0.2">
      <c r="A308" s="316">
        <v>305</v>
      </c>
      <c r="B308" s="298"/>
      <c r="C308" s="299"/>
      <c r="D308" s="295"/>
      <c r="E308" s="300"/>
      <c r="F308" s="300"/>
      <c r="G308" s="301"/>
      <c r="H308" s="296"/>
      <c r="I308" s="302"/>
      <c r="J308" s="297"/>
    </row>
    <row r="309" spans="1:10" ht="17.25" customHeight="1" x14ac:dyDescent="0.2">
      <c r="A309" s="316">
        <v>306</v>
      </c>
      <c r="B309" s="298"/>
      <c r="C309" s="299"/>
      <c r="D309" s="295"/>
      <c r="E309" s="300"/>
      <c r="F309" s="300"/>
      <c r="G309" s="301"/>
      <c r="H309" s="296"/>
      <c r="I309" s="302"/>
      <c r="J309" s="297"/>
    </row>
    <row r="310" spans="1:10" ht="17.25" customHeight="1" x14ac:dyDescent="0.2">
      <c r="A310" s="316">
        <v>307</v>
      </c>
      <c r="B310" s="298"/>
      <c r="C310" s="299"/>
      <c r="D310" s="295"/>
      <c r="E310" s="300"/>
      <c r="F310" s="300"/>
      <c r="G310" s="301"/>
      <c r="H310" s="296"/>
      <c r="I310" s="302"/>
      <c r="J310" s="297"/>
    </row>
    <row r="311" spans="1:10" ht="17.25" customHeight="1" x14ac:dyDescent="0.2">
      <c r="A311" s="316">
        <v>308</v>
      </c>
      <c r="B311" s="298"/>
      <c r="C311" s="299"/>
      <c r="D311" s="295"/>
      <c r="E311" s="300"/>
      <c r="F311" s="300"/>
      <c r="G311" s="301"/>
      <c r="H311" s="296"/>
      <c r="I311" s="302"/>
      <c r="J311" s="297"/>
    </row>
    <row r="312" spans="1:10" ht="17.25" customHeight="1" x14ac:dyDescent="0.2">
      <c r="A312" s="316">
        <v>309</v>
      </c>
      <c r="B312" s="298"/>
      <c r="C312" s="299"/>
      <c r="D312" s="295"/>
      <c r="E312" s="300"/>
      <c r="F312" s="300"/>
      <c r="G312" s="301"/>
      <c r="H312" s="296"/>
      <c r="I312" s="302"/>
      <c r="J312" s="297"/>
    </row>
    <row r="313" spans="1:10" ht="17.25" customHeight="1" x14ac:dyDescent="0.2">
      <c r="A313" s="316">
        <v>310</v>
      </c>
      <c r="B313" s="298"/>
      <c r="C313" s="299"/>
      <c r="D313" s="295"/>
      <c r="E313" s="300"/>
      <c r="F313" s="300"/>
      <c r="G313" s="301"/>
      <c r="H313" s="296"/>
      <c r="I313" s="302"/>
      <c r="J313" s="297"/>
    </row>
    <row r="314" spans="1:10" ht="17.25" customHeight="1" x14ac:dyDescent="0.2">
      <c r="A314" s="316">
        <v>311</v>
      </c>
      <c r="B314" s="298"/>
      <c r="C314" s="299"/>
      <c r="D314" s="295"/>
      <c r="E314" s="300"/>
      <c r="F314" s="300"/>
      <c r="G314" s="301"/>
      <c r="H314" s="296"/>
      <c r="I314" s="302"/>
      <c r="J314" s="297"/>
    </row>
    <row r="315" spans="1:10" ht="17.25" customHeight="1" x14ac:dyDescent="0.2">
      <c r="A315" s="316">
        <v>312</v>
      </c>
      <c r="B315" s="298"/>
      <c r="C315" s="299"/>
      <c r="D315" s="295"/>
      <c r="E315" s="300"/>
      <c r="F315" s="300"/>
      <c r="G315" s="301"/>
      <c r="H315" s="296"/>
      <c r="I315" s="302"/>
      <c r="J315" s="297"/>
    </row>
    <row r="316" spans="1:10" ht="17.25" customHeight="1" x14ac:dyDescent="0.2">
      <c r="A316" s="316">
        <v>313</v>
      </c>
      <c r="B316" s="298"/>
      <c r="C316" s="299"/>
      <c r="D316" s="295"/>
      <c r="E316" s="300"/>
      <c r="F316" s="300"/>
      <c r="G316" s="301"/>
      <c r="H316" s="296"/>
      <c r="I316" s="302"/>
      <c r="J316" s="297"/>
    </row>
    <row r="317" spans="1:10" ht="17.25" customHeight="1" x14ac:dyDescent="0.2">
      <c r="A317" s="316">
        <v>314</v>
      </c>
      <c r="B317" s="298"/>
      <c r="C317" s="299"/>
      <c r="D317" s="295"/>
      <c r="E317" s="300"/>
      <c r="F317" s="300"/>
      <c r="G317" s="301"/>
      <c r="H317" s="296"/>
      <c r="I317" s="302"/>
      <c r="J317" s="297"/>
    </row>
    <row r="318" spans="1:10" ht="17.25" customHeight="1" x14ac:dyDescent="0.2">
      <c r="A318" s="316">
        <v>315</v>
      </c>
      <c r="B318" s="298"/>
      <c r="C318" s="299"/>
      <c r="D318" s="295"/>
      <c r="E318" s="300"/>
      <c r="F318" s="300"/>
      <c r="G318" s="301"/>
      <c r="H318" s="296"/>
      <c r="I318" s="302"/>
      <c r="J318" s="297"/>
    </row>
    <row r="319" spans="1:10" ht="17.25" customHeight="1" x14ac:dyDescent="0.2">
      <c r="A319" s="316">
        <v>316</v>
      </c>
      <c r="B319" s="298"/>
      <c r="C319" s="299"/>
      <c r="D319" s="295"/>
      <c r="E319" s="300"/>
      <c r="F319" s="300"/>
      <c r="G319" s="301"/>
      <c r="H319" s="296"/>
      <c r="I319" s="302"/>
      <c r="J319" s="297"/>
    </row>
    <row r="320" spans="1:10" ht="17.25" customHeight="1" x14ac:dyDescent="0.2">
      <c r="A320" s="316">
        <v>317</v>
      </c>
      <c r="B320" s="298"/>
      <c r="C320" s="299"/>
      <c r="D320" s="295"/>
      <c r="E320" s="300"/>
      <c r="F320" s="300"/>
      <c r="G320" s="301"/>
      <c r="H320" s="296"/>
      <c r="I320" s="302"/>
      <c r="J320" s="297"/>
    </row>
    <row r="321" spans="1:10" ht="17.25" customHeight="1" x14ac:dyDescent="0.2">
      <c r="A321" s="316">
        <v>318</v>
      </c>
      <c r="B321" s="298"/>
      <c r="C321" s="299"/>
      <c r="D321" s="295"/>
      <c r="E321" s="300"/>
      <c r="F321" s="300"/>
      <c r="G321" s="301"/>
      <c r="H321" s="296"/>
      <c r="I321" s="302"/>
      <c r="J321" s="297"/>
    </row>
    <row r="322" spans="1:10" ht="17.25" customHeight="1" x14ac:dyDescent="0.2">
      <c r="A322" s="316">
        <v>319</v>
      </c>
      <c r="B322" s="298"/>
      <c r="C322" s="299"/>
      <c r="D322" s="295"/>
      <c r="E322" s="300"/>
      <c r="F322" s="300"/>
      <c r="G322" s="301"/>
      <c r="H322" s="296"/>
      <c r="I322" s="302"/>
      <c r="J322" s="297"/>
    </row>
    <row r="323" spans="1:10" ht="17.25" customHeight="1" x14ac:dyDescent="0.2">
      <c r="A323" s="316">
        <v>320</v>
      </c>
      <c r="B323" s="298"/>
      <c r="C323" s="299"/>
      <c r="D323" s="295"/>
      <c r="E323" s="300"/>
      <c r="F323" s="300"/>
      <c r="G323" s="301"/>
      <c r="H323" s="296"/>
      <c r="I323" s="302"/>
      <c r="J323" s="297"/>
    </row>
    <row r="324" spans="1:10" ht="17.25" customHeight="1" x14ac:dyDescent="0.2">
      <c r="A324" s="316">
        <v>321</v>
      </c>
      <c r="B324" s="298"/>
      <c r="C324" s="299"/>
      <c r="D324" s="295"/>
      <c r="E324" s="300"/>
      <c r="F324" s="300"/>
      <c r="G324" s="301"/>
      <c r="H324" s="296"/>
      <c r="I324" s="302"/>
      <c r="J324" s="297"/>
    </row>
    <row r="325" spans="1:10" ht="17.25" customHeight="1" x14ac:dyDescent="0.2">
      <c r="A325" s="316">
        <v>322</v>
      </c>
      <c r="B325" s="298"/>
      <c r="C325" s="299"/>
      <c r="D325" s="295"/>
      <c r="E325" s="300"/>
      <c r="F325" s="300"/>
      <c r="G325" s="301"/>
      <c r="H325" s="296"/>
      <c r="I325" s="302"/>
      <c r="J325" s="297"/>
    </row>
    <row r="326" spans="1:10" ht="17.25" customHeight="1" x14ac:dyDescent="0.2">
      <c r="A326" s="316">
        <v>323</v>
      </c>
      <c r="B326" s="298"/>
      <c r="C326" s="299"/>
      <c r="D326" s="295"/>
      <c r="E326" s="300"/>
      <c r="F326" s="300"/>
      <c r="G326" s="301"/>
      <c r="H326" s="296"/>
      <c r="I326" s="302"/>
      <c r="J326" s="297"/>
    </row>
    <row r="327" spans="1:10" ht="17.25" customHeight="1" x14ac:dyDescent="0.2">
      <c r="A327" s="316">
        <v>324</v>
      </c>
      <c r="B327" s="298"/>
      <c r="C327" s="299"/>
      <c r="D327" s="295"/>
      <c r="E327" s="300"/>
      <c r="F327" s="300"/>
      <c r="G327" s="301"/>
      <c r="H327" s="296"/>
      <c r="I327" s="302"/>
      <c r="J327" s="297"/>
    </row>
    <row r="328" spans="1:10" ht="17.25" customHeight="1" x14ac:dyDescent="0.2">
      <c r="A328" s="316">
        <v>325</v>
      </c>
      <c r="B328" s="298"/>
      <c r="C328" s="299"/>
      <c r="D328" s="295"/>
      <c r="E328" s="300"/>
      <c r="F328" s="300"/>
      <c r="G328" s="301"/>
      <c r="H328" s="296"/>
      <c r="I328" s="302"/>
      <c r="J328" s="297"/>
    </row>
    <row r="329" spans="1:10" ht="17.25" customHeight="1" x14ac:dyDescent="0.2">
      <c r="A329" s="316">
        <v>326</v>
      </c>
      <c r="B329" s="298"/>
      <c r="C329" s="299"/>
      <c r="D329" s="295"/>
      <c r="E329" s="300"/>
      <c r="F329" s="300"/>
      <c r="G329" s="301"/>
      <c r="H329" s="296"/>
      <c r="I329" s="302"/>
      <c r="J329" s="297"/>
    </row>
    <row r="330" spans="1:10" ht="17.25" customHeight="1" x14ac:dyDescent="0.2">
      <c r="A330" s="316">
        <v>327</v>
      </c>
      <c r="B330" s="298"/>
      <c r="C330" s="299"/>
      <c r="D330" s="295"/>
      <c r="E330" s="300"/>
      <c r="F330" s="300"/>
      <c r="G330" s="301"/>
      <c r="H330" s="296"/>
      <c r="I330" s="302"/>
      <c r="J330" s="297"/>
    </row>
    <row r="331" spans="1:10" ht="17.25" customHeight="1" x14ac:dyDescent="0.2">
      <c r="A331" s="316">
        <v>328</v>
      </c>
      <c r="B331" s="298"/>
      <c r="C331" s="299"/>
      <c r="D331" s="295"/>
      <c r="E331" s="300"/>
      <c r="F331" s="300"/>
      <c r="G331" s="301"/>
      <c r="H331" s="296"/>
      <c r="I331" s="302"/>
      <c r="J331" s="297"/>
    </row>
    <row r="332" spans="1:10" ht="17.25" customHeight="1" x14ac:dyDescent="0.2">
      <c r="A332" s="316">
        <v>329</v>
      </c>
      <c r="B332" s="298"/>
      <c r="C332" s="299"/>
      <c r="D332" s="295"/>
      <c r="E332" s="300"/>
      <c r="F332" s="300"/>
      <c r="G332" s="301"/>
      <c r="H332" s="296"/>
      <c r="I332" s="302"/>
      <c r="J332" s="297"/>
    </row>
    <row r="333" spans="1:10" ht="17.25" customHeight="1" x14ac:dyDescent="0.2">
      <c r="A333" s="316">
        <v>330</v>
      </c>
      <c r="B333" s="298"/>
      <c r="C333" s="299"/>
      <c r="D333" s="295"/>
      <c r="E333" s="300"/>
      <c r="F333" s="300"/>
      <c r="G333" s="301"/>
      <c r="H333" s="296"/>
      <c r="I333" s="302"/>
      <c r="J333" s="297"/>
    </row>
    <row r="334" spans="1:10" ht="17.25" customHeight="1" x14ac:dyDescent="0.2">
      <c r="A334" s="316">
        <v>331</v>
      </c>
      <c r="B334" s="298"/>
      <c r="C334" s="299"/>
      <c r="D334" s="295"/>
      <c r="E334" s="300"/>
      <c r="F334" s="300"/>
      <c r="G334" s="301"/>
      <c r="H334" s="296"/>
      <c r="I334" s="302"/>
      <c r="J334" s="297"/>
    </row>
    <row r="335" spans="1:10" ht="17.25" customHeight="1" x14ac:dyDescent="0.2">
      <c r="A335" s="316">
        <v>332</v>
      </c>
      <c r="B335" s="298"/>
      <c r="C335" s="299"/>
      <c r="D335" s="295"/>
      <c r="E335" s="300"/>
      <c r="F335" s="300"/>
      <c r="G335" s="301"/>
      <c r="H335" s="296"/>
      <c r="I335" s="302"/>
      <c r="J335" s="297"/>
    </row>
    <row r="336" spans="1:10" ht="17.25" customHeight="1" x14ac:dyDescent="0.2">
      <c r="A336" s="316">
        <v>333</v>
      </c>
      <c r="B336" s="298"/>
      <c r="C336" s="299"/>
      <c r="D336" s="295"/>
      <c r="E336" s="300"/>
      <c r="F336" s="300"/>
      <c r="G336" s="301"/>
      <c r="H336" s="296"/>
      <c r="I336" s="302"/>
      <c r="J336" s="297"/>
    </row>
    <row r="337" spans="1:10" ht="17.25" customHeight="1" x14ac:dyDescent="0.2">
      <c r="A337" s="316">
        <v>334</v>
      </c>
      <c r="B337" s="298"/>
      <c r="C337" s="299"/>
      <c r="D337" s="295"/>
      <c r="E337" s="300"/>
      <c r="F337" s="300"/>
      <c r="G337" s="301"/>
      <c r="H337" s="296"/>
      <c r="I337" s="302"/>
      <c r="J337" s="297"/>
    </row>
    <row r="338" spans="1:10" ht="17.25" customHeight="1" x14ac:dyDescent="0.2">
      <c r="A338" s="316">
        <v>335</v>
      </c>
      <c r="B338" s="298"/>
      <c r="C338" s="299"/>
      <c r="D338" s="295"/>
      <c r="E338" s="300"/>
      <c r="F338" s="300"/>
      <c r="G338" s="301"/>
      <c r="H338" s="296"/>
      <c r="I338" s="302"/>
      <c r="J338" s="297"/>
    </row>
    <row r="339" spans="1:10" ht="17.25" customHeight="1" x14ac:dyDescent="0.2">
      <c r="A339" s="316">
        <v>336</v>
      </c>
      <c r="B339" s="298"/>
      <c r="C339" s="299"/>
      <c r="D339" s="295"/>
      <c r="E339" s="300"/>
      <c r="F339" s="300"/>
      <c r="G339" s="301"/>
      <c r="H339" s="296"/>
      <c r="I339" s="302"/>
      <c r="J339" s="297"/>
    </row>
    <row r="340" spans="1:10" ht="17.25" customHeight="1" x14ac:dyDescent="0.2">
      <c r="A340" s="316">
        <v>337</v>
      </c>
      <c r="B340" s="298"/>
      <c r="C340" s="299"/>
      <c r="D340" s="295"/>
      <c r="E340" s="300"/>
      <c r="F340" s="300"/>
      <c r="G340" s="301"/>
      <c r="H340" s="296"/>
      <c r="I340" s="302"/>
      <c r="J340" s="297"/>
    </row>
    <row r="341" spans="1:10" ht="17.25" customHeight="1" x14ac:dyDescent="0.2">
      <c r="A341" s="316">
        <v>338</v>
      </c>
      <c r="B341" s="298"/>
      <c r="C341" s="299"/>
      <c r="D341" s="295"/>
      <c r="E341" s="300"/>
      <c r="F341" s="300"/>
      <c r="G341" s="301"/>
      <c r="H341" s="296"/>
      <c r="I341" s="302"/>
      <c r="J341" s="297"/>
    </row>
    <row r="342" spans="1:10" ht="17.25" customHeight="1" x14ac:dyDescent="0.2">
      <c r="A342" s="316">
        <v>339</v>
      </c>
      <c r="B342" s="298"/>
      <c r="C342" s="299"/>
      <c r="D342" s="295"/>
      <c r="E342" s="300"/>
      <c r="F342" s="300"/>
      <c r="G342" s="301"/>
      <c r="H342" s="296"/>
      <c r="I342" s="302"/>
      <c r="J342" s="297"/>
    </row>
    <row r="343" spans="1:10" ht="17.25" customHeight="1" x14ac:dyDescent="0.2">
      <c r="A343" s="316">
        <v>340</v>
      </c>
      <c r="B343" s="298"/>
      <c r="C343" s="299"/>
      <c r="D343" s="295"/>
      <c r="E343" s="300"/>
      <c r="F343" s="300"/>
      <c r="G343" s="301"/>
      <c r="H343" s="296"/>
      <c r="I343" s="302"/>
      <c r="J343" s="297"/>
    </row>
    <row r="344" spans="1:10" ht="17.25" customHeight="1" x14ac:dyDescent="0.2">
      <c r="A344" s="316">
        <v>341</v>
      </c>
      <c r="B344" s="298"/>
      <c r="C344" s="299"/>
      <c r="D344" s="295"/>
      <c r="E344" s="300"/>
      <c r="F344" s="300"/>
      <c r="G344" s="301"/>
      <c r="H344" s="296"/>
      <c r="I344" s="302"/>
      <c r="J344" s="297"/>
    </row>
    <row r="345" spans="1:10" ht="17.25" customHeight="1" x14ac:dyDescent="0.2">
      <c r="A345" s="316">
        <v>342</v>
      </c>
      <c r="B345" s="298"/>
      <c r="C345" s="299"/>
      <c r="D345" s="295"/>
      <c r="E345" s="300"/>
      <c r="F345" s="300"/>
      <c r="G345" s="301"/>
      <c r="H345" s="296"/>
      <c r="I345" s="302"/>
      <c r="J345" s="297"/>
    </row>
    <row r="346" spans="1:10" ht="17.25" customHeight="1" x14ac:dyDescent="0.2">
      <c r="A346" s="316">
        <v>343</v>
      </c>
      <c r="B346" s="298"/>
      <c r="C346" s="299"/>
      <c r="D346" s="295"/>
      <c r="E346" s="300"/>
      <c r="F346" s="300"/>
      <c r="G346" s="301"/>
      <c r="H346" s="296"/>
      <c r="I346" s="302"/>
      <c r="J346" s="297"/>
    </row>
    <row r="347" spans="1:10" ht="17.25" customHeight="1" x14ac:dyDescent="0.2">
      <c r="A347" s="316">
        <v>344</v>
      </c>
      <c r="B347" s="298"/>
      <c r="C347" s="299"/>
      <c r="D347" s="295"/>
      <c r="E347" s="300"/>
      <c r="F347" s="300"/>
      <c r="G347" s="301"/>
      <c r="H347" s="296"/>
      <c r="I347" s="302"/>
      <c r="J347" s="297"/>
    </row>
    <row r="348" spans="1:10" ht="17.25" customHeight="1" x14ac:dyDescent="0.2">
      <c r="A348" s="316">
        <v>345</v>
      </c>
      <c r="B348" s="298"/>
      <c r="C348" s="299"/>
      <c r="D348" s="295"/>
      <c r="E348" s="300"/>
      <c r="F348" s="300"/>
      <c r="G348" s="301"/>
      <c r="H348" s="296"/>
      <c r="I348" s="302"/>
      <c r="J348" s="297"/>
    </row>
    <row r="349" spans="1:10" ht="17.25" customHeight="1" x14ac:dyDescent="0.2">
      <c r="A349" s="316">
        <v>346</v>
      </c>
      <c r="B349" s="298"/>
      <c r="C349" s="299"/>
      <c r="D349" s="295"/>
      <c r="E349" s="300"/>
      <c r="F349" s="300"/>
      <c r="G349" s="301"/>
      <c r="H349" s="296"/>
      <c r="I349" s="302"/>
      <c r="J349" s="297"/>
    </row>
    <row r="350" spans="1:10" ht="17.25" customHeight="1" x14ac:dyDescent="0.2">
      <c r="A350" s="316">
        <v>347</v>
      </c>
      <c r="B350" s="298"/>
      <c r="C350" s="299"/>
      <c r="D350" s="295"/>
      <c r="E350" s="300"/>
      <c r="F350" s="300"/>
      <c r="G350" s="301"/>
      <c r="H350" s="296"/>
      <c r="I350" s="302"/>
      <c r="J350" s="297"/>
    </row>
    <row r="351" spans="1:10" ht="17.25" customHeight="1" x14ac:dyDescent="0.2">
      <c r="A351" s="316">
        <v>348</v>
      </c>
      <c r="B351" s="298"/>
      <c r="C351" s="299"/>
      <c r="D351" s="295"/>
      <c r="E351" s="300"/>
      <c r="F351" s="300"/>
      <c r="G351" s="301"/>
      <c r="H351" s="296"/>
      <c r="I351" s="302"/>
      <c r="J351" s="297"/>
    </row>
    <row r="352" spans="1:10" ht="17.25" customHeight="1" x14ac:dyDescent="0.2">
      <c r="A352" s="316">
        <v>349</v>
      </c>
      <c r="B352" s="298"/>
      <c r="C352" s="299"/>
      <c r="D352" s="295"/>
      <c r="E352" s="300"/>
      <c r="F352" s="300"/>
      <c r="G352" s="301"/>
      <c r="H352" s="296"/>
      <c r="I352" s="302"/>
      <c r="J352" s="297"/>
    </row>
    <row r="353" spans="1:10" ht="17.25" customHeight="1" x14ac:dyDescent="0.2">
      <c r="A353" s="316">
        <v>350</v>
      </c>
      <c r="B353" s="298"/>
      <c r="C353" s="299"/>
      <c r="D353" s="295"/>
      <c r="E353" s="300"/>
      <c r="F353" s="300"/>
      <c r="G353" s="301"/>
      <c r="H353" s="296"/>
      <c r="I353" s="302"/>
      <c r="J353" s="297"/>
    </row>
    <row r="354" spans="1:10" ht="17.25" customHeight="1" x14ac:dyDescent="0.2">
      <c r="A354" s="316">
        <v>351</v>
      </c>
      <c r="B354" s="298"/>
      <c r="C354" s="299"/>
      <c r="D354" s="295"/>
      <c r="E354" s="300"/>
      <c r="F354" s="300"/>
      <c r="G354" s="301"/>
      <c r="H354" s="296"/>
      <c r="I354" s="302"/>
      <c r="J354" s="297"/>
    </row>
    <row r="355" spans="1:10" ht="17.25" customHeight="1" x14ac:dyDescent="0.2">
      <c r="A355" s="316">
        <v>352</v>
      </c>
      <c r="B355" s="298"/>
      <c r="C355" s="299"/>
      <c r="D355" s="295"/>
      <c r="E355" s="300"/>
      <c r="F355" s="300"/>
      <c r="G355" s="301"/>
      <c r="H355" s="296"/>
      <c r="I355" s="302"/>
      <c r="J355" s="297"/>
    </row>
    <row r="356" spans="1:10" ht="17.25" customHeight="1" x14ac:dyDescent="0.2">
      <c r="A356" s="316">
        <v>353</v>
      </c>
      <c r="B356" s="298"/>
      <c r="C356" s="299"/>
      <c r="D356" s="295"/>
      <c r="E356" s="300"/>
      <c r="F356" s="300"/>
      <c r="G356" s="301"/>
      <c r="H356" s="296"/>
      <c r="I356" s="302"/>
      <c r="J356" s="297"/>
    </row>
    <row r="357" spans="1:10" ht="17.25" customHeight="1" x14ac:dyDescent="0.2">
      <c r="A357" s="316">
        <v>354</v>
      </c>
      <c r="B357" s="298"/>
      <c r="C357" s="299"/>
      <c r="D357" s="295"/>
      <c r="E357" s="300"/>
      <c r="F357" s="300"/>
      <c r="G357" s="301"/>
      <c r="H357" s="296"/>
      <c r="I357" s="302"/>
      <c r="J357" s="297"/>
    </row>
    <row r="358" spans="1:10" ht="17.25" customHeight="1" x14ac:dyDescent="0.2">
      <c r="A358" s="316">
        <v>355</v>
      </c>
      <c r="B358" s="298"/>
      <c r="C358" s="299"/>
      <c r="D358" s="295"/>
      <c r="E358" s="300"/>
      <c r="F358" s="300"/>
      <c r="G358" s="301"/>
      <c r="H358" s="296"/>
      <c r="I358" s="302"/>
      <c r="J358" s="297"/>
    </row>
    <row r="359" spans="1:10" ht="17.25" customHeight="1" x14ac:dyDescent="0.2">
      <c r="A359" s="316">
        <v>356</v>
      </c>
      <c r="B359" s="298"/>
      <c r="C359" s="299"/>
      <c r="D359" s="295"/>
      <c r="E359" s="300"/>
      <c r="F359" s="300"/>
      <c r="G359" s="301"/>
      <c r="H359" s="296"/>
      <c r="I359" s="302"/>
      <c r="J359" s="297"/>
    </row>
    <row r="360" spans="1:10" ht="17.25" customHeight="1" x14ac:dyDescent="0.2">
      <c r="A360" s="316">
        <v>357</v>
      </c>
      <c r="B360" s="298"/>
      <c r="C360" s="299"/>
      <c r="D360" s="295"/>
      <c r="E360" s="300"/>
      <c r="F360" s="300"/>
      <c r="G360" s="301"/>
      <c r="H360" s="296"/>
      <c r="I360" s="302"/>
      <c r="J360" s="297"/>
    </row>
    <row r="361" spans="1:10" ht="17.25" customHeight="1" x14ac:dyDescent="0.2">
      <c r="A361" s="316">
        <v>358</v>
      </c>
      <c r="B361" s="298"/>
      <c r="C361" s="299"/>
      <c r="D361" s="295"/>
      <c r="E361" s="300"/>
      <c r="F361" s="300"/>
      <c r="G361" s="301"/>
      <c r="H361" s="296"/>
      <c r="I361" s="302"/>
      <c r="J361" s="297"/>
    </row>
    <row r="362" spans="1:10" ht="17.25" customHeight="1" x14ac:dyDescent="0.2">
      <c r="A362" s="316">
        <v>359</v>
      </c>
      <c r="B362" s="298"/>
      <c r="C362" s="299"/>
      <c r="D362" s="295"/>
      <c r="E362" s="300"/>
      <c r="F362" s="300"/>
      <c r="G362" s="301"/>
      <c r="H362" s="296"/>
      <c r="I362" s="302"/>
      <c r="J362" s="297"/>
    </row>
    <row r="363" spans="1:10" ht="17.25" customHeight="1" x14ac:dyDescent="0.2">
      <c r="A363" s="316">
        <v>360</v>
      </c>
      <c r="B363" s="298"/>
      <c r="C363" s="299"/>
      <c r="D363" s="295"/>
      <c r="E363" s="300"/>
      <c r="F363" s="300"/>
      <c r="G363" s="301"/>
      <c r="H363" s="296"/>
      <c r="I363" s="302"/>
      <c r="J363" s="297"/>
    </row>
    <row r="364" spans="1:10" ht="17.25" customHeight="1" x14ac:dyDescent="0.2">
      <c r="A364" s="316">
        <v>361</v>
      </c>
      <c r="B364" s="298"/>
      <c r="C364" s="299"/>
      <c r="D364" s="295"/>
      <c r="E364" s="300"/>
      <c r="F364" s="300"/>
      <c r="G364" s="301"/>
      <c r="H364" s="296"/>
      <c r="I364" s="302"/>
      <c r="J364" s="297"/>
    </row>
    <row r="365" spans="1:10" ht="17.25" customHeight="1" x14ac:dyDescent="0.2">
      <c r="A365" s="316">
        <v>362</v>
      </c>
      <c r="B365" s="298"/>
      <c r="C365" s="299"/>
      <c r="D365" s="295"/>
      <c r="E365" s="300"/>
      <c r="F365" s="300"/>
      <c r="G365" s="301"/>
      <c r="H365" s="296"/>
      <c r="I365" s="302"/>
      <c r="J365" s="297"/>
    </row>
    <row r="366" spans="1:10" ht="17.25" customHeight="1" x14ac:dyDescent="0.2">
      <c r="A366" s="316">
        <v>363</v>
      </c>
      <c r="B366" s="298"/>
      <c r="C366" s="299"/>
      <c r="D366" s="295"/>
      <c r="E366" s="300"/>
      <c r="F366" s="300"/>
      <c r="G366" s="301"/>
      <c r="H366" s="296"/>
      <c r="I366" s="302"/>
      <c r="J366" s="297"/>
    </row>
    <row r="367" spans="1:10" ht="17.25" customHeight="1" x14ac:dyDescent="0.2">
      <c r="A367" s="316">
        <v>364</v>
      </c>
      <c r="B367" s="298"/>
      <c r="C367" s="299"/>
      <c r="D367" s="295"/>
      <c r="E367" s="300"/>
      <c r="F367" s="300"/>
      <c r="G367" s="301"/>
      <c r="H367" s="296"/>
      <c r="I367" s="302"/>
      <c r="J367" s="297"/>
    </row>
    <row r="368" spans="1:10" ht="17.25" customHeight="1" x14ac:dyDescent="0.2">
      <c r="A368" s="316">
        <v>365</v>
      </c>
      <c r="B368" s="298"/>
      <c r="C368" s="299"/>
      <c r="D368" s="295"/>
      <c r="E368" s="300"/>
      <c r="F368" s="300"/>
      <c r="G368" s="301"/>
      <c r="H368" s="296"/>
      <c r="I368" s="302"/>
      <c r="J368" s="297"/>
    </row>
    <row r="369" spans="1:10" ht="17.25" customHeight="1" x14ac:dyDescent="0.2">
      <c r="A369" s="316">
        <v>366</v>
      </c>
      <c r="B369" s="298"/>
      <c r="C369" s="299"/>
      <c r="D369" s="295"/>
      <c r="E369" s="300"/>
      <c r="F369" s="300"/>
      <c r="G369" s="301"/>
      <c r="H369" s="296"/>
      <c r="I369" s="302"/>
      <c r="J369" s="297"/>
    </row>
    <row r="370" spans="1:10" ht="17.25" customHeight="1" x14ac:dyDescent="0.2">
      <c r="A370" s="316">
        <v>367</v>
      </c>
      <c r="B370" s="298"/>
      <c r="C370" s="299"/>
      <c r="D370" s="295"/>
      <c r="E370" s="300"/>
      <c r="F370" s="300"/>
      <c r="G370" s="301"/>
      <c r="H370" s="296"/>
      <c r="I370" s="302"/>
      <c r="J370" s="297"/>
    </row>
    <row r="371" spans="1:10" ht="17.25" customHeight="1" x14ac:dyDescent="0.2">
      <c r="A371" s="316">
        <v>368</v>
      </c>
      <c r="B371" s="298"/>
      <c r="C371" s="299"/>
      <c r="D371" s="295"/>
      <c r="E371" s="300"/>
      <c r="F371" s="300"/>
      <c r="G371" s="301"/>
      <c r="H371" s="296"/>
      <c r="I371" s="302"/>
      <c r="J371" s="297"/>
    </row>
    <row r="372" spans="1:10" ht="17.25" customHeight="1" x14ac:dyDescent="0.2">
      <c r="A372" s="316">
        <v>369</v>
      </c>
      <c r="B372" s="298"/>
      <c r="C372" s="299"/>
      <c r="D372" s="295"/>
      <c r="E372" s="300"/>
      <c r="F372" s="300"/>
      <c r="G372" s="301"/>
      <c r="H372" s="296"/>
      <c r="I372" s="302"/>
      <c r="J372" s="297"/>
    </row>
    <row r="373" spans="1:10" ht="17.25" customHeight="1" x14ac:dyDescent="0.2">
      <c r="A373" s="316">
        <v>370</v>
      </c>
      <c r="B373" s="298"/>
      <c r="C373" s="299"/>
      <c r="D373" s="295"/>
      <c r="E373" s="300"/>
      <c r="F373" s="300"/>
      <c r="G373" s="301"/>
      <c r="H373" s="296"/>
      <c r="I373" s="302"/>
      <c r="J373" s="297"/>
    </row>
    <row r="374" spans="1:10" ht="17.25" customHeight="1" x14ac:dyDescent="0.2">
      <c r="A374" s="316">
        <v>371</v>
      </c>
      <c r="B374" s="298"/>
      <c r="C374" s="299"/>
      <c r="D374" s="295"/>
      <c r="E374" s="300"/>
      <c r="F374" s="300"/>
      <c r="G374" s="301"/>
      <c r="H374" s="296"/>
      <c r="I374" s="302"/>
      <c r="J374" s="297"/>
    </row>
    <row r="375" spans="1:10" ht="17.25" customHeight="1" x14ac:dyDescent="0.2">
      <c r="A375" s="316">
        <v>372</v>
      </c>
      <c r="B375" s="298"/>
      <c r="C375" s="299"/>
      <c r="D375" s="295"/>
      <c r="E375" s="300"/>
      <c r="F375" s="300"/>
      <c r="G375" s="301"/>
      <c r="H375" s="296"/>
      <c r="I375" s="302"/>
      <c r="J375" s="297"/>
    </row>
    <row r="376" spans="1:10" ht="17.25" customHeight="1" x14ac:dyDescent="0.2">
      <c r="A376" s="316">
        <v>373</v>
      </c>
      <c r="B376" s="298"/>
      <c r="C376" s="299"/>
      <c r="D376" s="295"/>
      <c r="E376" s="300"/>
      <c r="F376" s="300"/>
      <c r="G376" s="301"/>
      <c r="H376" s="296"/>
      <c r="I376" s="302"/>
      <c r="J376" s="297"/>
    </row>
    <row r="377" spans="1:10" ht="17.25" customHeight="1" x14ac:dyDescent="0.2">
      <c r="A377" s="316">
        <v>374</v>
      </c>
      <c r="B377" s="298"/>
      <c r="C377" s="299"/>
      <c r="D377" s="295"/>
      <c r="E377" s="300"/>
      <c r="F377" s="300"/>
      <c r="G377" s="301"/>
      <c r="H377" s="296"/>
      <c r="I377" s="302"/>
      <c r="J377" s="297"/>
    </row>
    <row r="378" spans="1:10" ht="17.25" customHeight="1" x14ac:dyDescent="0.2">
      <c r="A378" s="316">
        <v>375</v>
      </c>
      <c r="B378" s="298"/>
      <c r="C378" s="299"/>
      <c r="D378" s="295"/>
      <c r="E378" s="300"/>
      <c r="F378" s="300"/>
      <c r="G378" s="301"/>
      <c r="H378" s="296"/>
      <c r="I378" s="302"/>
      <c r="J378" s="297"/>
    </row>
    <row r="379" spans="1:10" ht="17.25" customHeight="1" x14ac:dyDescent="0.2">
      <c r="A379" s="316">
        <v>376</v>
      </c>
      <c r="B379" s="298"/>
      <c r="C379" s="299"/>
      <c r="D379" s="295"/>
      <c r="E379" s="300"/>
      <c r="F379" s="300"/>
      <c r="G379" s="301"/>
      <c r="H379" s="296"/>
      <c r="I379" s="302"/>
      <c r="J379" s="297"/>
    </row>
    <row r="380" spans="1:10" ht="17.25" customHeight="1" x14ac:dyDescent="0.2">
      <c r="A380" s="316">
        <v>377</v>
      </c>
      <c r="B380" s="298"/>
      <c r="C380" s="299"/>
      <c r="D380" s="295"/>
      <c r="E380" s="300"/>
      <c r="F380" s="300"/>
      <c r="G380" s="301"/>
      <c r="H380" s="296"/>
      <c r="I380" s="302"/>
      <c r="J380" s="297"/>
    </row>
    <row r="381" spans="1:10" ht="17.25" customHeight="1" x14ac:dyDescent="0.2">
      <c r="A381" s="316">
        <v>378</v>
      </c>
      <c r="B381" s="298"/>
      <c r="C381" s="299"/>
      <c r="D381" s="295"/>
      <c r="E381" s="300"/>
      <c r="F381" s="300"/>
      <c r="G381" s="301"/>
      <c r="H381" s="296"/>
      <c r="I381" s="302"/>
      <c r="J381" s="297"/>
    </row>
    <row r="382" spans="1:10" ht="17.25" customHeight="1" x14ac:dyDescent="0.2">
      <c r="A382" s="316">
        <v>379</v>
      </c>
      <c r="B382" s="298"/>
      <c r="C382" s="299"/>
      <c r="D382" s="295"/>
      <c r="E382" s="300"/>
      <c r="F382" s="300"/>
      <c r="G382" s="301"/>
      <c r="H382" s="296"/>
      <c r="I382" s="302"/>
      <c r="J382" s="297"/>
    </row>
    <row r="383" spans="1:10" ht="17.25" customHeight="1" x14ac:dyDescent="0.2">
      <c r="A383" s="316">
        <v>380</v>
      </c>
      <c r="B383" s="298"/>
      <c r="C383" s="299"/>
      <c r="D383" s="295"/>
      <c r="E383" s="300"/>
      <c r="F383" s="300"/>
      <c r="G383" s="301"/>
      <c r="H383" s="296"/>
      <c r="I383" s="302"/>
      <c r="J383" s="297"/>
    </row>
    <row r="384" spans="1:10" ht="17.25" customHeight="1" x14ac:dyDescent="0.2">
      <c r="A384" s="316">
        <v>381</v>
      </c>
      <c r="B384" s="298"/>
      <c r="C384" s="299"/>
      <c r="D384" s="295"/>
      <c r="E384" s="300"/>
      <c r="F384" s="300"/>
      <c r="G384" s="301"/>
      <c r="H384" s="296"/>
      <c r="I384" s="302"/>
      <c r="J384" s="297"/>
    </row>
    <row r="385" spans="1:10" ht="17.25" customHeight="1" x14ac:dyDescent="0.2">
      <c r="A385" s="316">
        <v>382</v>
      </c>
      <c r="B385" s="298"/>
      <c r="C385" s="299"/>
      <c r="D385" s="295"/>
      <c r="E385" s="300"/>
      <c r="F385" s="300"/>
      <c r="G385" s="301"/>
      <c r="H385" s="296"/>
      <c r="I385" s="302"/>
      <c r="J385" s="297"/>
    </row>
    <row r="386" spans="1:10" ht="17.25" customHeight="1" x14ac:dyDescent="0.2">
      <c r="A386" s="316">
        <v>383</v>
      </c>
      <c r="B386" s="298"/>
      <c r="C386" s="299"/>
      <c r="D386" s="295"/>
      <c r="E386" s="300"/>
      <c r="F386" s="300"/>
      <c r="G386" s="301"/>
      <c r="H386" s="296"/>
      <c r="I386" s="302"/>
      <c r="J386" s="297"/>
    </row>
    <row r="387" spans="1:10" ht="17.25" customHeight="1" x14ac:dyDescent="0.2">
      <c r="A387" s="316">
        <v>384</v>
      </c>
      <c r="B387" s="298"/>
      <c r="C387" s="299"/>
      <c r="D387" s="295"/>
      <c r="E387" s="300"/>
      <c r="F387" s="300"/>
      <c r="G387" s="301"/>
      <c r="H387" s="296"/>
      <c r="I387" s="302"/>
      <c r="J387" s="297"/>
    </row>
    <row r="388" spans="1:10" ht="17.25" customHeight="1" x14ac:dyDescent="0.2">
      <c r="A388" s="316">
        <v>385</v>
      </c>
      <c r="B388" s="298"/>
      <c r="C388" s="299"/>
      <c r="D388" s="295"/>
      <c r="E388" s="300"/>
      <c r="F388" s="300"/>
      <c r="G388" s="301"/>
      <c r="H388" s="296"/>
      <c r="I388" s="302"/>
      <c r="J388" s="297"/>
    </row>
    <row r="389" spans="1:10" ht="17.25" customHeight="1" x14ac:dyDescent="0.2">
      <c r="A389" s="316">
        <v>386</v>
      </c>
      <c r="B389" s="298"/>
      <c r="C389" s="299"/>
      <c r="D389" s="295"/>
      <c r="E389" s="300"/>
      <c r="F389" s="300"/>
      <c r="G389" s="301"/>
      <c r="H389" s="296"/>
      <c r="I389" s="302"/>
      <c r="J389" s="297"/>
    </row>
    <row r="390" spans="1:10" ht="17.25" customHeight="1" x14ac:dyDescent="0.2">
      <c r="A390" s="316">
        <v>387</v>
      </c>
      <c r="B390" s="298"/>
      <c r="C390" s="299"/>
      <c r="D390" s="295"/>
      <c r="E390" s="300"/>
      <c r="F390" s="300"/>
      <c r="G390" s="301"/>
      <c r="H390" s="296"/>
      <c r="I390" s="302"/>
      <c r="J390" s="297"/>
    </row>
    <row r="391" spans="1:10" ht="17.25" customHeight="1" x14ac:dyDescent="0.2">
      <c r="A391" s="316">
        <v>388</v>
      </c>
      <c r="B391" s="298"/>
      <c r="C391" s="299"/>
      <c r="D391" s="295"/>
      <c r="E391" s="300"/>
      <c r="F391" s="300"/>
      <c r="G391" s="301"/>
      <c r="H391" s="296"/>
      <c r="I391" s="302"/>
      <c r="J391" s="297"/>
    </row>
    <row r="392" spans="1:10" ht="17.25" customHeight="1" x14ac:dyDescent="0.2">
      <c r="A392" s="316">
        <v>389</v>
      </c>
      <c r="B392" s="298"/>
      <c r="C392" s="299"/>
      <c r="D392" s="295"/>
      <c r="E392" s="300"/>
      <c r="F392" s="300"/>
      <c r="G392" s="301"/>
      <c r="H392" s="296"/>
      <c r="I392" s="302"/>
      <c r="J392" s="297"/>
    </row>
    <row r="393" spans="1:10" ht="17.25" customHeight="1" x14ac:dyDescent="0.2">
      <c r="A393" s="316">
        <v>390</v>
      </c>
      <c r="B393" s="298"/>
      <c r="C393" s="299"/>
      <c r="D393" s="295"/>
      <c r="E393" s="300"/>
      <c r="F393" s="300"/>
      <c r="G393" s="301"/>
      <c r="H393" s="296"/>
      <c r="I393" s="302"/>
      <c r="J393" s="297"/>
    </row>
    <row r="394" spans="1:10" ht="17.25" customHeight="1" x14ac:dyDescent="0.2">
      <c r="A394" s="316">
        <v>391</v>
      </c>
      <c r="B394" s="298"/>
      <c r="C394" s="299"/>
      <c r="D394" s="295"/>
      <c r="E394" s="300"/>
      <c r="F394" s="300"/>
      <c r="G394" s="301"/>
      <c r="H394" s="296"/>
      <c r="I394" s="302"/>
      <c r="J394" s="297"/>
    </row>
    <row r="395" spans="1:10" ht="17.25" customHeight="1" x14ac:dyDescent="0.2">
      <c r="A395" s="316">
        <v>392</v>
      </c>
      <c r="B395" s="298"/>
      <c r="C395" s="299"/>
      <c r="D395" s="295"/>
      <c r="E395" s="300"/>
      <c r="F395" s="300"/>
      <c r="G395" s="301"/>
      <c r="H395" s="296"/>
      <c r="I395" s="302"/>
      <c r="J395" s="297"/>
    </row>
    <row r="396" spans="1:10" ht="17.25" customHeight="1" x14ac:dyDescent="0.2">
      <c r="A396" s="316">
        <v>393</v>
      </c>
      <c r="B396" s="298"/>
      <c r="C396" s="299"/>
      <c r="D396" s="295"/>
      <c r="E396" s="300"/>
      <c r="F396" s="300"/>
      <c r="G396" s="301"/>
      <c r="H396" s="296"/>
      <c r="I396" s="302"/>
      <c r="J396" s="297"/>
    </row>
    <row r="397" spans="1:10" ht="17.25" customHeight="1" x14ac:dyDescent="0.2">
      <c r="A397" s="316">
        <v>394</v>
      </c>
      <c r="B397" s="298"/>
      <c r="C397" s="299"/>
      <c r="D397" s="295"/>
      <c r="E397" s="300"/>
      <c r="F397" s="300"/>
      <c r="G397" s="301"/>
      <c r="H397" s="296"/>
      <c r="I397" s="302"/>
      <c r="J397" s="297"/>
    </row>
    <row r="398" spans="1:10" ht="17.25" customHeight="1" x14ac:dyDescent="0.2">
      <c r="A398" s="316">
        <v>395</v>
      </c>
      <c r="B398" s="298"/>
      <c r="C398" s="299"/>
      <c r="D398" s="295"/>
      <c r="E398" s="300"/>
      <c r="F398" s="300"/>
      <c r="G398" s="301"/>
      <c r="H398" s="296"/>
      <c r="I398" s="302"/>
      <c r="J398" s="297"/>
    </row>
    <row r="399" spans="1:10" ht="17.25" customHeight="1" x14ac:dyDescent="0.2">
      <c r="A399" s="316">
        <v>396</v>
      </c>
      <c r="B399" s="298"/>
      <c r="C399" s="299"/>
      <c r="D399" s="295"/>
      <c r="E399" s="300"/>
      <c r="F399" s="300"/>
      <c r="G399" s="301"/>
      <c r="H399" s="296"/>
      <c r="I399" s="302"/>
      <c r="J399" s="297"/>
    </row>
    <row r="400" spans="1:10" ht="17.25" customHeight="1" x14ac:dyDescent="0.2">
      <c r="A400" s="316">
        <v>397</v>
      </c>
      <c r="B400" s="298"/>
      <c r="C400" s="299"/>
      <c r="D400" s="295"/>
      <c r="E400" s="300"/>
      <c r="F400" s="300"/>
      <c r="G400" s="301"/>
      <c r="H400" s="296"/>
      <c r="I400" s="302"/>
      <c r="J400" s="297"/>
    </row>
    <row r="401" spans="1:10" ht="17.25" customHeight="1" x14ac:dyDescent="0.2">
      <c r="A401" s="316">
        <v>398</v>
      </c>
      <c r="B401" s="298"/>
      <c r="C401" s="299"/>
      <c r="D401" s="295"/>
      <c r="E401" s="300"/>
      <c r="F401" s="300"/>
      <c r="G401" s="301"/>
      <c r="H401" s="296"/>
      <c r="I401" s="302"/>
      <c r="J401" s="297"/>
    </row>
    <row r="402" spans="1:10" ht="17.25" customHeight="1" x14ac:dyDescent="0.2">
      <c r="A402" s="316">
        <v>399</v>
      </c>
      <c r="B402" s="298"/>
      <c r="C402" s="299"/>
      <c r="D402" s="295"/>
      <c r="E402" s="300"/>
      <c r="F402" s="300"/>
      <c r="G402" s="301"/>
      <c r="H402" s="296"/>
      <c r="I402" s="302"/>
      <c r="J402" s="297"/>
    </row>
    <row r="403" spans="1:10" ht="17.25" customHeight="1" x14ac:dyDescent="0.2">
      <c r="A403" s="316">
        <v>400</v>
      </c>
      <c r="B403" s="298"/>
      <c r="C403" s="299"/>
      <c r="D403" s="295"/>
      <c r="E403" s="300"/>
      <c r="F403" s="300"/>
      <c r="G403" s="301"/>
      <c r="H403" s="296"/>
      <c r="I403" s="302"/>
      <c r="J403" s="297"/>
    </row>
    <row r="404" spans="1:10" ht="17.25" customHeight="1" x14ac:dyDescent="0.2">
      <c r="A404" s="316">
        <v>401</v>
      </c>
      <c r="B404" s="298"/>
      <c r="C404" s="299"/>
      <c r="D404" s="295"/>
      <c r="E404" s="300"/>
      <c r="F404" s="300"/>
      <c r="G404" s="301"/>
      <c r="H404" s="296"/>
      <c r="I404" s="302"/>
      <c r="J404" s="297"/>
    </row>
    <row r="405" spans="1:10" ht="17.25" customHeight="1" x14ac:dyDescent="0.2">
      <c r="A405" s="316">
        <v>402</v>
      </c>
      <c r="B405" s="298"/>
      <c r="C405" s="299"/>
      <c r="D405" s="295"/>
      <c r="E405" s="300"/>
      <c r="F405" s="300"/>
      <c r="G405" s="301"/>
      <c r="H405" s="296"/>
      <c r="I405" s="302"/>
      <c r="J405" s="297"/>
    </row>
    <row r="406" spans="1:10" ht="17.25" customHeight="1" x14ac:dyDescent="0.2">
      <c r="A406" s="316">
        <v>403</v>
      </c>
      <c r="B406" s="298"/>
      <c r="C406" s="299"/>
      <c r="D406" s="295"/>
      <c r="E406" s="300"/>
      <c r="F406" s="300"/>
      <c r="G406" s="301"/>
      <c r="H406" s="296"/>
      <c r="I406" s="302"/>
      <c r="J406" s="297"/>
    </row>
    <row r="407" spans="1:10" ht="17.25" customHeight="1" x14ac:dyDescent="0.2">
      <c r="A407" s="316">
        <v>404</v>
      </c>
      <c r="B407" s="298"/>
      <c r="C407" s="299"/>
      <c r="D407" s="295"/>
      <c r="E407" s="300"/>
      <c r="F407" s="300"/>
      <c r="G407" s="301"/>
      <c r="H407" s="296"/>
      <c r="I407" s="302"/>
      <c r="J407" s="297"/>
    </row>
    <row r="408" spans="1:10" ht="17.25" customHeight="1" x14ac:dyDescent="0.2">
      <c r="A408" s="316">
        <v>405</v>
      </c>
      <c r="B408" s="298"/>
      <c r="C408" s="299"/>
      <c r="D408" s="295"/>
      <c r="E408" s="300"/>
      <c r="F408" s="300"/>
      <c r="G408" s="301"/>
      <c r="H408" s="296"/>
      <c r="I408" s="302"/>
      <c r="J408" s="297"/>
    </row>
    <row r="409" spans="1:10" ht="17.25" customHeight="1" x14ac:dyDescent="0.2">
      <c r="A409" s="316">
        <v>406</v>
      </c>
      <c r="B409" s="298"/>
      <c r="C409" s="299"/>
      <c r="D409" s="295"/>
      <c r="E409" s="300"/>
      <c r="F409" s="300"/>
      <c r="G409" s="301"/>
      <c r="H409" s="296"/>
      <c r="I409" s="302"/>
      <c r="J409" s="297"/>
    </row>
    <row r="410" spans="1:10" ht="17.25" customHeight="1" x14ac:dyDescent="0.2">
      <c r="A410" s="316">
        <v>407</v>
      </c>
      <c r="B410" s="298"/>
      <c r="C410" s="299"/>
      <c r="D410" s="295"/>
      <c r="E410" s="300"/>
      <c r="F410" s="300"/>
      <c r="G410" s="301"/>
      <c r="H410" s="296"/>
      <c r="I410" s="302"/>
      <c r="J410" s="297"/>
    </row>
    <row r="411" spans="1:10" ht="17.25" customHeight="1" x14ac:dyDescent="0.2">
      <c r="A411" s="316">
        <v>408</v>
      </c>
      <c r="B411" s="298"/>
      <c r="C411" s="299"/>
      <c r="D411" s="295"/>
      <c r="E411" s="300"/>
      <c r="F411" s="300"/>
      <c r="G411" s="301"/>
      <c r="H411" s="296"/>
      <c r="I411" s="302"/>
      <c r="J411" s="297"/>
    </row>
    <row r="412" spans="1:10" ht="17.25" customHeight="1" x14ac:dyDescent="0.2">
      <c r="A412" s="316">
        <v>409</v>
      </c>
      <c r="B412" s="298"/>
      <c r="C412" s="299"/>
      <c r="D412" s="295"/>
      <c r="E412" s="300"/>
      <c r="F412" s="300"/>
      <c r="G412" s="301"/>
      <c r="H412" s="296"/>
      <c r="I412" s="302"/>
      <c r="J412" s="297"/>
    </row>
    <row r="413" spans="1:10" ht="17.25" customHeight="1" x14ac:dyDescent="0.2">
      <c r="A413" s="316">
        <v>410</v>
      </c>
      <c r="B413" s="298"/>
      <c r="C413" s="299"/>
      <c r="D413" s="295"/>
      <c r="E413" s="300"/>
      <c r="F413" s="300"/>
      <c r="G413" s="301"/>
      <c r="H413" s="296"/>
      <c r="I413" s="302"/>
      <c r="J413" s="297"/>
    </row>
    <row r="414" spans="1:10" ht="17.25" customHeight="1" x14ac:dyDescent="0.2">
      <c r="A414" s="316">
        <v>411</v>
      </c>
      <c r="B414" s="298"/>
      <c r="C414" s="299"/>
      <c r="D414" s="295"/>
      <c r="E414" s="300"/>
      <c r="F414" s="300"/>
      <c r="G414" s="301"/>
      <c r="H414" s="296"/>
      <c r="I414" s="302"/>
      <c r="J414" s="297"/>
    </row>
    <row r="415" spans="1:10" ht="17.25" customHeight="1" x14ac:dyDescent="0.2">
      <c r="A415" s="316">
        <v>412</v>
      </c>
      <c r="B415" s="298"/>
      <c r="C415" s="299"/>
      <c r="D415" s="295"/>
      <c r="E415" s="300"/>
      <c r="F415" s="300"/>
      <c r="G415" s="301"/>
      <c r="H415" s="296"/>
      <c r="I415" s="302"/>
      <c r="J415" s="297"/>
    </row>
    <row r="416" spans="1:10" ht="17.25" customHeight="1" x14ac:dyDescent="0.2">
      <c r="A416" s="316">
        <v>413</v>
      </c>
      <c r="B416" s="298"/>
      <c r="C416" s="299"/>
      <c r="D416" s="295"/>
      <c r="E416" s="300"/>
      <c r="F416" s="300"/>
      <c r="G416" s="301"/>
      <c r="H416" s="296"/>
      <c r="I416" s="302"/>
      <c r="J416" s="297"/>
    </row>
    <row r="417" spans="1:10" ht="17.25" customHeight="1" x14ac:dyDescent="0.2">
      <c r="A417" s="316">
        <v>414</v>
      </c>
      <c r="B417" s="298"/>
      <c r="C417" s="299"/>
      <c r="D417" s="295"/>
      <c r="E417" s="300"/>
      <c r="F417" s="300"/>
      <c r="G417" s="301"/>
      <c r="H417" s="296"/>
      <c r="I417" s="302"/>
      <c r="J417" s="297"/>
    </row>
    <row r="418" spans="1:10" ht="17.25" customHeight="1" x14ac:dyDescent="0.2">
      <c r="A418" s="316">
        <v>415</v>
      </c>
      <c r="B418" s="298"/>
      <c r="C418" s="299"/>
      <c r="D418" s="295"/>
      <c r="E418" s="300"/>
      <c r="F418" s="300"/>
      <c r="G418" s="301"/>
      <c r="H418" s="296"/>
      <c r="I418" s="302"/>
      <c r="J418" s="297"/>
    </row>
    <row r="419" spans="1:10" ht="17.25" customHeight="1" x14ac:dyDescent="0.2">
      <c r="A419" s="316">
        <v>416</v>
      </c>
      <c r="B419" s="298"/>
      <c r="C419" s="299"/>
      <c r="D419" s="295"/>
      <c r="E419" s="300"/>
      <c r="F419" s="300"/>
      <c r="G419" s="301"/>
      <c r="H419" s="296"/>
      <c r="I419" s="302"/>
      <c r="J419" s="297"/>
    </row>
    <row r="420" spans="1:10" ht="17.25" customHeight="1" x14ac:dyDescent="0.2">
      <c r="A420" s="316">
        <v>417</v>
      </c>
      <c r="B420" s="298"/>
      <c r="C420" s="299"/>
      <c r="D420" s="295"/>
      <c r="E420" s="300"/>
      <c r="F420" s="300"/>
      <c r="G420" s="301"/>
      <c r="H420" s="296"/>
      <c r="I420" s="302"/>
      <c r="J420" s="297"/>
    </row>
    <row r="421" spans="1:10" ht="17.25" customHeight="1" x14ac:dyDescent="0.2">
      <c r="A421" s="316">
        <v>418</v>
      </c>
      <c r="B421" s="298"/>
      <c r="C421" s="299"/>
      <c r="D421" s="295"/>
      <c r="E421" s="300"/>
      <c r="F421" s="300"/>
      <c r="G421" s="301"/>
      <c r="H421" s="296"/>
      <c r="I421" s="302"/>
      <c r="J421" s="297"/>
    </row>
    <row r="422" spans="1:10" ht="17.25" customHeight="1" x14ac:dyDescent="0.2">
      <c r="A422" s="316">
        <v>419</v>
      </c>
      <c r="B422" s="298"/>
      <c r="C422" s="299"/>
      <c r="D422" s="295"/>
      <c r="E422" s="300"/>
      <c r="F422" s="300"/>
      <c r="G422" s="301"/>
      <c r="H422" s="296"/>
      <c r="I422" s="302"/>
      <c r="J422" s="297"/>
    </row>
    <row r="423" spans="1:10" ht="17.25" customHeight="1" x14ac:dyDescent="0.2">
      <c r="A423" s="316">
        <v>420</v>
      </c>
      <c r="B423" s="298"/>
      <c r="C423" s="299"/>
      <c r="D423" s="295"/>
      <c r="E423" s="300"/>
      <c r="F423" s="300"/>
      <c r="G423" s="301"/>
      <c r="H423" s="296"/>
      <c r="I423" s="302"/>
      <c r="J423" s="297"/>
    </row>
    <row r="424" spans="1:10" ht="17.25" customHeight="1" x14ac:dyDescent="0.2">
      <c r="A424" s="316">
        <v>421</v>
      </c>
      <c r="B424" s="298"/>
      <c r="C424" s="299"/>
      <c r="D424" s="295"/>
      <c r="E424" s="300"/>
      <c r="F424" s="300"/>
      <c r="G424" s="301"/>
      <c r="H424" s="296"/>
      <c r="I424" s="302"/>
      <c r="J424" s="297"/>
    </row>
    <row r="425" spans="1:10" ht="17.25" customHeight="1" x14ac:dyDescent="0.2">
      <c r="A425" s="316">
        <v>422</v>
      </c>
      <c r="B425" s="298"/>
      <c r="C425" s="299"/>
      <c r="D425" s="295"/>
      <c r="E425" s="300"/>
      <c r="F425" s="300"/>
      <c r="G425" s="301"/>
      <c r="H425" s="296"/>
      <c r="I425" s="302"/>
      <c r="J425" s="297"/>
    </row>
    <row r="426" spans="1:10" ht="17.25" customHeight="1" x14ac:dyDescent="0.2">
      <c r="A426" s="316">
        <v>423</v>
      </c>
      <c r="B426" s="298"/>
      <c r="C426" s="299"/>
      <c r="D426" s="295"/>
      <c r="E426" s="300"/>
      <c r="F426" s="300"/>
      <c r="G426" s="301"/>
      <c r="H426" s="296"/>
      <c r="I426" s="302"/>
      <c r="J426" s="297"/>
    </row>
    <row r="427" spans="1:10" ht="17.25" customHeight="1" x14ac:dyDescent="0.2">
      <c r="A427" s="316">
        <v>424</v>
      </c>
      <c r="B427" s="298"/>
      <c r="C427" s="299"/>
      <c r="D427" s="295"/>
      <c r="E427" s="300"/>
      <c r="F427" s="300"/>
      <c r="G427" s="301"/>
      <c r="H427" s="296"/>
      <c r="I427" s="302"/>
      <c r="J427" s="297"/>
    </row>
    <row r="428" spans="1:10" ht="17.25" customHeight="1" x14ac:dyDescent="0.2">
      <c r="A428" s="316">
        <v>425</v>
      </c>
      <c r="B428" s="298"/>
      <c r="C428" s="299"/>
      <c r="D428" s="295"/>
      <c r="E428" s="300"/>
      <c r="F428" s="300"/>
      <c r="G428" s="301"/>
      <c r="H428" s="296"/>
      <c r="I428" s="302"/>
      <c r="J428" s="297"/>
    </row>
    <row r="429" spans="1:10" ht="17.25" customHeight="1" x14ac:dyDescent="0.2">
      <c r="A429" s="316">
        <v>426</v>
      </c>
      <c r="B429" s="298"/>
      <c r="C429" s="299"/>
      <c r="D429" s="295"/>
      <c r="E429" s="300"/>
      <c r="F429" s="300"/>
      <c r="G429" s="301"/>
      <c r="H429" s="296"/>
      <c r="I429" s="302"/>
      <c r="J429" s="297"/>
    </row>
    <row r="430" spans="1:10" ht="17.25" customHeight="1" x14ac:dyDescent="0.2">
      <c r="A430" s="316">
        <v>427</v>
      </c>
      <c r="B430" s="298"/>
      <c r="C430" s="299"/>
      <c r="D430" s="295"/>
      <c r="E430" s="300"/>
      <c r="F430" s="300"/>
      <c r="G430" s="301"/>
      <c r="H430" s="296"/>
      <c r="I430" s="302"/>
      <c r="J430" s="297"/>
    </row>
    <row r="431" spans="1:10" ht="17.25" customHeight="1" x14ac:dyDescent="0.2">
      <c r="A431" s="316">
        <v>428</v>
      </c>
      <c r="B431" s="298"/>
      <c r="C431" s="299"/>
      <c r="D431" s="295"/>
      <c r="E431" s="300"/>
      <c r="F431" s="300"/>
      <c r="G431" s="301"/>
      <c r="H431" s="296"/>
      <c r="I431" s="302"/>
      <c r="J431" s="297"/>
    </row>
    <row r="432" spans="1:10" ht="17.25" customHeight="1" x14ac:dyDescent="0.2">
      <c r="A432" s="316">
        <v>429</v>
      </c>
      <c r="B432" s="298"/>
      <c r="C432" s="299"/>
      <c r="D432" s="295"/>
      <c r="E432" s="300"/>
      <c r="F432" s="300"/>
      <c r="G432" s="301"/>
      <c r="H432" s="296"/>
      <c r="I432" s="302"/>
      <c r="J432" s="297"/>
    </row>
    <row r="433" spans="1:10" ht="17.25" customHeight="1" x14ac:dyDescent="0.2">
      <c r="A433" s="316">
        <v>430</v>
      </c>
      <c r="B433" s="298"/>
      <c r="C433" s="299"/>
      <c r="D433" s="295"/>
      <c r="E433" s="300"/>
      <c r="F433" s="300"/>
      <c r="G433" s="301"/>
      <c r="H433" s="296"/>
      <c r="I433" s="302"/>
      <c r="J433" s="297"/>
    </row>
    <row r="434" spans="1:10" ht="17.25" customHeight="1" x14ac:dyDescent="0.2">
      <c r="A434" s="316">
        <v>431</v>
      </c>
      <c r="B434" s="298"/>
      <c r="C434" s="299"/>
      <c r="D434" s="295"/>
      <c r="E434" s="300"/>
      <c r="F434" s="300"/>
      <c r="G434" s="301"/>
      <c r="H434" s="296"/>
      <c r="I434" s="302"/>
      <c r="J434" s="297"/>
    </row>
    <row r="435" spans="1:10" ht="17.25" customHeight="1" x14ac:dyDescent="0.2">
      <c r="A435" s="316">
        <v>432</v>
      </c>
      <c r="B435" s="298"/>
      <c r="C435" s="299"/>
      <c r="D435" s="295"/>
      <c r="E435" s="300"/>
      <c r="F435" s="300"/>
      <c r="G435" s="301"/>
      <c r="H435" s="296"/>
      <c r="I435" s="302"/>
      <c r="J435" s="297"/>
    </row>
    <row r="436" spans="1:10" ht="17.25" customHeight="1" x14ac:dyDescent="0.2">
      <c r="A436" s="316">
        <v>433</v>
      </c>
      <c r="B436" s="298"/>
      <c r="C436" s="299"/>
      <c r="D436" s="295"/>
      <c r="E436" s="300"/>
      <c r="F436" s="300"/>
      <c r="G436" s="301"/>
      <c r="H436" s="296"/>
      <c r="I436" s="302"/>
      <c r="J436" s="297"/>
    </row>
    <row r="437" spans="1:10" ht="17.25" customHeight="1" x14ac:dyDescent="0.2">
      <c r="A437" s="316">
        <v>434</v>
      </c>
      <c r="B437" s="298"/>
      <c r="C437" s="299"/>
      <c r="D437" s="295"/>
      <c r="E437" s="300"/>
      <c r="F437" s="300"/>
      <c r="G437" s="301"/>
      <c r="H437" s="296"/>
      <c r="I437" s="302"/>
      <c r="J437" s="297"/>
    </row>
    <row r="438" spans="1:10" ht="17.25" customHeight="1" x14ac:dyDescent="0.2">
      <c r="A438" s="316">
        <v>435</v>
      </c>
      <c r="B438" s="298"/>
      <c r="C438" s="299"/>
      <c r="D438" s="295"/>
      <c r="E438" s="300"/>
      <c r="F438" s="300"/>
      <c r="G438" s="301"/>
      <c r="H438" s="296"/>
      <c r="I438" s="302"/>
      <c r="J438" s="297"/>
    </row>
    <row r="439" spans="1:10" ht="17.25" customHeight="1" x14ac:dyDescent="0.2">
      <c r="A439" s="316">
        <v>436</v>
      </c>
      <c r="B439" s="298"/>
      <c r="C439" s="299"/>
      <c r="D439" s="295"/>
      <c r="E439" s="300"/>
      <c r="F439" s="300"/>
      <c r="G439" s="301"/>
      <c r="H439" s="296"/>
      <c r="I439" s="302"/>
      <c r="J439" s="297"/>
    </row>
    <row r="440" spans="1:10" ht="17.25" customHeight="1" x14ac:dyDescent="0.2">
      <c r="A440" s="316">
        <v>437</v>
      </c>
      <c r="B440" s="298"/>
      <c r="C440" s="299"/>
      <c r="D440" s="295"/>
      <c r="E440" s="300"/>
      <c r="F440" s="300"/>
      <c r="G440" s="301"/>
      <c r="H440" s="296"/>
      <c r="I440" s="302"/>
      <c r="J440" s="297"/>
    </row>
    <row r="441" spans="1:10" ht="17.25" customHeight="1" x14ac:dyDescent="0.2">
      <c r="A441" s="316">
        <v>438</v>
      </c>
      <c r="B441" s="298"/>
      <c r="C441" s="299"/>
      <c r="D441" s="295"/>
      <c r="E441" s="300"/>
      <c r="F441" s="300"/>
      <c r="G441" s="301"/>
      <c r="H441" s="296"/>
      <c r="I441" s="302"/>
      <c r="J441" s="297"/>
    </row>
    <row r="442" spans="1:10" ht="17.25" customHeight="1" x14ac:dyDescent="0.2">
      <c r="A442" s="316">
        <v>439</v>
      </c>
      <c r="B442" s="298"/>
      <c r="C442" s="299"/>
      <c r="D442" s="295"/>
      <c r="E442" s="300"/>
      <c r="F442" s="300"/>
      <c r="G442" s="301"/>
      <c r="H442" s="296"/>
      <c r="I442" s="302"/>
      <c r="J442" s="297"/>
    </row>
    <row r="443" spans="1:10" ht="17.25" customHeight="1" x14ac:dyDescent="0.2">
      <c r="A443" s="316">
        <v>440</v>
      </c>
      <c r="B443" s="298"/>
      <c r="C443" s="299"/>
      <c r="D443" s="295"/>
      <c r="E443" s="300"/>
      <c r="F443" s="300"/>
      <c r="G443" s="301"/>
      <c r="H443" s="296"/>
      <c r="I443" s="302"/>
      <c r="J443" s="297"/>
    </row>
    <row r="444" spans="1:10" ht="17.25" customHeight="1" x14ac:dyDescent="0.2">
      <c r="A444" s="316">
        <v>441</v>
      </c>
      <c r="B444" s="298"/>
      <c r="C444" s="299"/>
      <c r="D444" s="295"/>
      <c r="E444" s="300"/>
      <c r="F444" s="300"/>
      <c r="G444" s="301"/>
      <c r="H444" s="296"/>
      <c r="I444" s="302"/>
      <c r="J444" s="297"/>
    </row>
    <row r="445" spans="1:10" ht="17.25" customHeight="1" x14ac:dyDescent="0.2">
      <c r="A445" s="316">
        <v>442</v>
      </c>
      <c r="B445" s="298"/>
      <c r="C445" s="299"/>
      <c r="D445" s="295"/>
      <c r="E445" s="300"/>
      <c r="F445" s="300"/>
      <c r="G445" s="301"/>
      <c r="H445" s="296"/>
      <c r="I445" s="302"/>
      <c r="J445" s="297"/>
    </row>
    <row r="446" spans="1:10" ht="17.25" customHeight="1" x14ac:dyDescent="0.2">
      <c r="A446" s="316">
        <v>443</v>
      </c>
      <c r="B446" s="298"/>
      <c r="C446" s="299"/>
      <c r="D446" s="295"/>
      <c r="E446" s="300"/>
      <c r="F446" s="300"/>
      <c r="G446" s="301"/>
      <c r="H446" s="296"/>
      <c r="I446" s="302"/>
      <c r="J446" s="297"/>
    </row>
    <row r="447" spans="1:10" ht="17.25" customHeight="1" x14ac:dyDescent="0.2">
      <c r="A447" s="316">
        <v>444</v>
      </c>
      <c r="B447" s="298"/>
      <c r="C447" s="299"/>
      <c r="D447" s="295"/>
      <c r="E447" s="300"/>
      <c r="F447" s="300"/>
      <c r="G447" s="301"/>
      <c r="H447" s="296"/>
      <c r="I447" s="302"/>
      <c r="J447" s="297"/>
    </row>
    <row r="448" spans="1:10" ht="17.25" customHeight="1" x14ac:dyDescent="0.2">
      <c r="A448" s="316">
        <v>445</v>
      </c>
      <c r="B448" s="298"/>
      <c r="C448" s="299"/>
      <c r="D448" s="295"/>
      <c r="E448" s="300"/>
      <c r="F448" s="300"/>
      <c r="G448" s="301"/>
      <c r="H448" s="296"/>
      <c r="I448" s="302"/>
      <c r="J448" s="297"/>
    </row>
    <row r="449" spans="1:10" ht="17.25" customHeight="1" x14ac:dyDescent="0.2">
      <c r="A449" s="316">
        <v>446</v>
      </c>
      <c r="B449" s="298"/>
      <c r="C449" s="299"/>
      <c r="D449" s="295"/>
      <c r="E449" s="300"/>
      <c r="F449" s="300"/>
      <c r="G449" s="301"/>
      <c r="H449" s="296"/>
      <c r="I449" s="302"/>
      <c r="J449" s="297"/>
    </row>
    <row r="450" spans="1:10" ht="17.25" customHeight="1" x14ac:dyDescent="0.2">
      <c r="A450" s="316">
        <v>447</v>
      </c>
      <c r="B450" s="298"/>
      <c r="C450" s="299"/>
      <c r="D450" s="295"/>
      <c r="E450" s="300"/>
      <c r="F450" s="300"/>
      <c r="G450" s="301"/>
      <c r="H450" s="296"/>
      <c r="I450" s="302"/>
      <c r="J450" s="297"/>
    </row>
    <row r="451" spans="1:10" ht="17.25" customHeight="1" x14ac:dyDescent="0.2">
      <c r="A451" s="316">
        <v>448</v>
      </c>
      <c r="B451" s="298"/>
      <c r="C451" s="299"/>
      <c r="D451" s="295"/>
      <c r="E451" s="300"/>
      <c r="F451" s="300"/>
      <c r="G451" s="301"/>
      <c r="H451" s="296"/>
      <c r="I451" s="302"/>
      <c r="J451" s="297"/>
    </row>
    <row r="452" spans="1:10" ht="17.25" customHeight="1" x14ac:dyDescent="0.2">
      <c r="A452" s="316">
        <v>449</v>
      </c>
      <c r="B452" s="298"/>
      <c r="C452" s="299"/>
      <c r="D452" s="295"/>
      <c r="E452" s="300"/>
      <c r="F452" s="300"/>
      <c r="G452" s="301"/>
      <c r="H452" s="296"/>
      <c r="I452" s="302"/>
      <c r="J452" s="297"/>
    </row>
    <row r="453" spans="1:10" ht="17.25" customHeight="1" x14ac:dyDescent="0.2">
      <c r="A453" s="316">
        <v>450</v>
      </c>
      <c r="B453" s="298"/>
      <c r="C453" s="299"/>
      <c r="D453" s="295"/>
      <c r="E453" s="300"/>
      <c r="F453" s="300"/>
      <c r="G453" s="301"/>
      <c r="H453" s="296"/>
      <c r="I453" s="302"/>
      <c r="J453" s="297"/>
    </row>
    <row r="454" spans="1:10" ht="17.25" customHeight="1" x14ac:dyDescent="0.2">
      <c r="A454" s="316">
        <v>451</v>
      </c>
      <c r="B454" s="298"/>
      <c r="C454" s="299"/>
      <c r="D454" s="295"/>
      <c r="E454" s="300"/>
      <c r="F454" s="300"/>
      <c r="G454" s="301"/>
      <c r="H454" s="296"/>
      <c r="I454" s="302"/>
      <c r="J454" s="297"/>
    </row>
    <row r="455" spans="1:10" ht="17.25" customHeight="1" x14ac:dyDescent="0.2">
      <c r="A455" s="316">
        <v>452</v>
      </c>
      <c r="B455" s="298"/>
      <c r="C455" s="299"/>
      <c r="D455" s="295"/>
      <c r="E455" s="300"/>
      <c r="F455" s="300"/>
      <c r="G455" s="301"/>
      <c r="H455" s="296"/>
      <c r="I455" s="302"/>
      <c r="J455" s="297"/>
    </row>
    <row r="456" spans="1:10" ht="17.25" customHeight="1" x14ac:dyDescent="0.2">
      <c r="A456" s="316">
        <v>453</v>
      </c>
      <c r="B456" s="298"/>
      <c r="C456" s="299"/>
      <c r="D456" s="295"/>
      <c r="E456" s="300"/>
      <c r="F456" s="300"/>
      <c r="G456" s="301"/>
      <c r="H456" s="296"/>
      <c r="I456" s="302"/>
      <c r="J456" s="297"/>
    </row>
    <row r="457" spans="1:10" ht="17.25" customHeight="1" x14ac:dyDescent="0.2">
      <c r="A457" s="316">
        <v>454</v>
      </c>
      <c r="B457" s="298"/>
      <c r="C457" s="299"/>
      <c r="D457" s="295"/>
      <c r="E457" s="300"/>
      <c r="F457" s="300"/>
      <c r="G457" s="301"/>
      <c r="H457" s="296"/>
      <c r="I457" s="302"/>
      <c r="J457" s="297"/>
    </row>
    <row r="458" spans="1:10" ht="17.25" customHeight="1" x14ac:dyDescent="0.2">
      <c r="A458" s="316">
        <v>455</v>
      </c>
      <c r="B458" s="298"/>
      <c r="C458" s="299"/>
      <c r="D458" s="295"/>
      <c r="E458" s="300"/>
      <c r="F458" s="300"/>
      <c r="G458" s="301"/>
      <c r="H458" s="296"/>
      <c r="I458" s="302"/>
      <c r="J458" s="297"/>
    </row>
    <row r="459" spans="1:10" ht="17.25" customHeight="1" x14ac:dyDescent="0.2">
      <c r="A459" s="316">
        <v>456</v>
      </c>
      <c r="B459" s="298"/>
      <c r="C459" s="299"/>
      <c r="D459" s="295"/>
      <c r="E459" s="300"/>
      <c r="F459" s="300"/>
      <c r="G459" s="301"/>
      <c r="H459" s="296"/>
      <c r="I459" s="302"/>
      <c r="J459" s="297"/>
    </row>
    <row r="460" spans="1:10" ht="17.25" customHeight="1" x14ac:dyDescent="0.2">
      <c r="A460" s="316">
        <v>457</v>
      </c>
      <c r="B460" s="298"/>
      <c r="C460" s="299"/>
      <c r="D460" s="295"/>
      <c r="E460" s="300"/>
      <c r="F460" s="300"/>
      <c r="G460" s="301"/>
      <c r="H460" s="296"/>
      <c r="I460" s="302"/>
      <c r="J460" s="297"/>
    </row>
    <row r="461" spans="1:10" ht="17.25" customHeight="1" x14ac:dyDescent="0.2">
      <c r="A461" s="316">
        <v>458</v>
      </c>
      <c r="B461" s="298"/>
      <c r="C461" s="299"/>
      <c r="D461" s="295"/>
      <c r="E461" s="300"/>
      <c r="F461" s="300"/>
      <c r="G461" s="301"/>
      <c r="H461" s="296"/>
      <c r="I461" s="302"/>
      <c r="J461" s="297"/>
    </row>
    <row r="462" spans="1:10" ht="17.25" customHeight="1" x14ac:dyDescent="0.2">
      <c r="A462" s="316">
        <v>459</v>
      </c>
      <c r="B462" s="298"/>
      <c r="C462" s="299"/>
      <c r="D462" s="295"/>
      <c r="E462" s="300"/>
      <c r="F462" s="300"/>
      <c r="G462" s="301"/>
      <c r="H462" s="296"/>
      <c r="I462" s="302"/>
      <c r="J462" s="297"/>
    </row>
    <row r="463" spans="1:10" ht="17.25" customHeight="1" x14ac:dyDescent="0.2">
      <c r="A463" s="316">
        <v>460</v>
      </c>
      <c r="B463" s="298"/>
      <c r="C463" s="299"/>
      <c r="D463" s="295"/>
      <c r="E463" s="300"/>
      <c r="F463" s="300"/>
      <c r="G463" s="301"/>
      <c r="H463" s="296"/>
      <c r="I463" s="302"/>
      <c r="J463" s="297"/>
    </row>
    <row r="464" spans="1:10" ht="17.25" customHeight="1" x14ac:dyDescent="0.2">
      <c r="A464" s="316">
        <v>461</v>
      </c>
      <c r="B464" s="298"/>
      <c r="C464" s="299"/>
      <c r="D464" s="295"/>
      <c r="E464" s="300"/>
      <c r="F464" s="300"/>
      <c r="G464" s="301"/>
      <c r="H464" s="296"/>
      <c r="I464" s="302"/>
      <c r="J464" s="297"/>
    </row>
    <row r="465" spans="1:10" ht="17.25" customHeight="1" x14ac:dyDescent="0.2">
      <c r="A465" s="316">
        <v>462</v>
      </c>
      <c r="B465" s="298"/>
      <c r="C465" s="299"/>
      <c r="D465" s="295"/>
      <c r="E465" s="300"/>
      <c r="F465" s="300"/>
      <c r="G465" s="301"/>
      <c r="H465" s="296"/>
      <c r="I465" s="302"/>
      <c r="J465" s="297"/>
    </row>
    <row r="466" spans="1:10" ht="17.25" customHeight="1" x14ac:dyDescent="0.2">
      <c r="A466" s="316">
        <v>463</v>
      </c>
      <c r="B466" s="298"/>
      <c r="C466" s="299"/>
      <c r="D466" s="295"/>
      <c r="E466" s="300"/>
      <c r="F466" s="300"/>
      <c r="G466" s="301"/>
      <c r="H466" s="296"/>
      <c r="I466" s="302"/>
      <c r="J466" s="297"/>
    </row>
    <row r="467" spans="1:10" ht="17.25" customHeight="1" x14ac:dyDescent="0.2">
      <c r="A467" s="316">
        <v>464</v>
      </c>
      <c r="B467" s="298"/>
      <c r="C467" s="299"/>
      <c r="D467" s="295"/>
      <c r="E467" s="300"/>
      <c r="F467" s="300"/>
      <c r="G467" s="301"/>
      <c r="H467" s="296"/>
      <c r="I467" s="302"/>
      <c r="J467" s="297"/>
    </row>
    <row r="468" spans="1:10" ht="17.25" customHeight="1" x14ac:dyDescent="0.2">
      <c r="A468" s="316">
        <v>465</v>
      </c>
      <c r="B468" s="298"/>
      <c r="C468" s="299"/>
      <c r="D468" s="295"/>
      <c r="E468" s="300"/>
      <c r="F468" s="300"/>
      <c r="G468" s="301"/>
      <c r="H468" s="296"/>
      <c r="I468" s="302"/>
      <c r="J468" s="297"/>
    </row>
    <row r="469" spans="1:10" ht="17.25" customHeight="1" x14ac:dyDescent="0.2">
      <c r="A469" s="316">
        <v>466</v>
      </c>
      <c r="B469" s="298"/>
      <c r="C469" s="299"/>
      <c r="D469" s="295"/>
      <c r="E469" s="300"/>
      <c r="F469" s="300"/>
      <c r="G469" s="301"/>
      <c r="H469" s="296"/>
      <c r="I469" s="302"/>
      <c r="J469" s="297"/>
    </row>
    <row r="470" spans="1:10" ht="17.25" customHeight="1" x14ac:dyDescent="0.2">
      <c r="A470" s="316">
        <v>467</v>
      </c>
      <c r="B470" s="298"/>
      <c r="C470" s="299"/>
      <c r="D470" s="295"/>
      <c r="E470" s="300"/>
      <c r="F470" s="300"/>
      <c r="G470" s="301"/>
      <c r="H470" s="296"/>
      <c r="I470" s="302"/>
      <c r="J470" s="297"/>
    </row>
    <row r="471" spans="1:10" ht="17.25" customHeight="1" x14ac:dyDescent="0.2">
      <c r="A471" s="316">
        <v>468</v>
      </c>
      <c r="B471" s="298"/>
      <c r="C471" s="299"/>
      <c r="D471" s="295"/>
      <c r="E471" s="300"/>
      <c r="F471" s="300"/>
      <c r="G471" s="301"/>
      <c r="H471" s="296"/>
      <c r="I471" s="302"/>
      <c r="J471" s="297"/>
    </row>
    <row r="472" spans="1:10" ht="17.25" customHeight="1" x14ac:dyDescent="0.2">
      <c r="A472" s="316">
        <v>469</v>
      </c>
      <c r="B472" s="298"/>
      <c r="C472" s="299"/>
      <c r="D472" s="295"/>
      <c r="E472" s="300"/>
      <c r="F472" s="300"/>
      <c r="G472" s="301"/>
      <c r="H472" s="296"/>
      <c r="I472" s="302"/>
      <c r="J472" s="297"/>
    </row>
    <row r="473" spans="1:10" ht="17.25" customHeight="1" x14ac:dyDescent="0.2">
      <c r="A473" s="316">
        <v>470</v>
      </c>
      <c r="B473" s="298"/>
      <c r="C473" s="299"/>
      <c r="D473" s="295"/>
      <c r="E473" s="300"/>
      <c r="F473" s="300"/>
      <c r="G473" s="301"/>
      <c r="H473" s="296"/>
      <c r="I473" s="302"/>
      <c r="J473" s="297"/>
    </row>
    <row r="474" spans="1:10" ht="17.25" customHeight="1" x14ac:dyDescent="0.2">
      <c r="A474" s="316">
        <v>471</v>
      </c>
      <c r="B474" s="298"/>
      <c r="C474" s="299"/>
      <c r="D474" s="295"/>
      <c r="E474" s="300"/>
      <c r="F474" s="300"/>
      <c r="G474" s="301"/>
      <c r="H474" s="296"/>
      <c r="I474" s="302"/>
      <c r="J474" s="297"/>
    </row>
    <row r="475" spans="1:10" ht="17.25" customHeight="1" x14ac:dyDescent="0.2">
      <c r="A475" s="316">
        <v>472</v>
      </c>
      <c r="B475" s="298"/>
      <c r="C475" s="299"/>
      <c r="D475" s="295"/>
      <c r="E475" s="300"/>
      <c r="F475" s="300"/>
      <c r="G475" s="301"/>
      <c r="H475" s="296"/>
      <c r="I475" s="302"/>
      <c r="J475" s="297"/>
    </row>
    <row r="476" spans="1:10" ht="17.25" customHeight="1" x14ac:dyDescent="0.2">
      <c r="A476" s="316">
        <v>473</v>
      </c>
      <c r="B476" s="298"/>
      <c r="C476" s="299"/>
      <c r="D476" s="295"/>
      <c r="E476" s="300"/>
      <c r="F476" s="300"/>
      <c r="G476" s="301"/>
      <c r="H476" s="296"/>
      <c r="I476" s="302"/>
      <c r="J476" s="297"/>
    </row>
    <row r="477" spans="1:10" ht="17.25" customHeight="1" x14ac:dyDescent="0.2">
      <c r="A477" s="316">
        <v>474</v>
      </c>
      <c r="B477" s="298"/>
      <c r="C477" s="299"/>
      <c r="D477" s="295"/>
      <c r="E477" s="300"/>
      <c r="F477" s="300"/>
      <c r="G477" s="301"/>
      <c r="H477" s="296"/>
      <c r="I477" s="302"/>
      <c r="J477" s="297"/>
    </row>
    <row r="478" spans="1:10" ht="17.25" customHeight="1" x14ac:dyDescent="0.2">
      <c r="A478" s="316">
        <v>475</v>
      </c>
      <c r="B478" s="298"/>
      <c r="C478" s="299"/>
      <c r="D478" s="295"/>
      <c r="E478" s="300"/>
      <c r="F478" s="300"/>
      <c r="G478" s="301"/>
      <c r="H478" s="296"/>
      <c r="I478" s="302"/>
      <c r="J478" s="297"/>
    </row>
    <row r="479" spans="1:10" ht="17.25" customHeight="1" x14ac:dyDescent="0.2">
      <c r="A479" s="316">
        <v>476</v>
      </c>
      <c r="B479" s="298"/>
      <c r="C479" s="299"/>
      <c r="D479" s="295"/>
      <c r="E479" s="300"/>
      <c r="F479" s="300"/>
      <c r="G479" s="301"/>
      <c r="H479" s="296"/>
      <c r="I479" s="302"/>
      <c r="J479" s="297"/>
    </row>
    <row r="480" spans="1:10" ht="17.25" customHeight="1" x14ac:dyDescent="0.2">
      <c r="A480" s="316">
        <v>477</v>
      </c>
      <c r="B480" s="298"/>
      <c r="C480" s="299"/>
      <c r="D480" s="295"/>
      <c r="E480" s="300"/>
      <c r="F480" s="300"/>
      <c r="G480" s="301"/>
      <c r="H480" s="296"/>
      <c r="I480" s="302"/>
      <c r="J480" s="297"/>
    </row>
    <row r="481" spans="1:10" ht="17.25" customHeight="1" x14ac:dyDescent="0.2">
      <c r="A481" s="316">
        <v>478</v>
      </c>
      <c r="B481" s="298"/>
      <c r="C481" s="299"/>
      <c r="D481" s="295"/>
      <c r="E481" s="300"/>
      <c r="F481" s="300"/>
      <c r="G481" s="301"/>
      <c r="H481" s="296"/>
      <c r="I481" s="302"/>
      <c r="J481" s="297"/>
    </row>
    <row r="482" spans="1:10" ht="17.25" customHeight="1" x14ac:dyDescent="0.2">
      <c r="A482" s="316">
        <v>479</v>
      </c>
      <c r="B482" s="298"/>
      <c r="C482" s="299"/>
      <c r="D482" s="295"/>
      <c r="E482" s="300"/>
      <c r="F482" s="300"/>
      <c r="G482" s="301"/>
      <c r="H482" s="296"/>
      <c r="I482" s="302"/>
      <c r="J482" s="297"/>
    </row>
    <row r="483" spans="1:10" ht="17.25" customHeight="1" x14ac:dyDescent="0.2">
      <c r="A483" s="316">
        <v>480</v>
      </c>
      <c r="B483" s="298"/>
      <c r="C483" s="299"/>
      <c r="D483" s="295"/>
      <c r="E483" s="300"/>
      <c r="F483" s="300"/>
      <c r="G483" s="301"/>
      <c r="H483" s="296"/>
      <c r="I483" s="302"/>
      <c r="J483" s="297"/>
    </row>
    <row r="484" spans="1:10" ht="17.25" customHeight="1" x14ac:dyDescent="0.2">
      <c r="A484" s="316">
        <v>481</v>
      </c>
      <c r="B484" s="298"/>
      <c r="C484" s="299"/>
      <c r="D484" s="295"/>
      <c r="E484" s="300"/>
      <c r="F484" s="300"/>
      <c r="G484" s="301"/>
      <c r="H484" s="296"/>
      <c r="I484" s="302"/>
      <c r="J484" s="297"/>
    </row>
    <row r="485" spans="1:10" ht="17.25" customHeight="1" x14ac:dyDescent="0.2">
      <c r="A485" s="316">
        <v>482</v>
      </c>
      <c r="B485" s="298"/>
      <c r="C485" s="299"/>
      <c r="D485" s="295"/>
      <c r="E485" s="300"/>
      <c r="F485" s="300"/>
      <c r="G485" s="301"/>
      <c r="H485" s="296"/>
      <c r="I485" s="302"/>
      <c r="J485" s="297"/>
    </row>
    <row r="486" spans="1:10" ht="17.25" customHeight="1" x14ac:dyDescent="0.2">
      <c r="A486" s="316">
        <v>483</v>
      </c>
      <c r="B486" s="298"/>
      <c r="C486" s="299"/>
      <c r="D486" s="295"/>
      <c r="E486" s="300"/>
      <c r="F486" s="300"/>
      <c r="G486" s="301"/>
      <c r="H486" s="296"/>
      <c r="I486" s="302"/>
      <c r="J486" s="297"/>
    </row>
    <row r="487" spans="1:10" ht="17.25" customHeight="1" x14ac:dyDescent="0.2">
      <c r="A487" s="316">
        <v>484</v>
      </c>
      <c r="B487" s="298"/>
      <c r="C487" s="299"/>
      <c r="D487" s="295"/>
      <c r="E487" s="300"/>
      <c r="F487" s="300"/>
      <c r="G487" s="301"/>
      <c r="H487" s="296"/>
      <c r="I487" s="302"/>
      <c r="J487" s="297"/>
    </row>
    <row r="488" spans="1:10" ht="17.25" customHeight="1" x14ac:dyDescent="0.2">
      <c r="A488" s="316">
        <v>485</v>
      </c>
      <c r="B488" s="298"/>
      <c r="C488" s="299"/>
      <c r="D488" s="295"/>
      <c r="E488" s="300"/>
      <c r="F488" s="300"/>
      <c r="G488" s="301"/>
      <c r="H488" s="296"/>
      <c r="I488" s="302"/>
      <c r="J488" s="297"/>
    </row>
    <row r="489" spans="1:10" ht="17.25" customHeight="1" x14ac:dyDescent="0.2">
      <c r="A489" s="316">
        <v>486</v>
      </c>
      <c r="B489" s="298"/>
      <c r="C489" s="299"/>
      <c r="D489" s="295"/>
      <c r="E489" s="300"/>
      <c r="F489" s="300"/>
      <c r="G489" s="301"/>
      <c r="H489" s="296"/>
      <c r="I489" s="302"/>
      <c r="J489" s="297"/>
    </row>
    <row r="490" spans="1:10" ht="17.25" customHeight="1" x14ac:dyDescent="0.2">
      <c r="A490" s="316">
        <v>487</v>
      </c>
      <c r="B490" s="298"/>
      <c r="C490" s="299"/>
      <c r="D490" s="295"/>
      <c r="E490" s="300"/>
      <c r="F490" s="300"/>
      <c r="G490" s="301"/>
      <c r="H490" s="296"/>
      <c r="I490" s="302"/>
      <c r="J490" s="297"/>
    </row>
    <row r="491" spans="1:10" ht="17.25" customHeight="1" x14ac:dyDescent="0.2">
      <c r="A491" s="316">
        <v>488</v>
      </c>
      <c r="B491" s="298"/>
      <c r="C491" s="299"/>
      <c r="D491" s="295"/>
      <c r="E491" s="300"/>
      <c r="F491" s="300"/>
      <c r="G491" s="301"/>
      <c r="H491" s="296"/>
      <c r="I491" s="302"/>
      <c r="J491" s="297"/>
    </row>
    <row r="492" spans="1:10" ht="17.25" customHeight="1" x14ac:dyDescent="0.2">
      <c r="A492" s="316">
        <v>489</v>
      </c>
      <c r="B492" s="298"/>
      <c r="C492" s="299"/>
      <c r="D492" s="295"/>
      <c r="E492" s="300"/>
      <c r="F492" s="300"/>
      <c r="G492" s="301"/>
      <c r="H492" s="296"/>
      <c r="I492" s="302"/>
      <c r="J492" s="297"/>
    </row>
    <row r="493" spans="1:10" ht="17.25" customHeight="1" x14ac:dyDescent="0.2">
      <c r="A493" s="316">
        <v>490</v>
      </c>
      <c r="B493" s="298"/>
      <c r="C493" s="299"/>
      <c r="D493" s="295"/>
      <c r="E493" s="300"/>
      <c r="F493" s="300"/>
      <c r="G493" s="301"/>
      <c r="H493" s="296"/>
      <c r="I493" s="302"/>
      <c r="J493" s="297"/>
    </row>
    <row r="494" spans="1:10" ht="17.25" customHeight="1" x14ac:dyDescent="0.2">
      <c r="A494" s="316">
        <v>491</v>
      </c>
      <c r="B494" s="298"/>
      <c r="C494" s="299"/>
      <c r="D494" s="295"/>
      <c r="E494" s="300"/>
      <c r="F494" s="300"/>
      <c r="G494" s="301"/>
      <c r="H494" s="296"/>
      <c r="I494" s="302"/>
      <c r="J494" s="297"/>
    </row>
    <row r="495" spans="1:10" ht="17.25" customHeight="1" x14ac:dyDescent="0.2">
      <c r="A495" s="316">
        <v>492</v>
      </c>
      <c r="B495" s="298"/>
      <c r="C495" s="299"/>
      <c r="D495" s="295"/>
      <c r="E495" s="300"/>
      <c r="F495" s="300"/>
      <c r="G495" s="301"/>
      <c r="H495" s="296"/>
      <c r="I495" s="302"/>
      <c r="J495" s="297"/>
    </row>
    <row r="496" spans="1:10" ht="17.25" customHeight="1" x14ac:dyDescent="0.2">
      <c r="A496" s="316">
        <v>493</v>
      </c>
      <c r="B496" s="298"/>
      <c r="C496" s="299"/>
      <c r="D496" s="295"/>
      <c r="E496" s="300"/>
      <c r="F496" s="300"/>
      <c r="G496" s="301"/>
      <c r="H496" s="296"/>
      <c r="I496" s="302"/>
      <c r="J496" s="297"/>
    </row>
    <row r="497" spans="1:10" ht="17.25" customHeight="1" x14ac:dyDescent="0.2">
      <c r="A497" s="316">
        <v>494</v>
      </c>
      <c r="B497" s="298"/>
      <c r="C497" s="299"/>
      <c r="D497" s="295"/>
      <c r="E497" s="300"/>
      <c r="F497" s="300"/>
      <c r="G497" s="301"/>
      <c r="H497" s="296"/>
      <c r="I497" s="302"/>
      <c r="J497" s="297"/>
    </row>
    <row r="498" spans="1:10" ht="17.25" customHeight="1" x14ac:dyDescent="0.2">
      <c r="A498" s="316">
        <v>495</v>
      </c>
      <c r="B498" s="298"/>
      <c r="C498" s="299"/>
      <c r="D498" s="295"/>
      <c r="E498" s="300"/>
      <c r="F498" s="300"/>
      <c r="G498" s="301"/>
      <c r="H498" s="296"/>
      <c r="I498" s="302"/>
      <c r="J498" s="297"/>
    </row>
    <row r="499" spans="1:10" ht="17.25" customHeight="1" x14ac:dyDescent="0.2">
      <c r="A499" s="316">
        <v>496</v>
      </c>
      <c r="B499" s="298"/>
      <c r="C499" s="299"/>
      <c r="D499" s="295"/>
      <c r="E499" s="300"/>
      <c r="F499" s="300"/>
      <c r="G499" s="301"/>
      <c r="H499" s="296"/>
      <c r="I499" s="302"/>
      <c r="J499" s="297"/>
    </row>
    <row r="500" spans="1:10" ht="17.25" customHeight="1" x14ac:dyDescent="0.2">
      <c r="A500" s="316">
        <v>497</v>
      </c>
      <c r="B500" s="298"/>
      <c r="C500" s="299"/>
      <c r="D500" s="295"/>
      <c r="E500" s="300"/>
      <c r="F500" s="300"/>
      <c r="G500" s="301"/>
      <c r="H500" s="296"/>
      <c r="I500" s="302"/>
      <c r="J500" s="297"/>
    </row>
    <row r="501" spans="1:10" ht="17.25" customHeight="1" x14ac:dyDescent="0.2">
      <c r="A501" s="316">
        <v>498</v>
      </c>
      <c r="B501" s="298"/>
      <c r="C501" s="299"/>
      <c r="D501" s="295"/>
      <c r="E501" s="300"/>
      <c r="F501" s="300"/>
      <c r="G501" s="301"/>
      <c r="H501" s="296"/>
      <c r="I501" s="302"/>
      <c r="J501" s="297"/>
    </row>
    <row r="502" spans="1:10" ht="17.25" customHeight="1" x14ac:dyDescent="0.2">
      <c r="A502" s="316">
        <v>499</v>
      </c>
      <c r="B502" s="298"/>
      <c r="C502" s="299"/>
      <c r="D502" s="295"/>
      <c r="E502" s="300"/>
      <c r="F502" s="300"/>
      <c r="G502" s="301"/>
      <c r="H502" s="296"/>
      <c r="I502" s="302"/>
      <c r="J502" s="297"/>
    </row>
    <row r="503" spans="1:10" ht="17.25" customHeight="1" x14ac:dyDescent="0.2">
      <c r="A503" s="316">
        <v>500</v>
      </c>
      <c r="B503" s="298"/>
      <c r="C503" s="299"/>
      <c r="D503" s="295"/>
      <c r="E503" s="300"/>
      <c r="F503" s="300"/>
      <c r="G503" s="301"/>
      <c r="H503" s="296"/>
      <c r="I503" s="302"/>
      <c r="J503" s="297"/>
    </row>
    <row r="504" spans="1:10" ht="17.25" customHeight="1" x14ac:dyDescent="0.2">
      <c r="A504" s="316">
        <v>501</v>
      </c>
      <c r="B504" s="298"/>
      <c r="C504" s="299"/>
      <c r="D504" s="295"/>
      <c r="E504" s="300"/>
      <c r="F504" s="300"/>
      <c r="G504" s="301"/>
      <c r="H504" s="296"/>
      <c r="I504" s="302"/>
      <c r="J504" s="297"/>
    </row>
    <row r="505" spans="1:10" ht="17.25" customHeight="1" x14ac:dyDescent="0.2">
      <c r="A505" s="316">
        <v>502</v>
      </c>
      <c r="B505" s="298"/>
      <c r="C505" s="299"/>
      <c r="D505" s="295"/>
      <c r="E505" s="300"/>
      <c r="F505" s="300"/>
      <c r="G505" s="301"/>
      <c r="H505" s="296"/>
      <c r="I505" s="302"/>
      <c r="J505" s="297"/>
    </row>
    <row r="506" spans="1:10" ht="17.25" customHeight="1" x14ac:dyDescent="0.2">
      <c r="A506" s="316">
        <v>503</v>
      </c>
      <c r="B506" s="298"/>
      <c r="C506" s="299"/>
      <c r="D506" s="295"/>
      <c r="E506" s="300"/>
      <c r="F506" s="300"/>
      <c r="G506" s="301"/>
      <c r="H506" s="296"/>
      <c r="I506" s="302"/>
      <c r="J506" s="297"/>
    </row>
    <row r="507" spans="1:10" ht="17.25" customHeight="1" x14ac:dyDescent="0.2">
      <c r="A507" s="316">
        <v>504</v>
      </c>
      <c r="B507" s="298"/>
      <c r="C507" s="299"/>
      <c r="D507" s="295"/>
      <c r="E507" s="300"/>
      <c r="F507" s="300"/>
      <c r="G507" s="301"/>
      <c r="H507" s="296"/>
      <c r="I507" s="302"/>
      <c r="J507" s="297"/>
    </row>
    <row r="508" spans="1:10" ht="17.25" customHeight="1" x14ac:dyDescent="0.2">
      <c r="A508" s="316">
        <v>505</v>
      </c>
      <c r="B508" s="298"/>
      <c r="C508" s="299"/>
      <c r="D508" s="295"/>
      <c r="E508" s="300"/>
      <c r="F508" s="300"/>
      <c r="G508" s="301"/>
      <c r="H508" s="296"/>
      <c r="I508" s="302"/>
      <c r="J508" s="297"/>
    </row>
    <row r="509" spans="1:10" ht="17.25" customHeight="1" x14ac:dyDescent="0.2">
      <c r="A509" s="316">
        <v>506</v>
      </c>
      <c r="B509" s="298"/>
      <c r="C509" s="299"/>
      <c r="D509" s="295"/>
      <c r="E509" s="300"/>
      <c r="F509" s="300"/>
      <c r="G509" s="301"/>
      <c r="H509" s="296"/>
      <c r="I509" s="302"/>
      <c r="J509" s="297"/>
    </row>
    <row r="510" spans="1:10" ht="17.25" customHeight="1" x14ac:dyDescent="0.2">
      <c r="A510" s="316">
        <v>507</v>
      </c>
      <c r="B510" s="298"/>
      <c r="C510" s="299"/>
      <c r="D510" s="295"/>
      <c r="E510" s="300"/>
      <c r="F510" s="300"/>
      <c r="G510" s="301"/>
      <c r="H510" s="296"/>
      <c r="I510" s="302"/>
      <c r="J510" s="297"/>
    </row>
    <row r="511" spans="1:10" ht="17.25" customHeight="1" x14ac:dyDescent="0.2">
      <c r="A511" s="316">
        <v>508</v>
      </c>
      <c r="B511" s="298"/>
      <c r="C511" s="299"/>
      <c r="D511" s="295"/>
      <c r="E511" s="300"/>
      <c r="F511" s="300"/>
      <c r="G511" s="301"/>
      <c r="H511" s="296"/>
      <c r="I511" s="302"/>
      <c r="J511" s="297"/>
    </row>
    <row r="512" spans="1:10" ht="17.25" customHeight="1" x14ac:dyDescent="0.2">
      <c r="A512" s="316">
        <v>509</v>
      </c>
      <c r="B512" s="298"/>
      <c r="C512" s="299"/>
      <c r="D512" s="295"/>
      <c r="E512" s="300"/>
      <c r="F512" s="300"/>
      <c r="G512" s="301"/>
      <c r="H512" s="296"/>
      <c r="I512" s="302"/>
      <c r="J512" s="297"/>
    </row>
    <row r="513" spans="1:10" ht="17.25" customHeight="1" x14ac:dyDescent="0.2">
      <c r="A513" s="316">
        <v>510</v>
      </c>
      <c r="B513" s="298"/>
      <c r="C513" s="299"/>
      <c r="D513" s="295"/>
      <c r="E513" s="300"/>
      <c r="F513" s="300"/>
      <c r="G513" s="301"/>
      <c r="H513" s="296"/>
      <c r="I513" s="302"/>
      <c r="J513" s="297"/>
    </row>
    <row r="514" spans="1:10" ht="17.25" customHeight="1" x14ac:dyDescent="0.2">
      <c r="A514" s="316">
        <v>511</v>
      </c>
      <c r="B514" s="298"/>
      <c r="C514" s="299"/>
      <c r="D514" s="295"/>
      <c r="E514" s="300"/>
      <c r="F514" s="300"/>
      <c r="G514" s="301"/>
      <c r="H514" s="296"/>
      <c r="I514" s="302"/>
      <c r="J514" s="297"/>
    </row>
    <row r="515" spans="1:10" ht="17.25" customHeight="1" x14ac:dyDescent="0.2">
      <c r="A515" s="316">
        <v>512</v>
      </c>
      <c r="B515" s="298"/>
      <c r="C515" s="299"/>
      <c r="D515" s="295"/>
      <c r="E515" s="300"/>
      <c r="F515" s="300"/>
      <c r="G515" s="301"/>
      <c r="H515" s="296"/>
      <c r="I515" s="302"/>
      <c r="J515" s="297"/>
    </row>
    <row r="516" spans="1:10" ht="17.25" customHeight="1" x14ac:dyDescent="0.2">
      <c r="A516" s="316">
        <v>513</v>
      </c>
      <c r="B516" s="298"/>
      <c r="C516" s="299"/>
      <c r="D516" s="295"/>
      <c r="E516" s="300"/>
      <c r="F516" s="300"/>
      <c r="G516" s="301"/>
      <c r="H516" s="296"/>
      <c r="I516" s="302"/>
      <c r="J516" s="297"/>
    </row>
    <row r="517" spans="1:10" ht="17.25" customHeight="1" x14ac:dyDescent="0.2">
      <c r="A517" s="316">
        <v>514</v>
      </c>
      <c r="B517" s="298"/>
      <c r="C517" s="299"/>
      <c r="D517" s="295"/>
      <c r="E517" s="300"/>
      <c r="F517" s="300"/>
      <c r="G517" s="301"/>
      <c r="H517" s="296"/>
      <c r="I517" s="302"/>
      <c r="J517" s="297"/>
    </row>
    <row r="518" spans="1:10" ht="17.25" customHeight="1" x14ac:dyDescent="0.2">
      <c r="A518" s="316">
        <v>515</v>
      </c>
      <c r="B518" s="298"/>
      <c r="C518" s="299"/>
      <c r="D518" s="295"/>
      <c r="E518" s="300"/>
      <c r="F518" s="300"/>
      <c r="G518" s="301"/>
      <c r="H518" s="296"/>
      <c r="I518" s="302"/>
      <c r="J518" s="297"/>
    </row>
    <row r="519" spans="1:10" ht="17.25" customHeight="1" x14ac:dyDescent="0.2">
      <c r="A519" s="316">
        <v>516</v>
      </c>
      <c r="B519" s="298"/>
      <c r="C519" s="299"/>
      <c r="D519" s="295"/>
      <c r="E519" s="300"/>
      <c r="F519" s="300"/>
      <c r="G519" s="301"/>
      <c r="H519" s="296"/>
      <c r="I519" s="302"/>
      <c r="J519" s="297"/>
    </row>
    <row r="520" spans="1:10" ht="17.25" customHeight="1" x14ac:dyDescent="0.2">
      <c r="A520" s="316">
        <v>517</v>
      </c>
      <c r="B520" s="298"/>
      <c r="C520" s="299"/>
      <c r="D520" s="295"/>
      <c r="E520" s="300"/>
      <c r="F520" s="300"/>
      <c r="G520" s="301"/>
      <c r="H520" s="296"/>
      <c r="I520" s="302"/>
      <c r="J520" s="297"/>
    </row>
    <row r="521" spans="1:10" ht="17.25" customHeight="1" x14ac:dyDescent="0.2">
      <c r="A521" s="316">
        <v>518</v>
      </c>
      <c r="B521" s="298"/>
      <c r="C521" s="299"/>
      <c r="D521" s="295"/>
      <c r="E521" s="300"/>
      <c r="F521" s="300"/>
      <c r="G521" s="301"/>
      <c r="H521" s="296"/>
      <c r="I521" s="302"/>
      <c r="J521" s="297"/>
    </row>
    <row r="522" spans="1:10" ht="17.25" customHeight="1" x14ac:dyDescent="0.2">
      <c r="A522" s="316">
        <v>519</v>
      </c>
      <c r="B522" s="298"/>
      <c r="C522" s="299"/>
      <c r="D522" s="295"/>
      <c r="E522" s="300"/>
      <c r="F522" s="300"/>
      <c r="G522" s="301"/>
      <c r="H522" s="296"/>
      <c r="I522" s="302"/>
      <c r="J522" s="297"/>
    </row>
    <row r="523" spans="1:10" ht="17.25" customHeight="1" x14ac:dyDescent="0.2">
      <c r="A523" s="316">
        <v>520</v>
      </c>
      <c r="B523" s="298"/>
      <c r="C523" s="299"/>
      <c r="D523" s="295"/>
      <c r="E523" s="300"/>
      <c r="F523" s="300"/>
      <c r="G523" s="301"/>
      <c r="H523" s="296"/>
      <c r="I523" s="302"/>
      <c r="J523" s="297"/>
    </row>
    <row r="524" spans="1:10" ht="17.25" customHeight="1" x14ac:dyDescent="0.2">
      <c r="A524" s="316">
        <v>521</v>
      </c>
      <c r="B524" s="298"/>
      <c r="C524" s="299"/>
      <c r="D524" s="295"/>
      <c r="E524" s="300"/>
      <c r="F524" s="300"/>
      <c r="G524" s="301"/>
      <c r="H524" s="296"/>
      <c r="I524" s="302"/>
      <c r="J524" s="297"/>
    </row>
    <row r="525" spans="1:10" ht="17.25" customHeight="1" x14ac:dyDescent="0.2">
      <c r="A525" s="316">
        <v>522</v>
      </c>
      <c r="B525" s="298"/>
      <c r="C525" s="299"/>
      <c r="D525" s="295"/>
      <c r="E525" s="300"/>
      <c r="F525" s="300"/>
      <c r="G525" s="301"/>
      <c r="H525" s="296"/>
      <c r="I525" s="302"/>
      <c r="J525" s="297"/>
    </row>
    <row r="526" spans="1:10" ht="17.25" customHeight="1" x14ac:dyDescent="0.2">
      <c r="A526" s="316">
        <v>523</v>
      </c>
      <c r="B526" s="298"/>
      <c r="C526" s="299"/>
      <c r="D526" s="295"/>
      <c r="E526" s="300"/>
      <c r="F526" s="300"/>
      <c r="G526" s="301"/>
      <c r="H526" s="296"/>
      <c r="I526" s="302"/>
      <c r="J526" s="297"/>
    </row>
    <row r="527" spans="1:10" ht="17.25" customHeight="1" x14ac:dyDescent="0.2">
      <c r="A527" s="316">
        <v>524</v>
      </c>
      <c r="B527" s="298"/>
      <c r="C527" s="299"/>
      <c r="D527" s="295"/>
      <c r="E527" s="300"/>
      <c r="F527" s="300"/>
      <c r="G527" s="301"/>
      <c r="H527" s="296"/>
      <c r="I527" s="302"/>
      <c r="J527" s="297"/>
    </row>
    <row r="528" spans="1:10" ht="17.25" customHeight="1" x14ac:dyDescent="0.2">
      <c r="A528" s="316">
        <v>525</v>
      </c>
      <c r="B528" s="298"/>
      <c r="C528" s="299"/>
      <c r="D528" s="295"/>
      <c r="E528" s="300"/>
      <c r="F528" s="300"/>
      <c r="G528" s="301"/>
      <c r="H528" s="296"/>
      <c r="I528" s="302"/>
      <c r="J528" s="297"/>
    </row>
    <row r="529" spans="1:10" ht="17.25" customHeight="1" x14ac:dyDescent="0.2">
      <c r="A529" s="316">
        <v>526</v>
      </c>
      <c r="B529" s="298"/>
      <c r="C529" s="299"/>
      <c r="D529" s="295"/>
      <c r="E529" s="300"/>
      <c r="F529" s="300"/>
      <c r="G529" s="301"/>
      <c r="H529" s="296"/>
      <c r="I529" s="302"/>
      <c r="J529" s="297"/>
    </row>
    <row r="530" spans="1:10" ht="17.25" customHeight="1" x14ac:dyDescent="0.2">
      <c r="A530" s="316">
        <v>527</v>
      </c>
      <c r="B530" s="298"/>
      <c r="C530" s="299"/>
      <c r="D530" s="295"/>
      <c r="E530" s="300"/>
      <c r="F530" s="300"/>
      <c r="G530" s="301"/>
      <c r="H530" s="296"/>
      <c r="I530" s="302"/>
      <c r="J530" s="297"/>
    </row>
    <row r="531" spans="1:10" ht="17.25" customHeight="1" x14ac:dyDescent="0.2">
      <c r="A531" s="316">
        <v>528</v>
      </c>
      <c r="B531" s="298"/>
      <c r="C531" s="299"/>
      <c r="D531" s="295"/>
      <c r="E531" s="300"/>
      <c r="F531" s="300"/>
      <c r="G531" s="301"/>
      <c r="H531" s="296"/>
      <c r="I531" s="302"/>
      <c r="J531" s="297"/>
    </row>
    <row r="532" spans="1:10" ht="17.25" customHeight="1" x14ac:dyDescent="0.2">
      <c r="A532" s="316">
        <v>529</v>
      </c>
      <c r="B532" s="298"/>
      <c r="C532" s="299"/>
      <c r="D532" s="295"/>
      <c r="E532" s="300"/>
      <c r="F532" s="300"/>
      <c r="G532" s="301"/>
      <c r="H532" s="296"/>
      <c r="I532" s="302"/>
      <c r="J532" s="297"/>
    </row>
    <row r="533" spans="1:10" ht="17.25" customHeight="1" x14ac:dyDescent="0.2">
      <c r="A533" s="316">
        <v>530</v>
      </c>
      <c r="B533" s="298"/>
      <c r="C533" s="299"/>
      <c r="D533" s="295"/>
      <c r="E533" s="300"/>
      <c r="F533" s="300"/>
      <c r="G533" s="301"/>
      <c r="H533" s="296"/>
      <c r="I533" s="302"/>
      <c r="J533" s="297"/>
    </row>
    <row r="534" spans="1:10" ht="17.25" customHeight="1" x14ac:dyDescent="0.2">
      <c r="A534" s="316">
        <v>531</v>
      </c>
      <c r="B534" s="298"/>
      <c r="C534" s="299"/>
      <c r="D534" s="295"/>
      <c r="E534" s="300"/>
      <c r="F534" s="300"/>
      <c r="G534" s="301"/>
      <c r="H534" s="296"/>
      <c r="I534" s="302"/>
      <c r="J534" s="297"/>
    </row>
    <row r="535" spans="1:10" ht="17.25" customHeight="1" x14ac:dyDescent="0.2">
      <c r="A535" s="316">
        <v>532</v>
      </c>
      <c r="B535" s="298"/>
      <c r="C535" s="299"/>
      <c r="D535" s="295"/>
      <c r="E535" s="300"/>
      <c r="F535" s="300"/>
      <c r="G535" s="301"/>
      <c r="H535" s="296"/>
      <c r="I535" s="302"/>
      <c r="J535" s="297"/>
    </row>
    <row r="536" spans="1:10" ht="17.25" customHeight="1" x14ac:dyDescent="0.2">
      <c r="A536" s="316">
        <v>533</v>
      </c>
      <c r="B536" s="298"/>
      <c r="C536" s="299"/>
      <c r="D536" s="295"/>
      <c r="E536" s="300"/>
      <c r="F536" s="300"/>
      <c r="G536" s="301"/>
      <c r="H536" s="296"/>
      <c r="I536" s="302"/>
      <c r="J536" s="297"/>
    </row>
    <row r="537" spans="1:10" ht="17.25" customHeight="1" x14ac:dyDescent="0.2">
      <c r="A537" s="316">
        <v>534</v>
      </c>
      <c r="B537" s="298"/>
      <c r="C537" s="299"/>
      <c r="D537" s="295"/>
      <c r="E537" s="300"/>
      <c r="F537" s="300"/>
      <c r="G537" s="301"/>
      <c r="H537" s="296"/>
      <c r="I537" s="302"/>
      <c r="J537" s="297"/>
    </row>
    <row r="538" spans="1:10" ht="17.25" customHeight="1" x14ac:dyDescent="0.2">
      <c r="A538" s="316">
        <v>535</v>
      </c>
      <c r="B538" s="298"/>
      <c r="C538" s="299"/>
      <c r="D538" s="295"/>
      <c r="E538" s="300"/>
      <c r="F538" s="300"/>
      <c r="G538" s="301"/>
      <c r="H538" s="296"/>
      <c r="I538" s="302"/>
      <c r="J538" s="297"/>
    </row>
    <row r="539" spans="1:10" ht="17.25" customHeight="1" x14ac:dyDescent="0.2">
      <c r="A539" s="316">
        <v>536</v>
      </c>
      <c r="B539" s="298"/>
      <c r="C539" s="299"/>
      <c r="D539" s="295"/>
      <c r="E539" s="300"/>
      <c r="F539" s="300"/>
      <c r="G539" s="301"/>
      <c r="H539" s="296"/>
      <c r="I539" s="302"/>
      <c r="J539" s="297"/>
    </row>
    <row r="540" spans="1:10" ht="17.25" customHeight="1" x14ac:dyDescent="0.2">
      <c r="A540" s="316">
        <v>537</v>
      </c>
      <c r="B540" s="298"/>
      <c r="C540" s="299"/>
      <c r="D540" s="295"/>
      <c r="E540" s="300"/>
      <c r="F540" s="300"/>
      <c r="G540" s="301"/>
      <c r="H540" s="296"/>
      <c r="I540" s="302"/>
      <c r="J540" s="297"/>
    </row>
    <row r="541" spans="1:10" ht="17.25" customHeight="1" x14ac:dyDescent="0.2">
      <c r="A541" s="316">
        <v>538</v>
      </c>
      <c r="B541" s="298"/>
      <c r="C541" s="299"/>
      <c r="D541" s="295"/>
      <c r="E541" s="300"/>
      <c r="F541" s="300"/>
      <c r="G541" s="301"/>
      <c r="H541" s="296"/>
      <c r="I541" s="302"/>
      <c r="J541" s="297"/>
    </row>
    <row r="542" spans="1:10" ht="17.25" customHeight="1" x14ac:dyDescent="0.2">
      <c r="A542" s="316">
        <v>539</v>
      </c>
      <c r="B542" s="298"/>
      <c r="C542" s="299"/>
      <c r="D542" s="295"/>
      <c r="E542" s="300"/>
      <c r="F542" s="300"/>
      <c r="G542" s="301"/>
      <c r="H542" s="296"/>
      <c r="I542" s="302"/>
      <c r="J542" s="297"/>
    </row>
    <row r="543" spans="1:10" ht="17.25" customHeight="1" x14ac:dyDescent="0.2">
      <c r="A543" s="316">
        <v>540</v>
      </c>
      <c r="B543" s="298"/>
      <c r="C543" s="299"/>
      <c r="D543" s="295"/>
      <c r="E543" s="300"/>
      <c r="F543" s="300"/>
      <c r="G543" s="301"/>
      <c r="H543" s="296"/>
      <c r="I543" s="302"/>
      <c r="J543" s="297"/>
    </row>
    <row r="544" spans="1:10" ht="17.25" customHeight="1" x14ac:dyDescent="0.2">
      <c r="A544" s="316">
        <v>541</v>
      </c>
      <c r="B544" s="298"/>
      <c r="C544" s="299"/>
      <c r="D544" s="295"/>
      <c r="E544" s="300"/>
      <c r="F544" s="300"/>
      <c r="G544" s="301"/>
      <c r="H544" s="296"/>
      <c r="I544" s="302"/>
      <c r="J544" s="297"/>
    </row>
    <row r="545" spans="1:10" ht="17.25" customHeight="1" x14ac:dyDescent="0.2">
      <c r="A545" s="316">
        <v>542</v>
      </c>
      <c r="B545" s="298"/>
      <c r="C545" s="299"/>
      <c r="D545" s="295"/>
      <c r="E545" s="300"/>
      <c r="F545" s="300"/>
      <c r="G545" s="301"/>
      <c r="H545" s="296"/>
      <c r="I545" s="302"/>
      <c r="J545" s="297"/>
    </row>
    <row r="546" spans="1:10" ht="17.25" customHeight="1" x14ac:dyDescent="0.2">
      <c r="A546" s="316">
        <v>543</v>
      </c>
      <c r="B546" s="298"/>
      <c r="C546" s="299"/>
      <c r="D546" s="295"/>
      <c r="E546" s="300"/>
      <c r="F546" s="300"/>
      <c r="G546" s="301"/>
      <c r="H546" s="296"/>
      <c r="I546" s="302"/>
      <c r="J546" s="297"/>
    </row>
    <row r="547" spans="1:10" ht="17.25" customHeight="1" x14ac:dyDescent="0.2">
      <c r="A547" s="316">
        <v>544</v>
      </c>
      <c r="B547" s="298"/>
      <c r="C547" s="299"/>
      <c r="D547" s="295"/>
      <c r="E547" s="300"/>
      <c r="F547" s="300"/>
      <c r="G547" s="301"/>
      <c r="H547" s="296"/>
      <c r="I547" s="302"/>
      <c r="J547" s="297"/>
    </row>
    <row r="548" spans="1:10" ht="17.25" customHeight="1" x14ac:dyDescent="0.2">
      <c r="A548" s="316">
        <v>545</v>
      </c>
      <c r="B548" s="298"/>
      <c r="C548" s="299"/>
      <c r="D548" s="295"/>
      <c r="E548" s="300"/>
      <c r="F548" s="300"/>
      <c r="G548" s="301"/>
      <c r="H548" s="296"/>
      <c r="I548" s="302"/>
      <c r="J548" s="297"/>
    </row>
    <row r="549" spans="1:10" ht="17.25" customHeight="1" x14ac:dyDescent="0.2">
      <c r="A549" s="316">
        <v>546</v>
      </c>
      <c r="B549" s="298"/>
      <c r="C549" s="299"/>
      <c r="D549" s="295"/>
      <c r="E549" s="300"/>
      <c r="F549" s="300"/>
      <c r="G549" s="301"/>
      <c r="H549" s="296"/>
      <c r="I549" s="302"/>
      <c r="J549" s="297"/>
    </row>
    <row r="550" spans="1:10" ht="17.25" customHeight="1" x14ac:dyDescent="0.2">
      <c r="A550" s="316">
        <v>547</v>
      </c>
      <c r="B550" s="298"/>
      <c r="C550" s="299"/>
      <c r="D550" s="295"/>
      <c r="E550" s="300"/>
      <c r="F550" s="300"/>
      <c r="G550" s="301"/>
      <c r="H550" s="296"/>
      <c r="I550" s="302"/>
      <c r="J550" s="297"/>
    </row>
    <row r="551" spans="1:10" ht="17.25" customHeight="1" x14ac:dyDescent="0.2">
      <c r="A551" s="316">
        <v>548</v>
      </c>
      <c r="B551" s="298"/>
      <c r="C551" s="299"/>
      <c r="D551" s="295"/>
      <c r="E551" s="300"/>
      <c r="F551" s="300"/>
      <c r="G551" s="301"/>
      <c r="H551" s="296"/>
      <c r="I551" s="302"/>
      <c r="J551" s="297"/>
    </row>
    <row r="552" spans="1:10" ht="17.25" customHeight="1" x14ac:dyDescent="0.2">
      <c r="A552" s="316">
        <v>549</v>
      </c>
      <c r="B552" s="298"/>
      <c r="C552" s="299"/>
      <c r="D552" s="295"/>
      <c r="E552" s="300"/>
      <c r="F552" s="300"/>
      <c r="G552" s="301"/>
      <c r="H552" s="296"/>
      <c r="I552" s="302"/>
      <c r="J552" s="297"/>
    </row>
    <row r="553" spans="1:10" ht="17.25" customHeight="1" x14ac:dyDescent="0.2">
      <c r="A553" s="316">
        <v>550</v>
      </c>
      <c r="B553" s="298"/>
      <c r="C553" s="299"/>
      <c r="D553" s="295"/>
      <c r="E553" s="300"/>
      <c r="F553" s="300"/>
      <c r="G553" s="301"/>
      <c r="H553" s="296"/>
      <c r="I553" s="302"/>
      <c r="J553" s="297"/>
    </row>
    <row r="554" spans="1:10" ht="17.25" customHeight="1" x14ac:dyDescent="0.2">
      <c r="A554" s="316">
        <v>551</v>
      </c>
      <c r="B554" s="298"/>
      <c r="C554" s="299"/>
      <c r="D554" s="295"/>
      <c r="E554" s="300"/>
      <c r="F554" s="300"/>
      <c r="G554" s="301"/>
      <c r="H554" s="296"/>
      <c r="I554" s="302"/>
      <c r="J554" s="297"/>
    </row>
    <row r="555" spans="1:10" ht="17.25" customHeight="1" x14ac:dyDescent="0.2">
      <c r="A555" s="316">
        <v>552</v>
      </c>
      <c r="B555" s="298"/>
      <c r="C555" s="299"/>
      <c r="D555" s="295"/>
      <c r="E555" s="300"/>
      <c r="F555" s="300"/>
      <c r="G555" s="301"/>
      <c r="H555" s="296"/>
      <c r="I555" s="302"/>
      <c r="J555" s="297"/>
    </row>
    <row r="556" spans="1:10" ht="17.25" customHeight="1" x14ac:dyDescent="0.2">
      <c r="A556" s="316">
        <v>553</v>
      </c>
      <c r="B556" s="298"/>
      <c r="C556" s="299"/>
      <c r="D556" s="295"/>
      <c r="E556" s="300"/>
      <c r="F556" s="300"/>
      <c r="G556" s="301"/>
      <c r="H556" s="296"/>
      <c r="I556" s="302"/>
      <c r="J556" s="297"/>
    </row>
    <row r="557" spans="1:10" ht="17.25" customHeight="1" x14ac:dyDescent="0.2">
      <c r="A557" s="316">
        <v>554</v>
      </c>
      <c r="B557" s="298"/>
      <c r="C557" s="299"/>
      <c r="D557" s="295"/>
      <c r="E557" s="300"/>
      <c r="F557" s="300"/>
      <c r="G557" s="301"/>
      <c r="H557" s="296"/>
      <c r="I557" s="302"/>
      <c r="J557" s="297"/>
    </row>
    <row r="558" spans="1:10" ht="17.25" customHeight="1" x14ac:dyDescent="0.2">
      <c r="A558" s="316">
        <v>555</v>
      </c>
      <c r="B558" s="298"/>
      <c r="C558" s="299"/>
      <c r="D558" s="295"/>
      <c r="E558" s="300"/>
      <c r="F558" s="300"/>
      <c r="G558" s="301"/>
      <c r="H558" s="296"/>
      <c r="I558" s="302"/>
      <c r="J558" s="297"/>
    </row>
    <row r="559" spans="1:10" ht="17.25" customHeight="1" x14ac:dyDescent="0.2">
      <c r="A559" s="316">
        <v>556</v>
      </c>
      <c r="B559" s="298"/>
      <c r="C559" s="299"/>
      <c r="D559" s="295"/>
      <c r="E559" s="300"/>
      <c r="F559" s="300"/>
      <c r="G559" s="301"/>
      <c r="H559" s="296"/>
      <c r="I559" s="302"/>
      <c r="J559" s="297"/>
    </row>
    <row r="560" spans="1:10" ht="17.25" customHeight="1" x14ac:dyDescent="0.2">
      <c r="A560" s="316">
        <v>557</v>
      </c>
      <c r="B560" s="298"/>
      <c r="C560" s="299"/>
      <c r="D560" s="295"/>
      <c r="E560" s="300"/>
      <c r="F560" s="300"/>
      <c r="G560" s="301"/>
      <c r="H560" s="296"/>
      <c r="I560" s="302"/>
      <c r="J560" s="297"/>
    </row>
    <row r="561" spans="1:10" ht="17.25" customHeight="1" x14ac:dyDescent="0.2">
      <c r="A561" s="316">
        <v>558</v>
      </c>
      <c r="B561" s="298"/>
      <c r="C561" s="299"/>
      <c r="D561" s="295"/>
      <c r="E561" s="300"/>
      <c r="F561" s="300"/>
      <c r="G561" s="301"/>
      <c r="H561" s="296"/>
      <c r="I561" s="302"/>
      <c r="J561" s="297"/>
    </row>
    <row r="562" spans="1:10" ht="17.25" customHeight="1" x14ac:dyDescent="0.2">
      <c r="A562" s="316">
        <v>559</v>
      </c>
      <c r="B562" s="298"/>
      <c r="C562" s="299"/>
      <c r="D562" s="295"/>
      <c r="E562" s="300"/>
      <c r="F562" s="300"/>
      <c r="G562" s="301"/>
      <c r="H562" s="296"/>
      <c r="I562" s="302"/>
      <c r="J562" s="297"/>
    </row>
    <row r="563" spans="1:10" ht="17.25" customHeight="1" x14ac:dyDescent="0.2">
      <c r="A563" s="316">
        <v>560</v>
      </c>
      <c r="B563" s="298"/>
      <c r="C563" s="299"/>
      <c r="D563" s="295"/>
      <c r="E563" s="300"/>
      <c r="F563" s="300"/>
      <c r="G563" s="301"/>
      <c r="H563" s="296"/>
      <c r="I563" s="302"/>
      <c r="J563" s="297"/>
    </row>
    <row r="564" spans="1:10" ht="17.25" customHeight="1" x14ac:dyDescent="0.2">
      <c r="A564" s="316">
        <v>561</v>
      </c>
      <c r="B564" s="298"/>
      <c r="C564" s="299"/>
      <c r="D564" s="295"/>
      <c r="E564" s="300"/>
      <c r="F564" s="300"/>
      <c r="G564" s="301"/>
      <c r="H564" s="296"/>
      <c r="I564" s="302"/>
      <c r="J564" s="297"/>
    </row>
    <row r="565" spans="1:10" ht="17.25" customHeight="1" x14ac:dyDescent="0.2">
      <c r="A565" s="316">
        <v>562</v>
      </c>
      <c r="B565" s="298"/>
      <c r="C565" s="299"/>
      <c r="D565" s="295"/>
      <c r="E565" s="300"/>
      <c r="F565" s="300"/>
      <c r="G565" s="301"/>
      <c r="H565" s="296"/>
      <c r="I565" s="302"/>
      <c r="J565" s="297"/>
    </row>
    <row r="566" spans="1:10" ht="17.25" customHeight="1" x14ac:dyDescent="0.2">
      <c r="A566" s="316">
        <v>563</v>
      </c>
      <c r="B566" s="298"/>
      <c r="C566" s="299"/>
      <c r="D566" s="295"/>
      <c r="E566" s="300"/>
      <c r="F566" s="300"/>
      <c r="G566" s="301"/>
      <c r="H566" s="296"/>
      <c r="I566" s="302"/>
      <c r="J566" s="297"/>
    </row>
    <row r="567" spans="1:10" ht="17.25" customHeight="1" x14ac:dyDescent="0.2">
      <c r="A567" s="316">
        <v>564</v>
      </c>
      <c r="B567" s="298"/>
      <c r="C567" s="299"/>
      <c r="D567" s="295"/>
      <c r="E567" s="300"/>
      <c r="F567" s="300"/>
      <c r="G567" s="301"/>
      <c r="H567" s="296"/>
      <c r="I567" s="302"/>
      <c r="J567" s="297"/>
    </row>
    <row r="568" spans="1:10" ht="17.25" customHeight="1" x14ac:dyDescent="0.2">
      <c r="A568" s="316">
        <v>565</v>
      </c>
      <c r="B568" s="298"/>
      <c r="C568" s="299"/>
      <c r="D568" s="295"/>
      <c r="E568" s="300"/>
      <c r="F568" s="300"/>
      <c r="G568" s="301"/>
      <c r="H568" s="296"/>
      <c r="I568" s="302"/>
      <c r="J568" s="297"/>
    </row>
    <row r="569" spans="1:10" ht="17.25" customHeight="1" x14ac:dyDescent="0.2">
      <c r="A569" s="316">
        <v>566</v>
      </c>
      <c r="B569" s="298"/>
      <c r="C569" s="299"/>
      <c r="D569" s="295"/>
      <c r="E569" s="300"/>
      <c r="F569" s="300"/>
      <c r="G569" s="301"/>
      <c r="H569" s="296"/>
      <c r="I569" s="302"/>
      <c r="J569" s="297"/>
    </row>
    <row r="570" spans="1:10" ht="17.25" customHeight="1" x14ac:dyDescent="0.2">
      <c r="A570" s="316">
        <v>567</v>
      </c>
      <c r="B570" s="298"/>
      <c r="C570" s="299"/>
      <c r="D570" s="295"/>
      <c r="E570" s="300"/>
      <c r="F570" s="300"/>
      <c r="G570" s="301"/>
      <c r="H570" s="296"/>
      <c r="I570" s="302"/>
      <c r="J570" s="297"/>
    </row>
    <row r="571" spans="1:10" ht="17.25" customHeight="1" x14ac:dyDescent="0.2">
      <c r="A571" s="316">
        <v>568</v>
      </c>
      <c r="B571" s="298"/>
      <c r="C571" s="299"/>
      <c r="D571" s="295"/>
      <c r="E571" s="300"/>
      <c r="F571" s="300"/>
      <c r="G571" s="301"/>
      <c r="H571" s="296"/>
      <c r="I571" s="302"/>
      <c r="J571" s="297"/>
    </row>
    <row r="572" spans="1:10" ht="17.25" customHeight="1" x14ac:dyDescent="0.2">
      <c r="A572" s="316">
        <v>569</v>
      </c>
      <c r="B572" s="298"/>
      <c r="C572" s="299"/>
      <c r="D572" s="295"/>
      <c r="E572" s="300"/>
      <c r="F572" s="300"/>
      <c r="G572" s="301"/>
      <c r="H572" s="296"/>
      <c r="I572" s="302"/>
      <c r="J572" s="297"/>
    </row>
    <row r="573" spans="1:10" ht="17.25" customHeight="1" x14ac:dyDescent="0.2">
      <c r="A573" s="316">
        <v>570</v>
      </c>
      <c r="B573" s="298"/>
      <c r="C573" s="299"/>
      <c r="D573" s="295"/>
      <c r="E573" s="300"/>
      <c r="F573" s="300"/>
      <c r="G573" s="301"/>
      <c r="H573" s="296"/>
      <c r="I573" s="302"/>
      <c r="J573" s="297"/>
    </row>
    <row r="574" spans="1:10" ht="17.25" customHeight="1" x14ac:dyDescent="0.2">
      <c r="A574" s="316">
        <v>571</v>
      </c>
      <c r="B574" s="298"/>
      <c r="C574" s="299"/>
      <c r="D574" s="295"/>
      <c r="E574" s="300"/>
      <c r="F574" s="300"/>
      <c r="G574" s="301"/>
      <c r="H574" s="296"/>
      <c r="I574" s="302"/>
      <c r="J574" s="297"/>
    </row>
    <row r="575" spans="1:10" ht="17.25" customHeight="1" x14ac:dyDescent="0.2">
      <c r="A575" s="316">
        <v>572</v>
      </c>
      <c r="B575" s="298"/>
      <c r="C575" s="299"/>
      <c r="D575" s="295"/>
      <c r="E575" s="300"/>
      <c r="F575" s="300"/>
      <c r="G575" s="301"/>
      <c r="H575" s="296"/>
      <c r="I575" s="302"/>
      <c r="J575" s="297"/>
    </row>
    <row r="576" spans="1:10" ht="17.25" customHeight="1" x14ac:dyDescent="0.2">
      <c r="A576" s="316">
        <v>573</v>
      </c>
      <c r="B576" s="298"/>
      <c r="C576" s="299"/>
      <c r="D576" s="295"/>
      <c r="E576" s="300"/>
      <c r="F576" s="300"/>
      <c r="G576" s="301"/>
      <c r="H576" s="296"/>
      <c r="I576" s="302"/>
      <c r="J576" s="297"/>
    </row>
    <row r="577" spans="1:10" ht="17.25" customHeight="1" x14ac:dyDescent="0.2">
      <c r="A577" s="316">
        <v>574</v>
      </c>
      <c r="B577" s="298"/>
      <c r="C577" s="299"/>
      <c r="D577" s="295"/>
      <c r="E577" s="300"/>
      <c r="F577" s="300"/>
      <c r="G577" s="301"/>
      <c r="H577" s="296"/>
      <c r="I577" s="302"/>
      <c r="J577" s="297"/>
    </row>
    <row r="578" spans="1:10" ht="17.25" customHeight="1" x14ac:dyDescent="0.2">
      <c r="A578" s="316">
        <v>575</v>
      </c>
      <c r="B578" s="298"/>
      <c r="C578" s="299"/>
      <c r="D578" s="295"/>
      <c r="E578" s="300"/>
      <c r="F578" s="300"/>
      <c r="G578" s="301"/>
      <c r="H578" s="296"/>
      <c r="I578" s="302"/>
      <c r="J578" s="297"/>
    </row>
    <row r="579" spans="1:10" ht="17.25" customHeight="1" x14ac:dyDescent="0.2">
      <c r="A579" s="316">
        <v>576</v>
      </c>
      <c r="B579" s="298"/>
      <c r="C579" s="299"/>
      <c r="D579" s="295"/>
      <c r="E579" s="300"/>
      <c r="F579" s="300"/>
      <c r="G579" s="301"/>
      <c r="H579" s="296"/>
      <c r="I579" s="302"/>
      <c r="J579" s="297"/>
    </row>
    <row r="580" spans="1:10" ht="17.25" customHeight="1" x14ac:dyDescent="0.2">
      <c r="A580" s="316">
        <v>577</v>
      </c>
      <c r="B580" s="298"/>
      <c r="C580" s="299"/>
      <c r="D580" s="295"/>
      <c r="E580" s="300"/>
      <c r="F580" s="300"/>
      <c r="G580" s="301"/>
      <c r="H580" s="296"/>
      <c r="I580" s="302"/>
      <c r="J580" s="297"/>
    </row>
    <row r="581" spans="1:10" ht="17.25" customHeight="1" x14ac:dyDescent="0.2">
      <c r="A581" s="316">
        <v>578</v>
      </c>
      <c r="B581" s="298"/>
      <c r="C581" s="299"/>
      <c r="D581" s="295"/>
      <c r="E581" s="300"/>
      <c r="F581" s="300"/>
      <c r="G581" s="301"/>
      <c r="H581" s="296"/>
      <c r="I581" s="302"/>
      <c r="J581" s="297"/>
    </row>
    <row r="582" spans="1:10" ht="17.25" customHeight="1" x14ac:dyDescent="0.2">
      <c r="A582" s="316">
        <v>579</v>
      </c>
      <c r="B582" s="298"/>
      <c r="C582" s="299"/>
      <c r="D582" s="295"/>
      <c r="E582" s="300"/>
      <c r="F582" s="300"/>
      <c r="G582" s="301"/>
      <c r="H582" s="296"/>
      <c r="I582" s="302"/>
      <c r="J582" s="297"/>
    </row>
    <row r="583" spans="1:10" ht="17.25" customHeight="1" x14ac:dyDescent="0.2">
      <c r="A583" s="316">
        <v>580</v>
      </c>
      <c r="B583" s="298"/>
      <c r="C583" s="299"/>
      <c r="D583" s="295"/>
      <c r="E583" s="300"/>
      <c r="F583" s="300"/>
      <c r="G583" s="301"/>
      <c r="H583" s="296"/>
      <c r="I583" s="302"/>
      <c r="J583" s="297"/>
    </row>
    <row r="584" spans="1:10" ht="17.25" customHeight="1" x14ac:dyDescent="0.2">
      <c r="A584" s="316">
        <v>581</v>
      </c>
      <c r="B584" s="298"/>
      <c r="C584" s="299"/>
      <c r="D584" s="295"/>
      <c r="E584" s="300"/>
      <c r="F584" s="300"/>
      <c r="G584" s="301"/>
      <c r="H584" s="296"/>
      <c r="I584" s="302"/>
      <c r="J584" s="297"/>
    </row>
    <row r="585" spans="1:10" ht="17.25" customHeight="1" x14ac:dyDescent="0.2">
      <c r="A585" s="316">
        <v>582</v>
      </c>
      <c r="B585" s="298"/>
      <c r="C585" s="299"/>
      <c r="D585" s="295"/>
      <c r="E585" s="300"/>
      <c r="F585" s="300"/>
      <c r="G585" s="301"/>
      <c r="H585" s="296"/>
      <c r="I585" s="302"/>
      <c r="J585" s="297"/>
    </row>
    <row r="586" spans="1:10" ht="17.25" customHeight="1" x14ac:dyDescent="0.2">
      <c r="A586" s="316">
        <v>583</v>
      </c>
      <c r="B586" s="298"/>
      <c r="C586" s="299"/>
      <c r="D586" s="295"/>
      <c r="E586" s="300"/>
      <c r="F586" s="300"/>
      <c r="G586" s="301"/>
      <c r="H586" s="296"/>
      <c r="I586" s="302"/>
      <c r="J586" s="297"/>
    </row>
    <row r="587" spans="1:10" ht="17.25" customHeight="1" x14ac:dyDescent="0.2">
      <c r="A587" s="316">
        <v>584</v>
      </c>
      <c r="B587" s="298"/>
      <c r="C587" s="299"/>
      <c r="D587" s="295"/>
      <c r="E587" s="300"/>
      <c r="F587" s="300"/>
      <c r="G587" s="301"/>
      <c r="H587" s="296"/>
      <c r="I587" s="302"/>
      <c r="J587" s="297"/>
    </row>
    <row r="588" spans="1:10" ht="17.25" customHeight="1" x14ac:dyDescent="0.2">
      <c r="A588" s="316">
        <v>585</v>
      </c>
      <c r="B588" s="298"/>
      <c r="C588" s="299"/>
      <c r="D588" s="295"/>
      <c r="E588" s="300"/>
      <c r="F588" s="300"/>
      <c r="G588" s="301"/>
      <c r="H588" s="296"/>
      <c r="I588" s="302"/>
      <c r="J588" s="297"/>
    </row>
    <row r="589" spans="1:10" ht="17.25" customHeight="1" x14ac:dyDescent="0.2">
      <c r="A589" s="316">
        <v>586</v>
      </c>
      <c r="B589" s="298"/>
      <c r="C589" s="299"/>
      <c r="D589" s="295"/>
      <c r="E589" s="300"/>
      <c r="F589" s="300"/>
      <c r="G589" s="301"/>
      <c r="H589" s="296"/>
      <c r="I589" s="302"/>
      <c r="J589" s="297"/>
    </row>
    <row r="590" spans="1:10" ht="17.25" customHeight="1" x14ac:dyDescent="0.2">
      <c r="A590" s="316">
        <v>587</v>
      </c>
      <c r="B590" s="298"/>
      <c r="C590" s="299"/>
      <c r="D590" s="295"/>
      <c r="E590" s="300"/>
      <c r="F590" s="300"/>
      <c r="G590" s="301"/>
      <c r="H590" s="296"/>
      <c r="I590" s="302"/>
      <c r="J590" s="297"/>
    </row>
    <row r="591" spans="1:10" ht="17.25" customHeight="1" x14ac:dyDescent="0.2">
      <c r="A591" s="316">
        <v>588</v>
      </c>
      <c r="B591" s="298"/>
      <c r="C591" s="299"/>
      <c r="D591" s="295"/>
      <c r="E591" s="300"/>
      <c r="F591" s="300"/>
      <c r="G591" s="301"/>
      <c r="H591" s="296"/>
      <c r="I591" s="302"/>
      <c r="J591" s="297"/>
    </row>
    <row r="592" spans="1:10" ht="17.25" customHeight="1" x14ac:dyDescent="0.2">
      <c r="A592" s="316">
        <v>589</v>
      </c>
      <c r="B592" s="298"/>
      <c r="C592" s="299"/>
      <c r="D592" s="295"/>
      <c r="E592" s="300"/>
      <c r="F592" s="300"/>
      <c r="G592" s="301"/>
      <c r="H592" s="296"/>
      <c r="I592" s="302"/>
      <c r="J592" s="297"/>
    </row>
    <row r="593" spans="1:10" ht="17.25" customHeight="1" x14ac:dyDescent="0.2">
      <c r="A593" s="316">
        <v>590</v>
      </c>
      <c r="B593" s="298"/>
      <c r="C593" s="299"/>
      <c r="D593" s="295"/>
      <c r="E593" s="300"/>
      <c r="F593" s="300"/>
      <c r="G593" s="301"/>
      <c r="H593" s="296"/>
      <c r="I593" s="302"/>
      <c r="J593" s="297"/>
    </row>
    <row r="594" spans="1:10" ht="17.25" customHeight="1" x14ac:dyDescent="0.2">
      <c r="A594" s="316">
        <v>591</v>
      </c>
      <c r="B594" s="298"/>
      <c r="C594" s="299"/>
      <c r="D594" s="295"/>
      <c r="E594" s="300"/>
      <c r="F594" s="300"/>
      <c r="G594" s="301"/>
      <c r="H594" s="296"/>
      <c r="I594" s="302"/>
      <c r="J594" s="297"/>
    </row>
    <row r="595" spans="1:10" ht="17.25" customHeight="1" x14ac:dyDescent="0.2">
      <c r="A595" s="316">
        <v>592</v>
      </c>
      <c r="B595" s="298"/>
      <c r="C595" s="299"/>
      <c r="D595" s="295"/>
      <c r="E595" s="300"/>
      <c r="F595" s="300"/>
      <c r="G595" s="301"/>
      <c r="H595" s="296"/>
      <c r="I595" s="302"/>
      <c r="J595" s="297"/>
    </row>
    <row r="596" spans="1:10" ht="17.25" customHeight="1" x14ac:dyDescent="0.2">
      <c r="A596" s="316">
        <v>593</v>
      </c>
      <c r="B596" s="298"/>
      <c r="C596" s="299"/>
      <c r="D596" s="295"/>
      <c r="E596" s="300"/>
      <c r="F596" s="300"/>
      <c r="G596" s="301"/>
      <c r="H596" s="296"/>
      <c r="I596" s="302"/>
      <c r="J596" s="297"/>
    </row>
    <row r="597" spans="1:10" ht="17.25" customHeight="1" x14ac:dyDescent="0.2">
      <c r="A597" s="316">
        <v>594</v>
      </c>
      <c r="B597" s="298"/>
      <c r="C597" s="299"/>
      <c r="D597" s="295"/>
      <c r="E597" s="300"/>
      <c r="F597" s="300"/>
      <c r="G597" s="301"/>
      <c r="H597" s="296"/>
      <c r="I597" s="302"/>
      <c r="J597" s="297"/>
    </row>
    <row r="598" spans="1:10" ht="17.25" customHeight="1" x14ac:dyDescent="0.2">
      <c r="A598" s="316">
        <v>595</v>
      </c>
      <c r="B598" s="298"/>
      <c r="C598" s="299"/>
      <c r="D598" s="295"/>
      <c r="E598" s="300"/>
      <c r="F598" s="300"/>
      <c r="G598" s="301"/>
      <c r="H598" s="296"/>
      <c r="I598" s="302"/>
      <c r="J598" s="297"/>
    </row>
    <row r="599" spans="1:10" ht="17.25" customHeight="1" x14ac:dyDescent="0.2">
      <c r="A599" s="316">
        <v>596</v>
      </c>
      <c r="B599" s="298"/>
      <c r="C599" s="299"/>
      <c r="D599" s="295"/>
      <c r="E599" s="300"/>
      <c r="F599" s="300"/>
      <c r="G599" s="301"/>
      <c r="H599" s="296"/>
      <c r="I599" s="302"/>
      <c r="J599" s="297"/>
    </row>
    <row r="600" spans="1:10" ht="17.25" customHeight="1" x14ac:dyDescent="0.2">
      <c r="A600" s="316">
        <v>597</v>
      </c>
      <c r="B600" s="298"/>
      <c r="C600" s="299"/>
      <c r="D600" s="295"/>
      <c r="E600" s="300"/>
      <c r="F600" s="300"/>
      <c r="G600" s="301"/>
      <c r="H600" s="296"/>
      <c r="I600" s="302"/>
      <c r="J600" s="297"/>
    </row>
    <row r="601" spans="1:10" ht="17.25" customHeight="1" x14ac:dyDescent="0.2">
      <c r="A601" s="316">
        <v>598</v>
      </c>
      <c r="B601" s="298"/>
      <c r="C601" s="299"/>
      <c r="D601" s="295"/>
      <c r="E601" s="300"/>
      <c r="F601" s="300"/>
      <c r="G601" s="301"/>
      <c r="H601" s="296"/>
      <c r="I601" s="302"/>
      <c r="J601" s="297"/>
    </row>
    <row r="602" spans="1:10" ht="17.25" customHeight="1" x14ac:dyDescent="0.2">
      <c r="A602" s="316">
        <v>599</v>
      </c>
      <c r="B602" s="298"/>
      <c r="C602" s="299"/>
      <c r="D602" s="295"/>
      <c r="E602" s="300"/>
      <c r="F602" s="300"/>
      <c r="G602" s="301"/>
      <c r="H602" s="296"/>
      <c r="I602" s="302"/>
      <c r="J602" s="297"/>
    </row>
    <row r="603" spans="1:10" ht="17.25" customHeight="1" x14ac:dyDescent="0.2">
      <c r="A603" s="316">
        <v>600</v>
      </c>
      <c r="B603" s="298"/>
      <c r="C603" s="299"/>
      <c r="D603" s="295"/>
      <c r="E603" s="300"/>
      <c r="F603" s="300"/>
      <c r="G603" s="301"/>
      <c r="H603" s="296"/>
      <c r="I603" s="302"/>
      <c r="J603" s="297"/>
    </row>
    <row r="604" spans="1:10" ht="17.25" customHeight="1" x14ac:dyDescent="0.2">
      <c r="A604" s="316">
        <v>601</v>
      </c>
      <c r="B604" s="298"/>
      <c r="C604" s="299"/>
      <c r="D604" s="295"/>
      <c r="E604" s="300"/>
      <c r="F604" s="300"/>
      <c r="G604" s="301"/>
      <c r="H604" s="296"/>
      <c r="I604" s="302"/>
      <c r="J604" s="297"/>
    </row>
    <row r="605" spans="1:10" ht="17.25" customHeight="1" x14ac:dyDescent="0.2">
      <c r="A605" s="316">
        <v>602</v>
      </c>
      <c r="B605" s="298"/>
      <c r="C605" s="299"/>
      <c r="D605" s="295"/>
      <c r="E605" s="300"/>
      <c r="F605" s="300"/>
      <c r="G605" s="301"/>
      <c r="H605" s="296"/>
      <c r="I605" s="302"/>
      <c r="J605" s="297"/>
    </row>
    <row r="606" spans="1:10" ht="17.25" customHeight="1" x14ac:dyDescent="0.2">
      <c r="A606" s="316">
        <v>603</v>
      </c>
      <c r="B606" s="298"/>
      <c r="C606" s="299"/>
      <c r="D606" s="295"/>
      <c r="E606" s="300"/>
      <c r="F606" s="300"/>
      <c r="G606" s="301"/>
      <c r="H606" s="296"/>
      <c r="I606" s="302"/>
      <c r="J606" s="297"/>
    </row>
    <row r="607" spans="1:10" ht="17.25" customHeight="1" x14ac:dyDescent="0.2">
      <c r="A607" s="316">
        <v>604</v>
      </c>
      <c r="B607" s="298"/>
      <c r="C607" s="299"/>
      <c r="D607" s="295"/>
      <c r="E607" s="300"/>
      <c r="F607" s="300"/>
      <c r="G607" s="301"/>
      <c r="H607" s="296"/>
      <c r="I607" s="302"/>
      <c r="J607" s="297"/>
    </row>
    <row r="608" spans="1:10" ht="17.25" customHeight="1" x14ac:dyDescent="0.2">
      <c r="A608" s="316">
        <v>605</v>
      </c>
      <c r="B608" s="298"/>
      <c r="C608" s="299"/>
      <c r="D608" s="295"/>
      <c r="E608" s="300"/>
      <c r="F608" s="300"/>
      <c r="G608" s="301"/>
      <c r="H608" s="296"/>
      <c r="I608" s="302"/>
      <c r="J608" s="297"/>
    </row>
    <row r="609" spans="1:10" ht="17.25" customHeight="1" x14ac:dyDescent="0.2">
      <c r="A609" s="316">
        <v>606</v>
      </c>
      <c r="B609" s="298"/>
      <c r="C609" s="299"/>
      <c r="D609" s="295"/>
      <c r="E609" s="300"/>
      <c r="F609" s="300"/>
      <c r="G609" s="301"/>
      <c r="H609" s="296"/>
      <c r="I609" s="302"/>
      <c r="J609" s="297"/>
    </row>
    <row r="610" spans="1:10" ht="17.25" customHeight="1" x14ac:dyDescent="0.2">
      <c r="A610" s="316">
        <v>607</v>
      </c>
      <c r="B610" s="298"/>
      <c r="C610" s="299"/>
      <c r="D610" s="295"/>
      <c r="E610" s="300"/>
      <c r="F610" s="300"/>
      <c r="G610" s="301"/>
      <c r="H610" s="296"/>
      <c r="I610" s="302"/>
      <c r="J610" s="297"/>
    </row>
    <row r="611" spans="1:10" ht="17.25" customHeight="1" x14ac:dyDescent="0.2">
      <c r="A611" s="316">
        <v>608</v>
      </c>
      <c r="B611" s="298"/>
      <c r="C611" s="299"/>
      <c r="D611" s="295"/>
      <c r="E611" s="300"/>
      <c r="F611" s="300"/>
      <c r="G611" s="301"/>
      <c r="H611" s="296"/>
      <c r="I611" s="302"/>
      <c r="J611" s="297"/>
    </row>
    <row r="612" spans="1:10" ht="17.25" customHeight="1" x14ac:dyDescent="0.2">
      <c r="A612" s="316">
        <v>609</v>
      </c>
      <c r="B612" s="298"/>
      <c r="C612" s="299"/>
      <c r="D612" s="295"/>
      <c r="E612" s="300"/>
      <c r="F612" s="300"/>
      <c r="G612" s="301"/>
      <c r="H612" s="296"/>
      <c r="I612" s="302"/>
      <c r="J612" s="297"/>
    </row>
    <row r="613" spans="1:10" ht="17.25" customHeight="1" x14ac:dyDescent="0.2">
      <c r="A613" s="316">
        <v>610</v>
      </c>
      <c r="B613" s="298"/>
      <c r="C613" s="299"/>
      <c r="D613" s="295"/>
      <c r="E613" s="300"/>
      <c r="F613" s="300"/>
      <c r="G613" s="301"/>
      <c r="H613" s="296"/>
      <c r="I613" s="302"/>
      <c r="J613" s="297"/>
    </row>
    <row r="614" spans="1:10" ht="17.25" customHeight="1" x14ac:dyDescent="0.2">
      <c r="A614" s="316">
        <v>611</v>
      </c>
      <c r="B614" s="298"/>
      <c r="C614" s="299"/>
      <c r="D614" s="295"/>
      <c r="E614" s="300"/>
      <c r="F614" s="300"/>
      <c r="G614" s="301"/>
      <c r="H614" s="296"/>
      <c r="I614" s="302"/>
      <c r="J614" s="297"/>
    </row>
    <row r="615" spans="1:10" ht="17.25" customHeight="1" x14ac:dyDescent="0.2">
      <c r="A615" s="316">
        <v>612</v>
      </c>
      <c r="B615" s="298"/>
      <c r="C615" s="299"/>
      <c r="D615" s="295"/>
      <c r="E615" s="300"/>
      <c r="F615" s="300"/>
      <c r="G615" s="301"/>
      <c r="H615" s="296"/>
      <c r="I615" s="302"/>
      <c r="J615" s="297"/>
    </row>
    <row r="616" spans="1:10" ht="17.25" customHeight="1" x14ac:dyDescent="0.2">
      <c r="A616" s="316">
        <v>613</v>
      </c>
      <c r="B616" s="298"/>
      <c r="C616" s="299"/>
      <c r="D616" s="295"/>
      <c r="E616" s="300"/>
      <c r="F616" s="300"/>
      <c r="G616" s="301"/>
      <c r="H616" s="296"/>
      <c r="I616" s="302"/>
      <c r="J616" s="297"/>
    </row>
    <row r="617" spans="1:10" ht="17.25" customHeight="1" x14ac:dyDescent="0.2">
      <c r="A617" s="316">
        <v>614</v>
      </c>
      <c r="B617" s="298"/>
      <c r="C617" s="299"/>
      <c r="D617" s="295"/>
      <c r="E617" s="300"/>
      <c r="F617" s="300"/>
      <c r="G617" s="301"/>
      <c r="H617" s="296"/>
      <c r="I617" s="302"/>
      <c r="J617" s="297"/>
    </row>
    <row r="618" spans="1:10" ht="17.25" customHeight="1" x14ac:dyDescent="0.2">
      <c r="A618" s="316">
        <v>615</v>
      </c>
      <c r="B618" s="298"/>
      <c r="C618" s="299"/>
      <c r="D618" s="295"/>
      <c r="E618" s="300"/>
      <c r="F618" s="300"/>
      <c r="G618" s="301"/>
      <c r="H618" s="296"/>
      <c r="I618" s="302"/>
      <c r="J618" s="297"/>
    </row>
    <row r="619" spans="1:10" ht="17.25" customHeight="1" x14ac:dyDescent="0.2">
      <c r="A619" s="316">
        <v>616</v>
      </c>
      <c r="B619" s="298"/>
      <c r="C619" s="299"/>
      <c r="D619" s="295"/>
      <c r="E619" s="300"/>
      <c r="F619" s="300"/>
      <c r="G619" s="301"/>
      <c r="H619" s="296"/>
      <c r="I619" s="302"/>
      <c r="J619" s="297"/>
    </row>
    <row r="620" spans="1:10" ht="17.25" customHeight="1" x14ac:dyDescent="0.2">
      <c r="A620" s="316">
        <v>617</v>
      </c>
      <c r="B620" s="298"/>
      <c r="C620" s="299"/>
      <c r="D620" s="295"/>
      <c r="E620" s="300"/>
      <c r="F620" s="300"/>
      <c r="G620" s="301"/>
      <c r="H620" s="296"/>
      <c r="I620" s="302"/>
      <c r="J620" s="297"/>
    </row>
    <row r="621" spans="1:10" ht="17.25" customHeight="1" x14ac:dyDescent="0.2">
      <c r="A621" s="316">
        <v>618</v>
      </c>
      <c r="B621" s="298"/>
      <c r="C621" s="299"/>
      <c r="D621" s="295"/>
      <c r="E621" s="300"/>
      <c r="F621" s="300"/>
      <c r="G621" s="301"/>
      <c r="H621" s="296"/>
      <c r="I621" s="302"/>
      <c r="J621" s="297"/>
    </row>
    <row r="622" spans="1:10" ht="17.25" customHeight="1" x14ac:dyDescent="0.2">
      <c r="A622" s="316">
        <v>619</v>
      </c>
      <c r="B622" s="298"/>
      <c r="C622" s="299"/>
      <c r="D622" s="295"/>
      <c r="E622" s="300"/>
      <c r="F622" s="300"/>
      <c r="G622" s="301"/>
      <c r="H622" s="296"/>
      <c r="I622" s="302"/>
      <c r="J622" s="297"/>
    </row>
    <row r="623" spans="1:10" ht="17.25" customHeight="1" x14ac:dyDescent="0.2">
      <c r="A623" s="316">
        <v>620</v>
      </c>
      <c r="B623" s="298"/>
      <c r="C623" s="299"/>
      <c r="D623" s="295"/>
      <c r="E623" s="300"/>
      <c r="F623" s="300"/>
      <c r="G623" s="301"/>
      <c r="H623" s="296"/>
      <c r="I623" s="302"/>
      <c r="J623" s="297"/>
    </row>
    <row r="624" spans="1:10" ht="17.25" customHeight="1" x14ac:dyDescent="0.2">
      <c r="A624" s="316">
        <v>621</v>
      </c>
      <c r="B624" s="298"/>
      <c r="C624" s="299"/>
      <c r="D624" s="295"/>
      <c r="E624" s="300"/>
      <c r="F624" s="300"/>
      <c r="G624" s="301"/>
      <c r="H624" s="296"/>
      <c r="I624" s="302"/>
      <c r="J624" s="297"/>
    </row>
    <row r="625" spans="1:10" ht="17.25" customHeight="1" x14ac:dyDescent="0.2">
      <c r="A625" s="316">
        <v>622</v>
      </c>
      <c r="B625" s="298"/>
      <c r="C625" s="299"/>
      <c r="D625" s="295"/>
      <c r="E625" s="300"/>
      <c r="F625" s="300"/>
      <c r="G625" s="301"/>
      <c r="H625" s="296"/>
      <c r="I625" s="302"/>
      <c r="J625" s="297"/>
    </row>
    <row r="626" spans="1:10" ht="17.25" customHeight="1" x14ac:dyDescent="0.2">
      <c r="A626" s="316">
        <v>623</v>
      </c>
      <c r="B626" s="298"/>
      <c r="C626" s="299"/>
      <c r="D626" s="295"/>
      <c r="E626" s="300"/>
      <c r="F626" s="300"/>
      <c r="G626" s="301"/>
      <c r="H626" s="296"/>
      <c r="I626" s="302"/>
      <c r="J626" s="297"/>
    </row>
    <row r="627" spans="1:10" ht="17.25" customHeight="1" x14ac:dyDescent="0.2">
      <c r="A627" s="316">
        <v>624</v>
      </c>
      <c r="B627" s="298"/>
      <c r="C627" s="299"/>
      <c r="D627" s="295"/>
      <c r="E627" s="300"/>
      <c r="F627" s="300"/>
      <c r="G627" s="301"/>
      <c r="H627" s="296"/>
      <c r="I627" s="302"/>
      <c r="J627" s="297"/>
    </row>
    <row r="628" spans="1:10" ht="17.25" customHeight="1" x14ac:dyDescent="0.2">
      <c r="A628" s="316">
        <v>625</v>
      </c>
      <c r="B628" s="298"/>
      <c r="C628" s="299"/>
      <c r="D628" s="295"/>
      <c r="E628" s="300"/>
      <c r="F628" s="300"/>
      <c r="G628" s="301"/>
      <c r="H628" s="296"/>
      <c r="I628" s="302"/>
      <c r="J628" s="297"/>
    </row>
    <row r="629" spans="1:10" ht="17.25" customHeight="1" x14ac:dyDescent="0.2">
      <c r="A629" s="316">
        <v>626</v>
      </c>
      <c r="B629" s="298"/>
      <c r="C629" s="299"/>
      <c r="D629" s="295"/>
      <c r="E629" s="300"/>
      <c r="F629" s="300"/>
      <c r="G629" s="301"/>
      <c r="H629" s="296"/>
      <c r="I629" s="302"/>
      <c r="J629" s="297"/>
    </row>
    <row r="630" spans="1:10" ht="17.25" customHeight="1" x14ac:dyDescent="0.2">
      <c r="A630" s="316">
        <v>627</v>
      </c>
      <c r="B630" s="298"/>
      <c r="C630" s="299"/>
      <c r="D630" s="295"/>
      <c r="E630" s="300"/>
      <c r="F630" s="300"/>
      <c r="G630" s="301"/>
      <c r="H630" s="296"/>
      <c r="I630" s="302"/>
      <c r="J630" s="297"/>
    </row>
    <row r="631" spans="1:10" ht="17.25" customHeight="1" x14ac:dyDescent="0.2">
      <c r="A631" s="316">
        <v>628</v>
      </c>
      <c r="B631" s="298"/>
      <c r="C631" s="299"/>
      <c r="D631" s="295"/>
      <c r="E631" s="300"/>
      <c r="F631" s="300"/>
      <c r="G631" s="301"/>
      <c r="H631" s="296"/>
      <c r="I631" s="302"/>
      <c r="J631" s="297"/>
    </row>
    <row r="632" spans="1:10" ht="17.25" customHeight="1" x14ac:dyDescent="0.2">
      <c r="A632" s="316">
        <v>629</v>
      </c>
      <c r="B632" s="298"/>
      <c r="C632" s="299"/>
      <c r="D632" s="295"/>
      <c r="E632" s="300"/>
      <c r="F632" s="300"/>
      <c r="G632" s="301"/>
      <c r="H632" s="296"/>
      <c r="I632" s="302"/>
      <c r="J632" s="297"/>
    </row>
    <row r="633" spans="1:10" ht="17.25" customHeight="1" x14ac:dyDescent="0.2">
      <c r="A633" s="316">
        <v>630</v>
      </c>
      <c r="B633" s="298"/>
      <c r="C633" s="299"/>
      <c r="D633" s="295"/>
      <c r="E633" s="300"/>
      <c r="F633" s="300"/>
      <c r="G633" s="301"/>
      <c r="H633" s="296"/>
      <c r="I633" s="302"/>
      <c r="J633" s="297"/>
    </row>
    <row r="634" spans="1:10" ht="17.25" customHeight="1" x14ac:dyDescent="0.2">
      <c r="A634" s="316">
        <v>631</v>
      </c>
      <c r="B634" s="298"/>
      <c r="C634" s="299"/>
      <c r="D634" s="295"/>
      <c r="E634" s="300"/>
      <c r="F634" s="300"/>
      <c r="G634" s="301"/>
      <c r="H634" s="296"/>
      <c r="I634" s="302"/>
      <c r="J634" s="297"/>
    </row>
    <row r="635" spans="1:10" ht="17.25" customHeight="1" x14ac:dyDescent="0.2">
      <c r="A635" s="316">
        <v>632</v>
      </c>
      <c r="B635" s="298"/>
      <c r="C635" s="299"/>
      <c r="D635" s="295"/>
      <c r="E635" s="300"/>
      <c r="F635" s="300"/>
      <c r="G635" s="301"/>
      <c r="H635" s="296"/>
      <c r="I635" s="302"/>
      <c r="J635" s="297"/>
    </row>
    <row r="636" spans="1:10" ht="17.25" customHeight="1" x14ac:dyDescent="0.2">
      <c r="A636" s="316">
        <v>633</v>
      </c>
      <c r="B636" s="298"/>
      <c r="C636" s="299"/>
      <c r="D636" s="295"/>
      <c r="E636" s="300"/>
      <c r="F636" s="300"/>
      <c r="G636" s="301"/>
      <c r="H636" s="296"/>
      <c r="I636" s="302"/>
      <c r="J636" s="297"/>
    </row>
    <row r="637" spans="1:10" ht="17.25" customHeight="1" x14ac:dyDescent="0.2">
      <c r="A637" s="316">
        <v>634</v>
      </c>
      <c r="B637" s="298"/>
      <c r="C637" s="299"/>
      <c r="D637" s="295"/>
      <c r="E637" s="300"/>
      <c r="F637" s="300"/>
      <c r="G637" s="301"/>
      <c r="H637" s="296"/>
      <c r="I637" s="302"/>
      <c r="J637" s="297"/>
    </row>
    <row r="638" spans="1:10" ht="17.25" customHeight="1" x14ac:dyDescent="0.2">
      <c r="A638" s="316">
        <v>635</v>
      </c>
      <c r="B638" s="298"/>
      <c r="C638" s="299"/>
      <c r="D638" s="295"/>
      <c r="E638" s="300"/>
      <c r="F638" s="300"/>
      <c r="G638" s="301"/>
      <c r="H638" s="296"/>
      <c r="I638" s="302"/>
      <c r="J638" s="297"/>
    </row>
    <row r="639" spans="1:10" ht="17.25" customHeight="1" x14ac:dyDescent="0.2">
      <c r="A639" s="316">
        <v>636</v>
      </c>
      <c r="B639" s="298"/>
      <c r="C639" s="299"/>
      <c r="D639" s="295"/>
      <c r="E639" s="300"/>
      <c r="F639" s="300"/>
      <c r="G639" s="301"/>
      <c r="H639" s="296"/>
      <c r="I639" s="302"/>
      <c r="J639" s="297"/>
    </row>
    <row r="640" spans="1:10" ht="17.25" customHeight="1" x14ac:dyDescent="0.2">
      <c r="A640" s="316">
        <v>637</v>
      </c>
      <c r="B640" s="298"/>
      <c r="C640" s="299"/>
      <c r="D640" s="295"/>
      <c r="E640" s="300"/>
      <c r="F640" s="300"/>
      <c r="G640" s="301"/>
      <c r="H640" s="296"/>
      <c r="I640" s="302"/>
      <c r="J640" s="297"/>
    </row>
    <row r="641" spans="1:10" ht="17.25" customHeight="1" x14ac:dyDescent="0.2">
      <c r="A641" s="316">
        <v>638</v>
      </c>
      <c r="B641" s="298"/>
      <c r="C641" s="299"/>
      <c r="D641" s="295"/>
      <c r="E641" s="300"/>
      <c r="F641" s="300"/>
      <c r="G641" s="301"/>
      <c r="H641" s="296"/>
      <c r="I641" s="302"/>
      <c r="J641" s="297"/>
    </row>
    <row r="642" spans="1:10" ht="17.25" customHeight="1" x14ac:dyDescent="0.2">
      <c r="A642" s="316">
        <v>639</v>
      </c>
      <c r="B642" s="298"/>
      <c r="C642" s="299"/>
      <c r="D642" s="295"/>
      <c r="E642" s="300"/>
      <c r="F642" s="300"/>
      <c r="G642" s="301"/>
      <c r="H642" s="296"/>
      <c r="I642" s="302"/>
      <c r="J642" s="297"/>
    </row>
    <row r="643" spans="1:10" ht="17.25" customHeight="1" x14ac:dyDescent="0.2">
      <c r="A643" s="316">
        <v>640</v>
      </c>
      <c r="B643" s="298"/>
      <c r="C643" s="299"/>
      <c r="D643" s="295"/>
      <c r="E643" s="300"/>
      <c r="F643" s="300"/>
      <c r="G643" s="301"/>
      <c r="H643" s="296"/>
      <c r="I643" s="302"/>
      <c r="J643" s="297"/>
    </row>
    <row r="644" spans="1:10" ht="17.25" customHeight="1" x14ac:dyDescent="0.2">
      <c r="A644" s="316">
        <v>641</v>
      </c>
      <c r="B644" s="298"/>
      <c r="C644" s="299"/>
      <c r="D644" s="295"/>
      <c r="E644" s="300"/>
      <c r="F644" s="300"/>
      <c r="G644" s="301"/>
      <c r="H644" s="296"/>
      <c r="I644" s="302"/>
      <c r="J644" s="297"/>
    </row>
    <row r="645" spans="1:10" ht="17.25" customHeight="1" x14ac:dyDescent="0.2">
      <c r="A645" s="316">
        <v>642</v>
      </c>
      <c r="B645" s="298"/>
      <c r="C645" s="299"/>
      <c r="D645" s="295"/>
      <c r="E645" s="300"/>
      <c r="F645" s="300"/>
      <c r="G645" s="301"/>
      <c r="H645" s="296"/>
      <c r="I645" s="302"/>
      <c r="J645" s="297"/>
    </row>
    <row r="646" spans="1:10" ht="17.25" customHeight="1" x14ac:dyDescent="0.2">
      <c r="A646" s="316">
        <v>643</v>
      </c>
      <c r="B646" s="298"/>
      <c r="C646" s="299"/>
      <c r="D646" s="295"/>
      <c r="E646" s="300"/>
      <c r="F646" s="300"/>
      <c r="G646" s="301"/>
      <c r="H646" s="296"/>
      <c r="I646" s="302"/>
      <c r="J646" s="297"/>
    </row>
    <row r="647" spans="1:10" ht="17.25" customHeight="1" x14ac:dyDescent="0.2">
      <c r="A647" s="316">
        <v>644</v>
      </c>
      <c r="B647" s="298"/>
      <c r="C647" s="299"/>
      <c r="D647" s="295"/>
      <c r="E647" s="300"/>
      <c r="F647" s="300"/>
      <c r="G647" s="301"/>
      <c r="H647" s="296"/>
      <c r="I647" s="302"/>
      <c r="J647" s="297"/>
    </row>
    <row r="648" spans="1:10" ht="17.25" customHeight="1" x14ac:dyDescent="0.2">
      <c r="A648" s="316">
        <v>645</v>
      </c>
      <c r="B648" s="298"/>
      <c r="C648" s="299"/>
      <c r="D648" s="295"/>
      <c r="E648" s="300"/>
      <c r="F648" s="300"/>
      <c r="G648" s="301"/>
      <c r="H648" s="296"/>
      <c r="I648" s="302"/>
      <c r="J648" s="297"/>
    </row>
    <row r="649" spans="1:10" ht="17.25" customHeight="1" x14ac:dyDescent="0.2">
      <c r="A649" s="316">
        <v>646</v>
      </c>
      <c r="B649" s="298"/>
      <c r="C649" s="299"/>
      <c r="D649" s="295"/>
      <c r="E649" s="300"/>
      <c r="F649" s="300"/>
      <c r="G649" s="301"/>
      <c r="H649" s="296"/>
      <c r="I649" s="302"/>
      <c r="J649" s="297"/>
    </row>
    <row r="650" spans="1:10" ht="17.25" customHeight="1" x14ac:dyDescent="0.2">
      <c r="A650" s="316">
        <v>647</v>
      </c>
      <c r="B650" s="298"/>
      <c r="C650" s="299"/>
      <c r="D650" s="295"/>
      <c r="E650" s="300"/>
      <c r="F650" s="300"/>
      <c r="G650" s="301"/>
      <c r="H650" s="296"/>
      <c r="I650" s="302"/>
      <c r="J650" s="297"/>
    </row>
    <row r="651" spans="1:10" ht="17.25" customHeight="1" x14ac:dyDescent="0.2">
      <c r="A651" s="316">
        <v>648</v>
      </c>
      <c r="B651" s="298"/>
      <c r="C651" s="299"/>
      <c r="D651" s="295"/>
      <c r="E651" s="300"/>
      <c r="F651" s="300"/>
      <c r="G651" s="301"/>
      <c r="H651" s="296"/>
      <c r="I651" s="302"/>
      <c r="J651" s="297"/>
    </row>
    <row r="652" spans="1:10" ht="17.25" customHeight="1" x14ac:dyDescent="0.2">
      <c r="A652" s="316">
        <v>649</v>
      </c>
      <c r="B652" s="298"/>
      <c r="C652" s="299"/>
      <c r="D652" s="295"/>
      <c r="E652" s="300"/>
      <c r="F652" s="300"/>
      <c r="G652" s="301"/>
      <c r="H652" s="296"/>
      <c r="I652" s="302"/>
      <c r="J652" s="297"/>
    </row>
    <row r="653" spans="1:10" ht="17.25" customHeight="1" x14ac:dyDescent="0.2">
      <c r="A653" s="316">
        <v>650</v>
      </c>
      <c r="B653" s="298"/>
      <c r="C653" s="299"/>
      <c r="D653" s="295"/>
      <c r="E653" s="300"/>
      <c r="F653" s="300"/>
      <c r="G653" s="301"/>
      <c r="H653" s="296"/>
      <c r="I653" s="302"/>
      <c r="J653" s="297"/>
    </row>
    <row r="654" spans="1:10" ht="17.25" customHeight="1" x14ac:dyDescent="0.2">
      <c r="A654" s="316">
        <v>651</v>
      </c>
      <c r="B654" s="298"/>
      <c r="C654" s="299"/>
      <c r="D654" s="295"/>
      <c r="E654" s="300"/>
      <c r="F654" s="300"/>
      <c r="G654" s="301"/>
      <c r="H654" s="296"/>
      <c r="I654" s="302"/>
      <c r="J654" s="297"/>
    </row>
    <row r="655" spans="1:10" ht="17.25" customHeight="1" x14ac:dyDescent="0.2">
      <c r="A655" s="316">
        <v>652</v>
      </c>
      <c r="B655" s="298"/>
      <c r="C655" s="299"/>
      <c r="D655" s="295"/>
      <c r="E655" s="300"/>
      <c r="F655" s="300"/>
      <c r="G655" s="301"/>
      <c r="H655" s="296"/>
      <c r="I655" s="302"/>
      <c r="J655" s="297"/>
    </row>
    <row r="656" spans="1:10" ht="17.25" customHeight="1" x14ac:dyDescent="0.2">
      <c r="A656" s="316">
        <v>653</v>
      </c>
      <c r="B656" s="298"/>
      <c r="C656" s="299"/>
      <c r="D656" s="295"/>
      <c r="E656" s="300"/>
      <c r="F656" s="300"/>
      <c r="G656" s="301"/>
      <c r="H656" s="296"/>
      <c r="I656" s="302"/>
      <c r="J656" s="297"/>
    </row>
    <row r="657" spans="1:10" ht="17.25" customHeight="1" x14ac:dyDescent="0.2">
      <c r="A657" s="316">
        <v>654</v>
      </c>
      <c r="B657" s="298"/>
      <c r="C657" s="299"/>
      <c r="D657" s="295"/>
      <c r="E657" s="300"/>
      <c r="F657" s="300"/>
      <c r="G657" s="301"/>
      <c r="H657" s="296"/>
      <c r="I657" s="302"/>
      <c r="J657" s="297"/>
    </row>
    <row r="658" spans="1:10" ht="17.25" customHeight="1" x14ac:dyDescent="0.2">
      <c r="A658" s="316">
        <v>655</v>
      </c>
      <c r="B658" s="298"/>
      <c r="C658" s="299"/>
      <c r="D658" s="295"/>
      <c r="E658" s="300"/>
      <c r="F658" s="300"/>
      <c r="G658" s="301"/>
      <c r="H658" s="296"/>
      <c r="I658" s="302"/>
      <c r="J658" s="297"/>
    </row>
    <row r="659" spans="1:10" ht="17.25" customHeight="1" x14ac:dyDescent="0.2">
      <c r="A659" s="316">
        <v>656</v>
      </c>
      <c r="B659" s="298"/>
      <c r="C659" s="299"/>
      <c r="D659" s="295"/>
      <c r="E659" s="300"/>
      <c r="F659" s="300"/>
      <c r="G659" s="301"/>
      <c r="H659" s="296"/>
      <c r="I659" s="302"/>
      <c r="J659" s="297"/>
    </row>
    <row r="660" spans="1:10" ht="17.25" customHeight="1" x14ac:dyDescent="0.2">
      <c r="A660" s="316">
        <v>657</v>
      </c>
      <c r="B660" s="298"/>
      <c r="C660" s="299"/>
      <c r="D660" s="295"/>
      <c r="E660" s="300"/>
      <c r="F660" s="300"/>
      <c r="G660" s="301"/>
      <c r="H660" s="296"/>
      <c r="I660" s="302"/>
      <c r="J660" s="297"/>
    </row>
    <row r="661" spans="1:10" ht="17.25" customHeight="1" x14ac:dyDescent="0.2">
      <c r="A661" s="316">
        <v>658</v>
      </c>
      <c r="B661" s="298"/>
      <c r="C661" s="299"/>
      <c r="D661" s="295"/>
      <c r="E661" s="300"/>
      <c r="F661" s="300"/>
      <c r="G661" s="301"/>
      <c r="H661" s="296"/>
      <c r="I661" s="302"/>
      <c r="J661" s="297"/>
    </row>
    <row r="662" spans="1:10" ht="17.25" customHeight="1" x14ac:dyDescent="0.2">
      <c r="A662" s="316">
        <v>659</v>
      </c>
      <c r="B662" s="298"/>
      <c r="C662" s="299"/>
      <c r="D662" s="295"/>
      <c r="E662" s="300"/>
      <c r="F662" s="300"/>
      <c r="G662" s="301"/>
      <c r="H662" s="296"/>
      <c r="I662" s="302"/>
      <c r="J662" s="297"/>
    </row>
    <row r="663" spans="1:10" ht="17.25" customHeight="1" x14ac:dyDescent="0.2">
      <c r="A663" s="316">
        <v>660</v>
      </c>
      <c r="B663" s="298"/>
      <c r="C663" s="299"/>
      <c r="D663" s="295"/>
      <c r="E663" s="300"/>
      <c r="F663" s="300"/>
      <c r="G663" s="301"/>
      <c r="H663" s="296"/>
      <c r="I663" s="302"/>
      <c r="J663" s="297"/>
    </row>
    <row r="664" spans="1:10" ht="17.25" customHeight="1" x14ac:dyDescent="0.2">
      <c r="A664" s="316">
        <v>661</v>
      </c>
      <c r="B664" s="298"/>
      <c r="C664" s="299"/>
      <c r="D664" s="295"/>
      <c r="E664" s="300"/>
      <c r="F664" s="300"/>
      <c r="G664" s="301"/>
      <c r="H664" s="296"/>
      <c r="I664" s="302"/>
      <c r="J664" s="297"/>
    </row>
    <row r="665" spans="1:10" ht="17.25" customHeight="1" x14ac:dyDescent="0.2">
      <c r="A665" s="316">
        <v>662</v>
      </c>
      <c r="B665" s="298"/>
      <c r="C665" s="299"/>
      <c r="D665" s="295"/>
      <c r="E665" s="300"/>
      <c r="F665" s="300"/>
      <c r="G665" s="301"/>
      <c r="H665" s="296"/>
      <c r="I665" s="302"/>
      <c r="J665" s="297"/>
    </row>
    <row r="666" spans="1:10" ht="17.25" customHeight="1" x14ac:dyDescent="0.2">
      <c r="A666" s="316">
        <v>663</v>
      </c>
      <c r="B666" s="298"/>
      <c r="C666" s="299"/>
      <c r="D666" s="295"/>
      <c r="E666" s="300"/>
      <c r="F666" s="300"/>
      <c r="G666" s="301"/>
      <c r="H666" s="296"/>
      <c r="I666" s="302"/>
      <c r="J666" s="297"/>
    </row>
    <row r="667" spans="1:10" ht="17.25" customHeight="1" x14ac:dyDescent="0.2">
      <c r="A667" s="316">
        <v>664</v>
      </c>
      <c r="B667" s="298"/>
      <c r="C667" s="299"/>
      <c r="D667" s="295"/>
      <c r="E667" s="300"/>
      <c r="F667" s="300"/>
      <c r="G667" s="301"/>
      <c r="H667" s="296"/>
      <c r="I667" s="302"/>
      <c r="J667" s="297"/>
    </row>
    <row r="668" spans="1:10" ht="17.25" customHeight="1" x14ac:dyDescent="0.2">
      <c r="A668" s="316">
        <v>665</v>
      </c>
      <c r="B668" s="298"/>
      <c r="C668" s="299"/>
      <c r="D668" s="295"/>
      <c r="E668" s="300"/>
      <c r="F668" s="300"/>
      <c r="G668" s="301"/>
      <c r="H668" s="296"/>
      <c r="I668" s="302"/>
      <c r="J668" s="297"/>
    </row>
    <row r="669" spans="1:10" ht="17.25" customHeight="1" x14ac:dyDescent="0.2">
      <c r="A669" s="316">
        <v>666</v>
      </c>
      <c r="B669" s="298"/>
      <c r="C669" s="299"/>
      <c r="D669" s="295"/>
      <c r="E669" s="300"/>
      <c r="F669" s="300"/>
      <c r="G669" s="301"/>
      <c r="H669" s="296"/>
      <c r="I669" s="302"/>
      <c r="J669" s="297"/>
    </row>
    <row r="670" spans="1:10" ht="17.25" customHeight="1" x14ac:dyDescent="0.2">
      <c r="A670" s="316">
        <v>667</v>
      </c>
      <c r="B670" s="298"/>
      <c r="C670" s="299"/>
      <c r="D670" s="295"/>
      <c r="E670" s="300"/>
      <c r="F670" s="300"/>
      <c r="G670" s="301"/>
      <c r="H670" s="296"/>
      <c r="I670" s="302"/>
      <c r="J670" s="297"/>
    </row>
    <row r="671" spans="1:10" ht="17.25" customHeight="1" x14ac:dyDescent="0.2">
      <c r="A671" s="316">
        <v>668</v>
      </c>
      <c r="B671" s="298"/>
      <c r="C671" s="299"/>
      <c r="D671" s="295"/>
      <c r="E671" s="300"/>
      <c r="F671" s="300"/>
      <c r="G671" s="301"/>
      <c r="H671" s="296"/>
      <c r="I671" s="302"/>
      <c r="J671" s="297"/>
    </row>
    <row r="672" spans="1:10" ht="17.25" customHeight="1" x14ac:dyDescent="0.2">
      <c r="A672" s="316">
        <v>669</v>
      </c>
      <c r="B672" s="298"/>
      <c r="C672" s="299"/>
      <c r="D672" s="295"/>
      <c r="E672" s="300"/>
      <c r="F672" s="300"/>
      <c r="G672" s="301"/>
      <c r="H672" s="296"/>
      <c r="I672" s="302"/>
      <c r="J672" s="297"/>
    </row>
    <row r="673" spans="1:10" ht="17.25" customHeight="1" x14ac:dyDescent="0.2">
      <c r="A673" s="316">
        <v>670</v>
      </c>
      <c r="B673" s="298"/>
      <c r="C673" s="299"/>
      <c r="D673" s="295"/>
      <c r="E673" s="300"/>
      <c r="F673" s="300"/>
      <c r="G673" s="301"/>
      <c r="H673" s="296"/>
      <c r="I673" s="302"/>
      <c r="J673" s="297"/>
    </row>
    <row r="674" spans="1:10" ht="17.25" customHeight="1" x14ac:dyDescent="0.2">
      <c r="A674" s="316">
        <v>671</v>
      </c>
      <c r="B674" s="298"/>
      <c r="C674" s="299"/>
      <c r="D674" s="295"/>
      <c r="E674" s="300"/>
      <c r="F674" s="300"/>
      <c r="G674" s="301"/>
      <c r="H674" s="296"/>
      <c r="I674" s="302"/>
      <c r="J674" s="297"/>
    </row>
    <row r="675" spans="1:10" ht="17.25" customHeight="1" x14ac:dyDescent="0.2">
      <c r="A675" s="316">
        <v>672</v>
      </c>
      <c r="B675" s="298"/>
      <c r="C675" s="299"/>
      <c r="D675" s="295"/>
      <c r="E675" s="300"/>
      <c r="F675" s="300"/>
      <c r="G675" s="301"/>
      <c r="H675" s="296"/>
      <c r="I675" s="302"/>
      <c r="J675" s="297"/>
    </row>
    <row r="676" spans="1:10" ht="17.25" customHeight="1" x14ac:dyDescent="0.2">
      <c r="A676" s="316">
        <v>673</v>
      </c>
      <c r="B676" s="298"/>
      <c r="C676" s="299"/>
      <c r="D676" s="295"/>
      <c r="E676" s="300"/>
      <c r="F676" s="300"/>
      <c r="G676" s="301"/>
      <c r="H676" s="296"/>
      <c r="I676" s="302"/>
      <c r="J676" s="297"/>
    </row>
    <row r="677" spans="1:10" ht="17.25" customHeight="1" x14ac:dyDescent="0.2">
      <c r="A677" s="316">
        <v>674</v>
      </c>
      <c r="B677" s="298"/>
      <c r="C677" s="299"/>
      <c r="D677" s="295"/>
      <c r="E677" s="300"/>
      <c r="F677" s="300"/>
      <c r="G677" s="301"/>
      <c r="H677" s="296"/>
      <c r="I677" s="302"/>
      <c r="J677" s="297"/>
    </row>
    <row r="678" spans="1:10" ht="17.25" customHeight="1" x14ac:dyDescent="0.2">
      <c r="A678" s="316">
        <v>675</v>
      </c>
      <c r="B678" s="298"/>
      <c r="C678" s="299"/>
      <c r="D678" s="295"/>
      <c r="E678" s="300"/>
      <c r="F678" s="300"/>
      <c r="G678" s="301"/>
      <c r="H678" s="296"/>
      <c r="I678" s="302"/>
      <c r="J678" s="297"/>
    </row>
    <row r="679" spans="1:10" ht="17.25" customHeight="1" x14ac:dyDescent="0.2">
      <c r="A679" s="316">
        <v>676</v>
      </c>
      <c r="B679" s="298"/>
      <c r="C679" s="299"/>
      <c r="D679" s="295"/>
      <c r="E679" s="300"/>
      <c r="F679" s="300"/>
      <c r="G679" s="301"/>
      <c r="H679" s="296"/>
      <c r="I679" s="302"/>
      <c r="J679" s="297"/>
    </row>
    <row r="680" spans="1:10" ht="17.25" customHeight="1" x14ac:dyDescent="0.2">
      <c r="A680" s="316">
        <v>677</v>
      </c>
      <c r="B680" s="298"/>
      <c r="C680" s="299"/>
      <c r="D680" s="295"/>
      <c r="E680" s="300"/>
      <c r="F680" s="300"/>
      <c r="G680" s="301"/>
      <c r="H680" s="296"/>
      <c r="I680" s="302"/>
      <c r="J680" s="297"/>
    </row>
    <row r="681" spans="1:10" ht="17.25" customHeight="1" x14ac:dyDescent="0.2">
      <c r="A681" s="316">
        <v>678</v>
      </c>
      <c r="B681" s="298"/>
      <c r="C681" s="299"/>
      <c r="D681" s="295"/>
      <c r="E681" s="300"/>
      <c r="F681" s="300"/>
      <c r="G681" s="301"/>
      <c r="H681" s="296"/>
      <c r="I681" s="302"/>
      <c r="J681" s="297"/>
    </row>
    <row r="682" spans="1:10" ht="17.25" customHeight="1" x14ac:dyDescent="0.2">
      <c r="A682" s="316">
        <v>679</v>
      </c>
      <c r="B682" s="298"/>
      <c r="C682" s="299"/>
      <c r="D682" s="295"/>
      <c r="E682" s="300"/>
      <c r="F682" s="300"/>
      <c r="G682" s="301"/>
      <c r="H682" s="296"/>
      <c r="I682" s="302"/>
      <c r="J682" s="297"/>
    </row>
    <row r="683" spans="1:10" ht="17.25" customHeight="1" x14ac:dyDescent="0.2">
      <c r="A683" s="316">
        <v>680</v>
      </c>
      <c r="B683" s="298"/>
      <c r="C683" s="299"/>
      <c r="D683" s="295"/>
      <c r="E683" s="300"/>
      <c r="F683" s="300"/>
      <c r="G683" s="301"/>
      <c r="H683" s="296"/>
      <c r="I683" s="302"/>
      <c r="J683" s="297"/>
    </row>
    <row r="684" spans="1:10" ht="17.25" customHeight="1" x14ac:dyDescent="0.2">
      <c r="A684" s="316">
        <v>681</v>
      </c>
      <c r="B684" s="298"/>
      <c r="C684" s="299"/>
      <c r="D684" s="295"/>
      <c r="E684" s="300"/>
      <c r="F684" s="300"/>
      <c r="G684" s="301"/>
      <c r="H684" s="296"/>
      <c r="I684" s="302"/>
      <c r="J684" s="297"/>
    </row>
    <row r="685" spans="1:10" ht="17.25" customHeight="1" x14ac:dyDescent="0.2">
      <c r="A685" s="316">
        <v>682</v>
      </c>
      <c r="B685" s="298"/>
      <c r="C685" s="299"/>
      <c r="D685" s="295"/>
      <c r="E685" s="300"/>
      <c r="F685" s="300"/>
      <c r="G685" s="301"/>
      <c r="H685" s="296"/>
      <c r="I685" s="302"/>
      <c r="J685" s="297"/>
    </row>
    <row r="686" spans="1:10" ht="17.25" customHeight="1" x14ac:dyDescent="0.2">
      <c r="A686" s="316">
        <v>683</v>
      </c>
      <c r="B686" s="298"/>
      <c r="C686" s="299"/>
      <c r="D686" s="295"/>
      <c r="E686" s="300"/>
      <c r="F686" s="300"/>
      <c r="G686" s="301"/>
      <c r="H686" s="296"/>
      <c r="I686" s="302"/>
      <c r="J686" s="297"/>
    </row>
    <row r="687" spans="1:10" ht="17.25" customHeight="1" x14ac:dyDescent="0.2">
      <c r="A687" s="316">
        <v>684</v>
      </c>
      <c r="B687" s="298"/>
      <c r="C687" s="299"/>
      <c r="D687" s="295"/>
      <c r="E687" s="300"/>
      <c r="F687" s="300"/>
      <c r="G687" s="301"/>
      <c r="H687" s="296"/>
      <c r="I687" s="302"/>
      <c r="J687" s="297"/>
    </row>
    <row r="688" spans="1:10" ht="17.25" customHeight="1" x14ac:dyDescent="0.2">
      <c r="A688" s="316">
        <v>685</v>
      </c>
      <c r="B688" s="298"/>
      <c r="C688" s="299"/>
      <c r="D688" s="295"/>
      <c r="E688" s="300"/>
      <c r="F688" s="300"/>
      <c r="G688" s="301"/>
      <c r="H688" s="296"/>
      <c r="I688" s="302"/>
      <c r="J688" s="297"/>
    </row>
    <row r="689" spans="1:10" ht="17.25" customHeight="1" x14ac:dyDescent="0.2">
      <c r="A689" s="316">
        <v>686</v>
      </c>
      <c r="B689" s="298"/>
      <c r="C689" s="299"/>
      <c r="D689" s="295"/>
      <c r="E689" s="300"/>
      <c r="F689" s="300"/>
      <c r="G689" s="301"/>
      <c r="H689" s="296"/>
      <c r="I689" s="302"/>
      <c r="J689" s="297"/>
    </row>
    <row r="690" spans="1:10" ht="17.25" customHeight="1" x14ac:dyDescent="0.2">
      <c r="A690" s="316">
        <v>687</v>
      </c>
      <c r="B690" s="298"/>
      <c r="C690" s="299"/>
      <c r="D690" s="295"/>
      <c r="E690" s="300"/>
      <c r="F690" s="300"/>
      <c r="G690" s="301"/>
      <c r="H690" s="296"/>
      <c r="I690" s="302"/>
      <c r="J690" s="297"/>
    </row>
    <row r="691" spans="1:10" ht="17.25" customHeight="1" x14ac:dyDescent="0.2">
      <c r="A691" s="316">
        <v>688</v>
      </c>
      <c r="B691" s="298"/>
      <c r="C691" s="299"/>
      <c r="D691" s="295"/>
      <c r="E691" s="300"/>
      <c r="F691" s="300"/>
      <c r="G691" s="301"/>
      <c r="H691" s="296"/>
      <c r="I691" s="302"/>
      <c r="J691" s="297"/>
    </row>
    <row r="692" spans="1:10" ht="17.25" customHeight="1" x14ac:dyDescent="0.2">
      <c r="A692" s="316">
        <v>689</v>
      </c>
      <c r="B692" s="298"/>
      <c r="C692" s="299"/>
      <c r="D692" s="295"/>
      <c r="E692" s="300"/>
      <c r="F692" s="300"/>
      <c r="G692" s="301"/>
      <c r="H692" s="296"/>
      <c r="I692" s="302"/>
      <c r="J692" s="297"/>
    </row>
    <row r="693" spans="1:10" ht="17.25" customHeight="1" x14ac:dyDescent="0.2">
      <c r="A693" s="316">
        <v>690</v>
      </c>
      <c r="B693" s="298"/>
      <c r="C693" s="299"/>
      <c r="D693" s="295"/>
      <c r="E693" s="300"/>
      <c r="F693" s="300"/>
      <c r="G693" s="301"/>
      <c r="H693" s="296"/>
      <c r="I693" s="302"/>
      <c r="J693" s="297"/>
    </row>
    <row r="694" spans="1:10" ht="17.25" customHeight="1" x14ac:dyDescent="0.2">
      <c r="A694" s="316">
        <v>691</v>
      </c>
      <c r="B694" s="298"/>
      <c r="C694" s="299"/>
      <c r="D694" s="295"/>
      <c r="E694" s="300"/>
      <c r="F694" s="300"/>
      <c r="G694" s="301"/>
      <c r="H694" s="296"/>
      <c r="I694" s="302"/>
      <c r="J694" s="297"/>
    </row>
    <row r="695" spans="1:10" ht="17.25" customHeight="1" x14ac:dyDescent="0.2">
      <c r="A695" s="316">
        <v>692</v>
      </c>
      <c r="B695" s="298"/>
      <c r="C695" s="299"/>
      <c r="D695" s="295"/>
      <c r="E695" s="300"/>
      <c r="F695" s="300"/>
      <c r="G695" s="301"/>
      <c r="H695" s="296"/>
      <c r="I695" s="302"/>
      <c r="J695" s="297"/>
    </row>
    <row r="696" spans="1:10" ht="17.25" customHeight="1" x14ac:dyDescent="0.2">
      <c r="A696" s="316">
        <v>693</v>
      </c>
      <c r="B696" s="298"/>
      <c r="C696" s="299"/>
      <c r="D696" s="295"/>
      <c r="E696" s="300"/>
      <c r="F696" s="300"/>
      <c r="G696" s="301"/>
      <c r="H696" s="296"/>
      <c r="I696" s="302"/>
      <c r="J696" s="297"/>
    </row>
    <row r="697" spans="1:10" ht="17.25" customHeight="1" x14ac:dyDescent="0.2">
      <c r="A697" s="316">
        <v>694</v>
      </c>
      <c r="B697" s="298"/>
      <c r="C697" s="299"/>
      <c r="D697" s="295"/>
      <c r="E697" s="300"/>
      <c r="F697" s="300"/>
      <c r="G697" s="301"/>
      <c r="H697" s="296"/>
      <c r="I697" s="302"/>
      <c r="J697" s="297"/>
    </row>
    <row r="698" spans="1:10" ht="17.25" customHeight="1" x14ac:dyDescent="0.2">
      <c r="A698" s="316">
        <v>695</v>
      </c>
      <c r="B698" s="298"/>
      <c r="C698" s="299"/>
      <c r="D698" s="295"/>
      <c r="E698" s="300"/>
      <c r="F698" s="300"/>
      <c r="G698" s="301"/>
      <c r="H698" s="296"/>
      <c r="I698" s="302"/>
      <c r="J698" s="297"/>
    </row>
    <row r="699" spans="1:10" ht="17.25" customHeight="1" x14ac:dyDescent="0.2">
      <c r="A699" s="316">
        <v>696</v>
      </c>
      <c r="B699" s="298"/>
      <c r="C699" s="299"/>
      <c r="D699" s="295"/>
      <c r="E699" s="300"/>
      <c r="F699" s="300"/>
      <c r="G699" s="301"/>
      <c r="H699" s="296"/>
      <c r="I699" s="302"/>
      <c r="J699" s="297"/>
    </row>
    <row r="700" spans="1:10" ht="17.25" customHeight="1" x14ac:dyDescent="0.2">
      <c r="A700" s="316">
        <v>697</v>
      </c>
      <c r="B700" s="298"/>
      <c r="C700" s="299"/>
      <c r="D700" s="295"/>
      <c r="E700" s="300"/>
      <c r="F700" s="300"/>
      <c r="G700" s="301"/>
      <c r="H700" s="296"/>
      <c r="I700" s="302"/>
      <c r="J700" s="297"/>
    </row>
    <row r="701" spans="1:10" ht="17.25" customHeight="1" x14ac:dyDescent="0.2">
      <c r="A701" s="316">
        <v>698</v>
      </c>
      <c r="B701" s="298"/>
      <c r="C701" s="299"/>
      <c r="D701" s="295"/>
      <c r="E701" s="300"/>
      <c r="F701" s="300"/>
      <c r="G701" s="301"/>
      <c r="H701" s="296"/>
      <c r="I701" s="302"/>
      <c r="J701" s="297"/>
    </row>
    <row r="702" spans="1:10" ht="17.25" customHeight="1" x14ac:dyDescent="0.2">
      <c r="A702" s="316">
        <v>699</v>
      </c>
      <c r="B702" s="298"/>
      <c r="C702" s="299"/>
      <c r="D702" s="295"/>
      <c r="E702" s="300"/>
      <c r="F702" s="300"/>
      <c r="G702" s="301"/>
      <c r="H702" s="296"/>
      <c r="I702" s="302"/>
      <c r="J702" s="297"/>
    </row>
    <row r="703" spans="1:10" ht="17.25" customHeight="1" x14ac:dyDescent="0.2">
      <c r="A703" s="316">
        <v>700</v>
      </c>
      <c r="B703" s="298"/>
      <c r="C703" s="299"/>
      <c r="D703" s="295"/>
      <c r="E703" s="300"/>
      <c r="F703" s="300"/>
      <c r="G703" s="301"/>
      <c r="H703" s="296"/>
      <c r="I703" s="302"/>
      <c r="J703" s="297"/>
    </row>
    <row r="704" spans="1:10" ht="17.25" customHeight="1" x14ac:dyDescent="0.2">
      <c r="A704" s="316">
        <v>701</v>
      </c>
      <c r="B704" s="298"/>
      <c r="C704" s="299"/>
      <c r="D704" s="295"/>
      <c r="E704" s="300"/>
      <c r="F704" s="300"/>
      <c r="G704" s="301"/>
      <c r="H704" s="296"/>
      <c r="I704" s="302"/>
      <c r="J704" s="297"/>
    </row>
    <row r="705" spans="1:10" ht="17.25" customHeight="1" x14ac:dyDescent="0.2">
      <c r="A705" s="316">
        <v>702</v>
      </c>
      <c r="B705" s="298"/>
      <c r="C705" s="299"/>
      <c r="D705" s="295"/>
      <c r="E705" s="300"/>
      <c r="F705" s="300"/>
      <c r="G705" s="301"/>
      <c r="H705" s="296"/>
      <c r="I705" s="302"/>
      <c r="J705" s="297"/>
    </row>
    <row r="706" spans="1:10" ht="17.25" customHeight="1" x14ac:dyDescent="0.2">
      <c r="A706" s="316">
        <v>703</v>
      </c>
      <c r="B706" s="298"/>
      <c r="C706" s="299"/>
      <c r="D706" s="295"/>
      <c r="E706" s="300"/>
      <c r="F706" s="300"/>
      <c r="G706" s="301"/>
      <c r="H706" s="296"/>
      <c r="I706" s="302"/>
      <c r="J706" s="297"/>
    </row>
    <row r="707" spans="1:10" ht="17.25" customHeight="1" x14ac:dyDescent="0.2">
      <c r="A707" s="316">
        <v>704</v>
      </c>
      <c r="B707" s="298"/>
      <c r="C707" s="299"/>
      <c r="D707" s="295"/>
      <c r="E707" s="300"/>
      <c r="F707" s="300"/>
      <c r="G707" s="301"/>
      <c r="H707" s="296"/>
      <c r="I707" s="302"/>
      <c r="J707" s="297"/>
    </row>
    <row r="708" spans="1:10" ht="17.25" customHeight="1" x14ac:dyDescent="0.2">
      <c r="A708" s="316">
        <v>705</v>
      </c>
      <c r="B708" s="298"/>
      <c r="C708" s="299"/>
      <c r="D708" s="295"/>
      <c r="E708" s="300"/>
      <c r="F708" s="300"/>
      <c r="G708" s="301"/>
      <c r="H708" s="296"/>
      <c r="I708" s="302"/>
      <c r="J708" s="297"/>
    </row>
    <row r="709" spans="1:10" ht="17.25" customHeight="1" x14ac:dyDescent="0.2">
      <c r="A709" s="316">
        <v>706</v>
      </c>
      <c r="B709" s="298"/>
      <c r="C709" s="299"/>
      <c r="D709" s="295"/>
      <c r="E709" s="300"/>
      <c r="F709" s="300"/>
      <c r="G709" s="301"/>
      <c r="H709" s="296"/>
      <c r="I709" s="302"/>
      <c r="J709" s="297"/>
    </row>
    <row r="710" spans="1:10" ht="17.25" customHeight="1" x14ac:dyDescent="0.2">
      <c r="A710" s="316">
        <v>707</v>
      </c>
      <c r="B710" s="298"/>
      <c r="C710" s="299"/>
      <c r="D710" s="295"/>
      <c r="E710" s="300"/>
      <c r="F710" s="300"/>
      <c r="G710" s="301"/>
      <c r="H710" s="296"/>
      <c r="I710" s="302"/>
      <c r="J710" s="297"/>
    </row>
    <row r="711" spans="1:10" ht="17.25" customHeight="1" x14ac:dyDescent="0.2">
      <c r="A711" s="316">
        <v>708</v>
      </c>
      <c r="B711" s="298"/>
      <c r="C711" s="299"/>
      <c r="D711" s="295"/>
      <c r="E711" s="300"/>
      <c r="F711" s="300"/>
      <c r="G711" s="301"/>
      <c r="H711" s="296"/>
      <c r="I711" s="302"/>
      <c r="J711" s="297"/>
    </row>
    <row r="712" spans="1:10" ht="17.25" customHeight="1" x14ac:dyDescent="0.2">
      <c r="A712" s="316">
        <v>709</v>
      </c>
      <c r="B712" s="298"/>
      <c r="C712" s="299"/>
      <c r="D712" s="295"/>
      <c r="E712" s="300"/>
      <c r="F712" s="300"/>
      <c r="G712" s="301"/>
      <c r="H712" s="296"/>
      <c r="I712" s="302"/>
      <c r="J712" s="297"/>
    </row>
    <row r="713" spans="1:10" ht="17.25" customHeight="1" x14ac:dyDescent="0.2">
      <c r="A713" s="316">
        <v>710</v>
      </c>
      <c r="B713" s="298"/>
      <c r="C713" s="299"/>
      <c r="D713" s="295"/>
      <c r="E713" s="300"/>
      <c r="F713" s="300"/>
      <c r="G713" s="301"/>
      <c r="H713" s="296"/>
      <c r="I713" s="302"/>
      <c r="J713" s="297"/>
    </row>
    <row r="714" spans="1:10" ht="17.25" customHeight="1" x14ac:dyDescent="0.2">
      <c r="A714" s="316">
        <v>711</v>
      </c>
      <c r="B714" s="298"/>
      <c r="C714" s="299"/>
      <c r="D714" s="295"/>
      <c r="E714" s="300"/>
      <c r="F714" s="300"/>
      <c r="G714" s="301"/>
      <c r="H714" s="296"/>
      <c r="I714" s="302"/>
      <c r="J714" s="297"/>
    </row>
    <row r="715" spans="1:10" ht="17.25" customHeight="1" x14ac:dyDescent="0.2">
      <c r="A715" s="316">
        <v>712</v>
      </c>
      <c r="B715" s="298"/>
      <c r="C715" s="299"/>
      <c r="D715" s="295"/>
      <c r="E715" s="300"/>
      <c r="F715" s="300"/>
      <c r="G715" s="301"/>
      <c r="H715" s="296"/>
      <c r="I715" s="302"/>
      <c r="J715" s="297"/>
    </row>
    <row r="716" spans="1:10" ht="17.25" customHeight="1" x14ac:dyDescent="0.2">
      <c r="A716" s="316">
        <v>713</v>
      </c>
      <c r="B716" s="298"/>
      <c r="C716" s="299"/>
      <c r="D716" s="295"/>
      <c r="E716" s="300"/>
      <c r="F716" s="300"/>
      <c r="G716" s="301"/>
      <c r="H716" s="296"/>
      <c r="I716" s="302"/>
      <c r="J716" s="297"/>
    </row>
    <row r="717" spans="1:10" ht="17.25" customHeight="1" x14ac:dyDescent="0.2">
      <c r="A717" s="316">
        <v>714</v>
      </c>
      <c r="B717" s="298"/>
      <c r="C717" s="299"/>
      <c r="D717" s="295"/>
      <c r="E717" s="300"/>
      <c r="F717" s="300"/>
      <c r="G717" s="301"/>
      <c r="H717" s="296"/>
      <c r="I717" s="302"/>
      <c r="J717" s="297"/>
    </row>
    <row r="718" spans="1:10" ht="17.25" customHeight="1" x14ac:dyDescent="0.2">
      <c r="A718" s="316">
        <v>715</v>
      </c>
      <c r="B718" s="298"/>
      <c r="C718" s="299"/>
      <c r="D718" s="295"/>
      <c r="E718" s="300"/>
      <c r="F718" s="300"/>
      <c r="G718" s="301"/>
      <c r="H718" s="296"/>
      <c r="I718" s="302"/>
      <c r="J718" s="297"/>
    </row>
    <row r="719" spans="1:10" ht="17.25" customHeight="1" x14ac:dyDescent="0.2">
      <c r="A719" s="316">
        <v>716</v>
      </c>
      <c r="B719" s="298"/>
      <c r="C719" s="299"/>
      <c r="D719" s="295"/>
      <c r="E719" s="300"/>
      <c r="F719" s="300"/>
      <c r="G719" s="301"/>
      <c r="H719" s="296"/>
      <c r="I719" s="302"/>
      <c r="J719" s="297"/>
    </row>
    <row r="720" spans="1:10" ht="17.25" customHeight="1" x14ac:dyDescent="0.2">
      <c r="A720" s="316">
        <v>717</v>
      </c>
      <c r="B720" s="298"/>
      <c r="C720" s="299"/>
      <c r="D720" s="295"/>
      <c r="E720" s="300"/>
      <c r="F720" s="300"/>
      <c r="G720" s="301"/>
      <c r="H720" s="296"/>
      <c r="I720" s="302"/>
      <c r="J720" s="297"/>
    </row>
    <row r="721" spans="1:10" ht="17.25" customHeight="1" x14ac:dyDescent="0.2">
      <c r="A721" s="316">
        <v>718</v>
      </c>
      <c r="B721" s="298"/>
      <c r="C721" s="299"/>
      <c r="D721" s="295"/>
      <c r="E721" s="300"/>
      <c r="F721" s="300"/>
      <c r="G721" s="301"/>
      <c r="H721" s="296"/>
      <c r="I721" s="302"/>
      <c r="J721" s="297"/>
    </row>
    <row r="722" spans="1:10" ht="17.25" customHeight="1" x14ac:dyDescent="0.2">
      <c r="A722" s="316">
        <v>719</v>
      </c>
      <c r="B722" s="298"/>
      <c r="C722" s="299"/>
      <c r="D722" s="295"/>
      <c r="E722" s="300"/>
      <c r="F722" s="300"/>
      <c r="G722" s="301"/>
      <c r="H722" s="296"/>
      <c r="I722" s="302"/>
      <c r="J722" s="297"/>
    </row>
    <row r="723" spans="1:10" ht="17.25" customHeight="1" x14ac:dyDescent="0.2">
      <c r="A723" s="316">
        <v>720</v>
      </c>
      <c r="B723" s="298"/>
      <c r="C723" s="299"/>
      <c r="D723" s="295"/>
      <c r="E723" s="300"/>
      <c r="F723" s="300"/>
      <c r="G723" s="301"/>
      <c r="H723" s="296"/>
      <c r="I723" s="302"/>
      <c r="J723" s="297"/>
    </row>
    <row r="724" spans="1:10" ht="17.25" customHeight="1" x14ac:dyDescent="0.2">
      <c r="A724" s="316">
        <v>721</v>
      </c>
      <c r="B724" s="298"/>
      <c r="C724" s="299"/>
      <c r="D724" s="295"/>
      <c r="E724" s="300"/>
      <c r="F724" s="300"/>
      <c r="G724" s="301"/>
      <c r="H724" s="296"/>
      <c r="I724" s="302"/>
      <c r="J724" s="297"/>
    </row>
    <row r="725" spans="1:10" ht="17.25" customHeight="1" x14ac:dyDescent="0.2">
      <c r="A725" s="316">
        <v>722</v>
      </c>
      <c r="B725" s="298"/>
      <c r="C725" s="299"/>
      <c r="D725" s="295"/>
      <c r="E725" s="300"/>
      <c r="F725" s="300"/>
      <c r="G725" s="301"/>
      <c r="H725" s="296"/>
      <c r="I725" s="302"/>
      <c r="J725" s="297"/>
    </row>
    <row r="726" spans="1:10" ht="17.25" customHeight="1" x14ac:dyDescent="0.2">
      <c r="A726" s="316">
        <v>723</v>
      </c>
      <c r="B726" s="298"/>
      <c r="C726" s="299"/>
      <c r="D726" s="295"/>
      <c r="E726" s="300"/>
      <c r="F726" s="300"/>
      <c r="G726" s="301"/>
      <c r="H726" s="296"/>
      <c r="I726" s="302"/>
      <c r="J726" s="297"/>
    </row>
    <row r="727" spans="1:10" ht="17.25" customHeight="1" x14ac:dyDescent="0.2">
      <c r="A727" s="316">
        <v>724</v>
      </c>
      <c r="B727" s="298"/>
      <c r="C727" s="299"/>
      <c r="D727" s="295"/>
      <c r="E727" s="300"/>
      <c r="F727" s="300"/>
      <c r="G727" s="301"/>
      <c r="H727" s="296"/>
      <c r="I727" s="302"/>
      <c r="J727" s="297"/>
    </row>
    <row r="728" spans="1:10" ht="17.25" customHeight="1" x14ac:dyDescent="0.2">
      <c r="A728" s="316">
        <v>725</v>
      </c>
      <c r="B728" s="298"/>
      <c r="C728" s="299"/>
      <c r="D728" s="295"/>
      <c r="E728" s="300"/>
      <c r="F728" s="300"/>
      <c r="G728" s="301"/>
      <c r="H728" s="296"/>
      <c r="I728" s="302"/>
      <c r="J728" s="297"/>
    </row>
    <row r="729" spans="1:10" ht="17.25" customHeight="1" x14ac:dyDescent="0.2">
      <c r="A729" s="316">
        <v>726</v>
      </c>
      <c r="B729" s="298"/>
      <c r="C729" s="299"/>
      <c r="D729" s="295"/>
      <c r="E729" s="300"/>
      <c r="F729" s="300"/>
      <c r="G729" s="301"/>
      <c r="H729" s="296"/>
      <c r="I729" s="302"/>
      <c r="J729" s="297"/>
    </row>
    <row r="730" spans="1:10" ht="17.25" customHeight="1" x14ac:dyDescent="0.2">
      <c r="A730" s="316">
        <v>727</v>
      </c>
      <c r="B730" s="298"/>
      <c r="C730" s="299"/>
      <c r="D730" s="295"/>
      <c r="E730" s="300"/>
      <c r="F730" s="300"/>
      <c r="G730" s="301"/>
      <c r="H730" s="296"/>
      <c r="I730" s="302"/>
      <c r="J730" s="297"/>
    </row>
    <row r="731" spans="1:10" ht="17.25" customHeight="1" x14ac:dyDescent="0.2">
      <c r="A731" s="316">
        <v>728</v>
      </c>
      <c r="B731" s="298"/>
      <c r="C731" s="299"/>
      <c r="D731" s="295"/>
      <c r="E731" s="300"/>
      <c r="F731" s="300"/>
      <c r="G731" s="301"/>
      <c r="H731" s="296"/>
      <c r="I731" s="302"/>
      <c r="J731" s="297"/>
    </row>
    <row r="732" spans="1:10" ht="17.25" customHeight="1" x14ac:dyDescent="0.2">
      <c r="A732" s="316">
        <v>729</v>
      </c>
      <c r="B732" s="298"/>
      <c r="C732" s="299"/>
      <c r="D732" s="295"/>
      <c r="E732" s="300"/>
      <c r="F732" s="300"/>
      <c r="G732" s="301"/>
      <c r="H732" s="296"/>
      <c r="I732" s="302"/>
      <c r="J732" s="297"/>
    </row>
    <row r="733" spans="1:10" ht="17.25" customHeight="1" x14ac:dyDescent="0.2">
      <c r="A733" s="316">
        <v>730</v>
      </c>
      <c r="B733" s="298"/>
      <c r="C733" s="299"/>
      <c r="D733" s="295"/>
      <c r="E733" s="300"/>
      <c r="F733" s="300"/>
      <c r="G733" s="301"/>
      <c r="H733" s="296"/>
      <c r="I733" s="302"/>
      <c r="J733" s="297"/>
    </row>
    <row r="734" spans="1:10" ht="17.25" customHeight="1" x14ac:dyDescent="0.2">
      <c r="A734" s="316">
        <v>731</v>
      </c>
      <c r="B734" s="298"/>
      <c r="C734" s="299"/>
      <c r="D734" s="295"/>
      <c r="E734" s="300"/>
      <c r="F734" s="300"/>
      <c r="G734" s="301"/>
      <c r="H734" s="296"/>
      <c r="I734" s="302"/>
      <c r="J734" s="297"/>
    </row>
    <row r="735" spans="1:10" ht="17.25" customHeight="1" x14ac:dyDescent="0.2">
      <c r="A735" s="316">
        <v>732</v>
      </c>
      <c r="B735" s="298"/>
      <c r="C735" s="299"/>
      <c r="D735" s="295"/>
      <c r="E735" s="300"/>
      <c r="F735" s="300"/>
      <c r="G735" s="301"/>
      <c r="H735" s="296"/>
      <c r="I735" s="302"/>
      <c r="J735" s="297"/>
    </row>
    <row r="736" spans="1:10" ht="17.25" customHeight="1" x14ac:dyDescent="0.2">
      <c r="A736" s="316">
        <v>733</v>
      </c>
      <c r="B736" s="298"/>
      <c r="C736" s="299"/>
      <c r="D736" s="295"/>
      <c r="E736" s="300"/>
      <c r="F736" s="300"/>
      <c r="G736" s="301"/>
      <c r="H736" s="296"/>
      <c r="I736" s="302"/>
      <c r="J736" s="297"/>
    </row>
    <row r="737" spans="1:10" ht="17.25" customHeight="1" x14ac:dyDescent="0.2">
      <c r="A737" s="316">
        <v>734</v>
      </c>
      <c r="B737" s="298"/>
      <c r="C737" s="299"/>
      <c r="D737" s="295"/>
      <c r="E737" s="300"/>
      <c r="F737" s="300"/>
      <c r="G737" s="301"/>
      <c r="H737" s="296"/>
      <c r="I737" s="302"/>
      <c r="J737" s="297"/>
    </row>
    <row r="738" spans="1:10" ht="17.25" customHeight="1" x14ac:dyDescent="0.2">
      <c r="A738" s="316">
        <v>735</v>
      </c>
      <c r="B738" s="298"/>
      <c r="C738" s="299"/>
      <c r="D738" s="295"/>
      <c r="E738" s="300"/>
      <c r="F738" s="300"/>
      <c r="G738" s="301"/>
      <c r="H738" s="296"/>
      <c r="I738" s="302"/>
      <c r="J738" s="297"/>
    </row>
    <row r="739" spans="1:10" ht="17.25" customHeight="1" x14ac:dyDescent="0.2">
      <c r="A739" s="316">
        <v>736</v>
      </c>
      <c r="B739" s="298"/>
      <c r="C739" s="299"/>
      <c r="D739" s="295"/>
      <c r="E739" s="300"/>
      <c r="F739" s="300"/>
      <c r="G739" s="301"/>
      <c r="H739" s="296"/>
      <c r="I739" s="302"/>
      <c r="J739" s="297"/>
    </row>
    <row r="740" spans="1:10" ht="17.25" customHeight="1" x14ac:dyDescent="0.2">
      <c r="A740" s="316">
        <v>737</v>
      </c>
      <c r="B740" s="298"/>
      <c r="C740" s="299"/>
      <c r="D740" s="295"/>
      <c r="E740" s="300"/>
      <c r="F740" s="300"/>
      <c r="G740" s="301"/>
      <c r="H740" s="296"/>
      <c r="I740" s="302"/>
      <c r="J740" s="297"/>
    </row>
    <row r="741" spans="1:10" ht="17.25" customHeight="1" x14ac:dyDescent="0.2">
      <c r="A741" s="316">
        <v>738</v>
      </c>
      <c r="B741" s="298"/>
      <c r="C741" s="299"/>
      <c r="D741" s="295"/>
      <c r="E741" s="300"/>
      <c r="F741" s="300"/>
      <c r="G741" s="301"/>
      <c r="H741" s="296"/>
      <c r="I741" s="302"/>
      <c r="J741" s="297"/>
    </row>
    <row r="742" spans="1:10" ht="17.25" customHeight="1" x14ac:dyDescent="0.2">
      <c r="A742" s="316">
        <v>739</v>
      </c>
      <c r="B742" s="298"/>
      <c r="C742" s="299"/>
      <c r="D742" s="295"/>
      <c r="E742" s="300"/>
      <c r="F742" s="300"/>
      <c r="G742" s="301"/>
      <c r="H742" s="296"/>
      <c r="I742" s="302"/>
      <c r="J742" s="297"/>
    </row>
    <row r="743" spans="1:10" ht="17.25" customHeight="1" x14ac:dyDescent="0.2">
      <c r="A743" s="316">
        <v>740</v>
      </c>
      <c r="B743" s="298"/>
      <c r="C743" s="299"/>
      <c r="D743" s="295"/>
      <c r="E743" s="300"/>
      <c r="F743" s="300"/>
      <c r="G743" s="301"/>
      <c r="H743" s="296"/>
      <c r="I743" s="302"/>
      <c r="J743" s="297"/>
    </row>
    <row r="744" spans="1:10" ht="17.25" customHeight="1" x14ac:dyDescent="0.2">
      <c r="A744" s="316">
        <v>741</v>
      </c>
      <c r="B744" s="298"/>
      <c r="C744" s="299"/>
      <c r="D744" s="295"/>
      <c r="E744" s="300"/>
      <c r="F744" s="300"/>
      <c r="G744" s="301"/>
      <c r="H744" s="296"/>
      <c r="I744" s="302"/>
      <c r="J744" s="297"/>
    </row>
    <row r="745" spans="1:10" ht="17.25" customHeight="1" x14ac:dyDescent="0.2">
      <c r="A745" s="316">
        <v>742</v>
      </c>
      <c r="B745" s="298"/>
      <c r="C745" s="299"/>
      <c r="D745" s="295"/>
      <c r="E745" s="300"/>
      <c r="F745" s="300"/>
      <c r="G745" s="301"/>
      <c r="H745" s="296"/>
      <c r="I745" s="302"/>
      <c r="J745" s="297"/>
    </row>
    <row r="746" spans="1:10" ht="17.25" customHeight="1" x14ac:dyDescent="0.2">
      <c r="A746" s="316">
        <v>743</v>
      </c>
      <c r="B746" s="298"/>
      <c r="C746" s="299"/>
      <c r="D746" s="295"/>
      <c r="E746" s="300"/>
      <c r="F746" s="300"/>
      <c r="G746" s="301"/>
      <c r="H746" s="296"/>
      <c r="I746" s="302"/>
      <c r="J746" s="297"/>
    </row>
    <row r="747" spans="1:10" ht="17.25" customHeight="1" x14ac:dyDescent="0.2">
      <c r="A747" s="316">
        <v>744</v>
      </c>
      <c r="B747" s="298"/>
      <c r="C747" s="299"/>
      <c r="D747" s="295"/>
      <c r="E747" s="300"/>
      <c r="F747" s="300"/>
      <c r="G747" s="301"/>
      <c r="H747" s="296"/>
      <c r="I747" s="302"/>
      <c r="J747" s="297"/>
    </row>
    <row r="748" spans="1:10" ht="17.25" customHeight="1" x14ac:dyDescent="0.2">
      <c r="A748" s="316">
        <v>745</v>
      </c>
      <c r="B748" s="298"/>
      <c r="C748" s="299"/>
      <c r="D748" s="295"/>
      <c r="E748" s="300"/>
      <c r="F748" s="300"/>
      <c r="G748" s="301"/>
      <c r="H748" s="296"/>
      <c r="I748" s="302"/>
      <c r="J748" s="297"/>
    </row>
    <row r="749" spans="1:10" ht="17.25" customHeight="1" x14ac:dyDescent="0.2">
      <c r="A749" s="316">
        <v>746</v>
      </c>
      <c r="B749" s="298"/>
      <c r="C749" s="299"/>
      <c r="D749" s="295"/>
      <c r="E749" s="300"/>
      <c r="F749" s="300"/>
      <c r="G749" s="301"/>
      <c r="H749" s="296"/>
      <c r="I749" s="302"/>
      <c r="J749" s="297"/>
    </row>
    <row r="750" spans="1:10" ht="17.25" customHeight="1" x14ac:dyDescent="0.2">
      <c r="A750" s="316">
        <v>747</v>
      </c>
      <c r="B750" s="298"/>
      <c r="C750" s="299"/>
      <c r="D750" s="295"/>
      <c r="E750" s="300"/>
      <c r="F750" s="300"/>
      <c r="G750" s="301"/>
      <c r="H750" s="296"/>
      <c r="I750" s="302"/>
      <c r="J750" s="297"/>
    </row>
    <row r="751" spans="1:10" ht="17.25" customHeight="1" x14ac:dyDescent="0.2">
      <c r="A751" s="316">
        <v>748</v>
      </c>
      <c r="B751" s="298"/>
      <c r="C751" s="299"/>
      <c r="D751" s="295"/>
      <c r="E751" s="300"/>
      <c r="F751" s="300"/>
      <c r="G751" s="301"/>
      <c r="H751" s="296"/>
      <c r="I751" s="302"/>
      <c r="J751" s="297"/>
    </row>
    <row r="752" spans="1:10" ht="17.25" customHeight="1" x14ac:dyDescent="0.2">
      <c r="A752" s="316">
        <v>749</v>
      </c>
      <c r="B752" s="298"/>
      <c r="C752" s="299"/>
      <c r="D752" s="295"/>
      <c r="E752" s="300"/>
      <c r="F752" s="300"/>
      <c r="G752" s="301"/>
      <c r="H752" s="296"/>
      <c r="I752" s="302"/>
      <c r="J752" s="297"/>
    </row>
    <row r="753" spans="1:10" ht="17.25" customHeight="1" x14ac:dyDescent="0.2">
      <c r="A753" s="316">
        <v>750</v>
      </c>
      <c r="B753" s="298"/>
      <c r="C753" s="299"/>
      <c r="D753" s="295"/>
      <c r="E753" s="300"/>
      <c r="F753" s="300"/>
      <c r="G753" s="301"/>
      <c r="H753" s="296"/>
      <c r="I753" s="302"/>
      <c r="J753" s="297"/>
    </row>
    <row r="754" spans="1:10" ht="17.25" customHeight="1" x14ac:dyDescent="0.2">
      <c r="A754" s="316">
        <v>751</v>
      </c>
      <c r="B754" s="298"/>
      <c r="C754" s="299"/>
      <c r="D754" s="295"/>
      <c r="E754" s="300"/>
      <c r="F754" s="300"/>
      <c r="G754" s="301"/>
      <c r="H754" s="296"/>
      <c r="I754" s="302"/>
      <c r="J754" s="297"/>
    </row>
    <row r="755" spans="1:10" ht="17.25" customHeight="1" x14ac:dyDescent="0.2">
      <c r="A755" s="316">
        <v>752</v>
      </c>
      <c r="B755" s="298"/>
      <c r="C755" s="299"/>
      <c r="D755" s="295"/>
      <c r="E755" s="300"/>
      <c r="F755" s="300"/>
      <c r="G755" s="301"/>
      <c r="H755" s="296"/>
      <c r="I755" s="302"/>
      <c r="J755" s="297"/>
    </row>
    <row r="756" spans="1:10" ht="17.25" customHeight="1" x14ac:dyDescent="0.2">
      <c r="A756" s="316">
        <v>753</v>
      </c>
      <c r="B756" s="298"/>
      <c r="C756" s="299"/>
      <c r="D756" s="295"/>
      <c r="E756" s="300"/>
      <c r="F756" s="300"/>
      <c r="G756" s="301"/>
      <c r="H756" s="296"/>
      <c r="I756" s="302"/>
      <c r="J756" s="297"/>
    </row>
    <row r="757" spans="1:10" ht="17.25" customHeight="1" x14ac:dyDescent="0.2">
      <c r="A757" s="316">
        <v>754</v>
      </c>
      <c r="B757" s="298"/>
      <c r="C757" s="299"/>
      <c r="D757" s="295"/>
      <c r="E757" s="300"/>
      <c r="F757" s="300"/>
      <c r="G757" s="301"/>
      <c r="H757" s="296"/>
      <c r="I757" s="302"/>
      <c r="J757" s="297"/>
    </row>
    <row r="758" spans="1:10" ht="17.25" customHeight="1" x14ac:dyDescent="0.2">
      <c r="A758" s="316">
        <v>755</v>
      </c>
      <c r="B758" s="298"/>
      <c r="C758" s="299"/>
      <c r="D758" s="295"/>
      <c r="E758" s="300"/>
      <c r="F758" s="300"/>
      <c r="G758" s="301"/>
      <c r="H758" s="296"/>
      <c r="I758" s="302"/>
      <c r="J758" s="297"/>
    </row>
    <row r="759" spans="1:10" ht="17.25" customHeight="1" x14ac:dyDescent="0.2">
      <c r="A759" s="316">
        <v>756</v>
      </c>
      <c r="B759" s="298"/>
      <c r="C759" s="299"/>
      <c r="D759" s="295"/>
      <c r="E759" s="300"/>
      <c r="F759" s="300"/>
      <c r="G759" s="301"/>
      <c r="H759" s="296"/>
      <c r="I759" s="302"/>
      <c r="J759" s="297"/>
    </row>
    <row r="760" spans="1:10" ht="17.25" customHeight="1" x14ac:dyDescent="0.2">
      <c r="A760" s="316">
        <v>757</v>
      </c>
      <c r="B760" s="298"/>
      <c r="C760" s="299"/>
      <c r="D760" s="295"/>
      <c r="E760" s="300"/>
      <c r="F760" s="300"/>
      <c r="G760" s="301"/>
      <c r="H760" s="296"/>
      <c r="I760" s="302"/>
      <c r="J760" s="297"/>
    </row>
    <row r="761" spans="1:10" ht="17.25" customHeight="1" x14ac:dyDescent="0.2">
      <c r="A761" s="316">
        <v>758</v>
      </c>
      <c r="B761" s="298"/>
      <c r="C761" s="299"/>
      <c r="D761" s="295"/>
      <c r="E761" s="300"/>
      <c r="F761" s="300"/>
      <c r="G761" s="301"/>
      <c r="H761" s="296"/>
      <c r="I761" s="302"/>
      <c r="J761" s="297"/>
    </row>
    <row r="762" spans="1:10" ht="17.25" customHeight="1" x14ac:dyDescent="0.2">
      <c r="A762" s="316">
        <v>759</v>
      </c>
      <c r="B762" s="298"/>
      <c r="C762" s="299"/>
      <c r="D762" s="295"/>
      <c r="E762" s="300"/>
      <c r="F762" s="300"/>
      <c r="G762" s="301"/>
      <c r="H762" s="296"/>
      <c r="I762" s="302"/>
      <c r="J762" s="297"/>
    </row>
    <row r="763" spans="1:10" ht="17.25" customHeight="1" x14ac:dyDescent="0.2">
      <c r="A763" s="316">
        <v>760</v>
      </c>
      <c r="B763" s="298"/>
      <c r="C763" s="299"/>
      <c r="D763" s="295"/>
      <c r="E763" s="300"/>
      <c r="F763" s="300"/>
      <c r="G763" s="301"/>
      <c r="H763" s="296"/>
      <c r="I763" s="302"/>
      <c r="J763" s="297"/>
    </row>
    <row r="764" spans="1:10" ht="17.25" customHeight="1" x14ac:dyDescent="0.2">
      <c r="A764" s="316">
        <v>761</v>
      </c>
      <c r="B764" s="298"/>
      <c r="C764" s="299"/>
      <c r="D764" s="295"/>
      <c r="E764" s="300"/>
      <c r="F764" s="300"/>
      <c r="G764" s="301"/>
      <c r="H764" s="296"/>
      <c r="I764" s="302"/>
      <c r="J764" s="297"/>
    </row>
    <row r="765" spans="1:10" ht="17.25" customHeight="1" x14ac:dyDescent="0.2">
      <c r="A765" s="316">
        <v>762</v>
      </c>
      <c r="B765" s="298"/>
      <c r="C765" s="299"/>
      <c r="D765" s="295"/>
      <c r="E765" s="300"/>
      <c r="F765" s="300"/>
      <c r="G765" s="301"/>
      <c r="H765" s="296"/>
      <c r="I765" s="302"/>
      <c r="J765" s="297"/>
    </row>
    <row r="766" spans="1:10" ht="17.25" customHeight="1" x14ac:dyDescent="0.2">
      <c r="A766" s="316">
        <v>763</v>
      </c>
      <c r="B766" s="298"/>
      <c r="C766" s="299"/>
      <c r="D766" s="295"/>
      <c r="E766" s="300"/>
      <c r="F766" s="300"/>
      <c r="G766" s="301"/>
      <c r="H766" s="296"/>
      <c r="I766" s="302"/>
      <c r="J766" s="297"/>
    </row>
    <row r="767" spans="1:10" ht="17.25" customHeight="1" x14ac:dyDescent="0.2">
      <c r="A767" s="316">
        <v>764</v>
      </c>
      <c r="B767" s="298"/>
      <c r="C767" s="299"/>
      <c r="D767" s="295"/>
      <c r="E767" s="300"/>
      <c r="F767" s="300"/>
      <c r="G767" s="301"/>
      <c r="H767" s="296"/>
      <c r="I767" s="302"/>
      <c r="J767" s="297"/>
    </row>
    <row r="768" spans="1:10" ht="17.25" customHeight="1" x14ac:dyDescent="0.2">
      <c r="A768" s="316">
        <v>765</v>
      </c>
      <c r="B768" s="298"/>
      <c r="C768" s="299"/>
      <c r="D768" s="295"/>
      <c r="E768" s="300"/>
      <c r="F768" s="300"/>
      <c r="G768" s="301"/>
      <c r="H768" s="296"/>
      <c r="I768" s="302"/>
      <c r="J768" s="297"/>
    </row>
    <row r="769" spans="1:10" ht="17.25" customHeight="1" x14ac:dyDescent="0.2">
      <c r="A769" s="316">
        <v>766</v>
      </c>
      <c r="B769" s="298"/>
      <c r="C769" s="299"/>
      <c r="D769" s="295"/>
      <c r="E769" s="300"/>
      <c r="F769" s="300"/>
      <c r="G769" s="301"/>
      <c r="H769" s="296"/>
      <c r="I769" s="302"/>
      <c r="J769" s="297"/>
    </row>
    <row r="770" spans="1:10" ht="17.25" customHeight="1" x14ac:dyDescent="0.2">
      <c r="A770" s="316">
        <v>767</v>
      </c>
      <c r="B770" s="298"/>
      <c r="C770" s="299"/>
      <c r="D770" s="295"/>
      <c r="E770" s="300"/>
      <c r="F770" s="300"/>
      <c r="G770" s="301"/>
      <c r="H770" s="296"/>
      <c r="I770" s="302"/>
      <c r="J770" s="297"/>
    </row>
    <row r="771" spans="1:10" ht="17.25" customHeight="1" x14ac:dyDescent="0.2">
      <c r="A771" s="316">
        <v>768</v>
      </c>
      <c r="B771" s="298"/>
      <c r="C771" s="299"/>
      <c r="D771" s="295"/>
      <c r="E771" s="300"/>
      <c r="F771" s="300"/>
      <c r="G771" s="301"/>
      <c r="H771" s="296"/>
      <c r="I771" s="302"/>
      <c r="J771" s="297"/>
    </row>
    <row r="772" spans="1:10" ht="17.25" customHeight="1" x14ac:dyDescent="0.2">
      <c r="A772" s="316">
        <v>769</v>
      </c>
      <c r="B772" s="298"/>
      <c r="C772" s="299"/>
      <c r="D772" s="295"/>
      <c r="E772" s="300"/>
      <c r="F772" s="300"/>
      <c r="G772" s="301"/>
      <c r="H772" s="296"/>
      <c r="I772" s="302"/>
      <c r="J772" s="297"/>
    </row>
    <row r="773" spans="1:10" ht="17.25" customHeight="1" x14ac:dyDescent="0.2">
      <c r="A773" s="316">
        <v>770</v>
      </c>
      <c r="B773" s="298"/>
      <c r="C773" s="299"/>
      <c r="D773" s="295"/>
      <c r="E773" s="300"/>
      <c r="F773" s="300"/>
      <c r="G773" s="301"/>
      <c r="H773" s="296"/>
      <c r="I773" s="302"/>
      <c r="J773" s="297"/>
    </row>
    <row r="774" spans="1:10" ht="17.25" customHeight="1" x14ac:dyDescent="0.2">
      <c r="A774" s="316">
        <v>771</v>
      </c>
      <c r="B774" s="298"/>
      <c r="C774" s="299"/>
      <c r="D774" s="295"/>
      <c r="E774" s="300"/>
      <c r="F774" s="300"/>
      <c r="G774" s="301"/>
      <c r="H774" s="296"/>
      <c r="I774" s="302"/>
      <c r="J774" s="297"/>
    </row>
    <row r="775" spans="1:10" ht="17.25" customHeight="1" x14ac:dyDescent="0.2">
      <c r="A775" s="316">
        <v>772</v>
      </c>
      <c r="B775" s="298"/>
      <c r="C775" s="299"/>
      <c r="D775" s="295"/>
      <c r="E775" s="300"/>
      <c r="F775" s="300"/>
      <c r="G775" s="301"/>
      <c r="H775" s="296"/>
      <c r="I775" s="302"/>
      <c r="J775" s="297"/>
    </row>
    <row r="776" spans="1:10" ht="17.25" customHeight="1" x14ac:dyDescent="0.2">
      <c r="A776" s="316">
        <v>773</v>
      </c>
      <c r="B776" s="298"/>
      <c r="C776" s="299"/>
      <c r="D776" s="295"/>
      <c r="E776" s="300"/>
      <c r="F776" s="300"/>
      <c r="G776" s="301"/>
      <c r="H776" s="296"/>
      <c r="I776" s="302"/>
      <c r="J776" s="297"/>
    </row>
    <row r="777" spans="1:10" ht="17.25" customHeight="1" x14ac:dyDescent="0.2">
      <c r="A777" s="316">
        <v>774</v>
      </c>
      <c r="B777" s="298"/>
      <c r="C777" s="299"/>
      <c r="D777" s="295"/>
      <c r="E777" s="300"/>
      <c r="F777" s="300"/>
      <c r="G777" s="301"/>
      <c r="H777" s="296"/>
      <c r="I777" s="302"/>
      <c r="J777" s="297"/>
    </row>
    <row r="778" spans="1:10" ht="17.25" customHeight="1" x14ac:dyDescent="0.2">
      <c r="A778" s="316">
        <v>775</v>
      </c>
      <c r="B778" s="298"/>
      <c r="C778" s="299"/>
      <c r="D778" s="295"/>
      <c r="E778" s="300"/>
      <c r="F778" s="300"/>
      <c r="G778" s="301"/>
      <c r="H778" s="296"/>
      <c r="I778" s="302"/>
      <c r="J778" s="297"/>
    </row>
    <row r="779" spans="1:10" ht="17.25" customHeight="1" x14ac:dyDescent="0.2">
      <c r="A779" s="316">
        <v>776</v>
      </c>
      <c r="B779" s="298"/>
      <c r="C779" s="299"/>
      <c r="D779" s="295"/>
      <c r="E779" s="300"/>
      <c r="F779" s="300"/>
      <c r="G779" s="301"/>
      <c r="H779" s="296"/>
      <c r="I779" s="302"/>
      <c r="J779" s="297"/>
    </row>
    <row r="780" spans="1:10" ht="17.25" customHeight="1" x14ac:dyDescent="0.2">
      <c r="A780" s="316">
        <v>777</v>
      </c>
      <c r="B780" s="298"/>
      <c r="C780" s="299"/>
      <c r="D780" s="295"/>
      <c r="E780" s="300"/>
      <c r="F780" s="300"/>
      <c r="G780" s="301"/>
      <c r="H780" s="296"/>
      <c r="I780" s="302"/>
      <c r="J780" s="297"/>
    </row>
    <row r="781" spans="1:10" ht="17.25" customHeight="1" x14ac:dyDescent="0.2">
      <c r="A781" s="316">
        <v>778</v>
      </c>
      <c r="B781" s="298"/>
      <c r="C781" s="299"/>
      <c r="D781" s="295"/>
      <c r="E781" s="300"/>
      <c r="F781" s="300"/>
      <c r="G781" s="301"/>
      <c r="H781" s="296"/>
      <c r="I781" s="302"/>
      <c r="J781" s="297"/>
    </row>
    <row r="782" spans="1:10" ht="17.25" customHeight="1" x14ac:dyDescent="0.2">
      <c r="A782" s="316">
        <v>779</v>
      </c>
      <c r="B782" s="298"/>
      <c r="C782" s="299"/>
      <c r="D782" s="295"/>
      <c r="E782" s="300"/>
      <c r="F782" s="300"/>
      <c r="G782" s="301"/>
      <c r="H782" s="296"/>
      <c r="I782" s="302"/>
      <c r="J782" s="297"/>
    </row>
    <row r="783" spans="1:10" ht="17.25" customHeight="1" x14ac:dyDescent="0.2">
      <c r="A783" s="316">
        <v>780</v>
      </c>
      <c r="B783" s="298"/>
      <c r="C783" s="299"/>
      <c r="D783" s="295"/>
      <c r="E783" s="300"/>
      <c r="F783" s="300"/>
      <c r="G783" s="301"/>
      <c r="H783" s="296"/>
      <c r="I783" s="302"/>
      <c r="J783" s="297"/>
    </row>
    <row r="784" spans="1:10" ht="17.25" customHeight="1" x14ac:dyDescent="0.2">
      <c r="A784" s="316">
        <v>781</v>
      </c>
      <c r="B784" s="298"/>
      <c r="C784" s="299"/>
      <c r="D784" s="295"/>
      <c r="E784" s="300"/>
      <c r="F784" s="300"/>
      <c r="G784" s="301"/>
      <c r="H784" s="296"/>
      <c r="I784" s="302"/>
      <c r="J784" s="297"/>
    </row>
    <row r="785" spans="1:10" ht="17.25" customHeight="1" x14ac:dyDescent="0.2">
      <c r="A785" s="316">
        <v>782</v>
      </c>
      <c r="B785" s="298"/>
      <c r="C785" s="299"/>
      <c r="D785" s="295"/>
      <c r="E785" s="300"/>
      <c r="F785" s="300"/>
      <c r="G785" s="301"/>
      <c r="H785" s="296"/>
      <c r="I785" s="302"/>
      <c r="J785" s="297"/>
    </row>
    <row r="786" spans="1:10" ht="17.25" customHeight="1" x14ac:dyDescent="0.2">
      <c r="A786" s="316">
        <v>783</v>
      </c>
      <c r="B786" s="298"/>
      <c r="C786" s="299"/>
      <c r="D786" s="295"/>
      <c r="E786" s="300"/>
      <c r="F786" s="300"/>
      <c r="G786" s="301"/>
      <c r="H786" s="296"/>
      <c r="I786" s="302"/>
      <c r="J786" s="297"/>
    </row>
    <row r="787" spans="1:10" ht="17.25" customHeight="1" x14ac:dyDescent="0.2">
      <c r="A787" s="316">
        <v>784</v>
      </c>
      <c r="B787" s="298"/>
      <c r="C787" s="299"/>
      <c r="D787" s="295"/>
      <c r="E787" s="300"/>
      <c r="F787" s="300"/>
      <c r="G787" s="301"/>
      <c r="H787" s="296"/>
      <c r="I787" s="302"/>
      <c r="J787" s="297"/>
    </row>
    <row r="788" spans="1:10" ht="17.25" customHeight="1" x14ac:dyDescent="0.2">
      <c r="A788" s="316">
        <v>785</v>
      </c>
      <c r="B788" s="298"/>
      <c r="C788" s="299"/>
      <c r="D788" s="295"/>
      <c r="E788" s="300"/>
      <c r="F788" s="300"/>
      <c r="G788" s="301"/>
      <c r="H788" s="296"/>
      <c r="I788" s="302"/>
      <c r="J788" s="297"/>
    </row>
    <row r="789" spans="1:10" ht="17.25" customHeight="1" x14ac:dyDescent="0.2">
      <c r="A789" s="316">
        <v>786</v>
      </c>
      <c r="B789" s="298"/>
      <c r="C789" s="299"/>
      <c r="D789" s="295"/>
      <c r="E789" s="300"/>
      <c r="F789" s="300"/>
      <c r="G789" s="301"/>
      <c r="H789" s="296"/>
      <c r="I789" s="302"/>
      <c r="J789" s="297"/>
    </row>
    <row r="790" spans="1:10" ht="17.25" customHeight="1" x14ac:dyDescent="0.2">
      <c r="A790" s="316">
        <v>787</v>
      </c>
      <c r="B790" s="298"/>
      <c r="C790" s="299"/>
      <c r="D790" s="295"/>
      <c r="E790" s="300"/>
      <c r="F790" s="300"/>
      <c r="G790" s="301"/>
      <c r="H790" s="296"/>
      <c r="I790" s="302"/>
      <c r="J790" s="297"/>
    </row>
    <row r="791" spans="1:10" ht="17.25" customHeight="1" x14ac:dyDescent="0.2">
      <c r="A791" s="316">
        <v>788</v>
      </c>
      <c r="B791" s="298"/>
      <c r="C791" s="299"/>
      <c r="D791" s="295"/>
      <c r="E791" s="300"/>
      <c r="F791" s="300"/>
      <c r="G791" s="301"/>
      <c r="H791" s="296"/>
      <c r="I791" s="302"/>
      <c r="J791" s="297"/>
    </row>
    <row r="792" spans="1:10" ht="17.25" customHeight="1" x14ac:dyDescent="0.2">
      <c r="A792" s="316">
        <v>789</v>
      </c>
      <c r="B792" s="298"/>
      <c r="C792" s="299"/>
      <c r="D792" s="295"/>
      <c r="E792" s="300"/>
      <c r="F792" s="300"/>
      <c r="G792" s="301"/>
      <c r="H792" s="296"/>
      <c r="I792" s="302"/>
      <c r="J792" s="297"/>
    </row>
    <row r="793" spans="1:10" ht="17.25" customHeight="1" x14ac:dyDescent="0.2">
      <c r="A793" s="316">
        <v>790</v>
      </c>
      <c r="B793" s="298"/>
      <c r="C793" s="299"/>
      <c r="D793" s="295"/>
      <c r="E793" s="300"/>
      <c r="F793" s="300"/>
      <c r="G793" s="301"/>
      <c r="H793" s="296"/>
      <c r="I793" s="302"/>
      <c r="J793" s="297"/>
    </row>
    <row r="794" spans="1:10" ht="17.25" customHeight="1" x14ac:dyDescent="0.2">
      <c r="A794" s="316">
        <v>791</v>
      </c>
      <c r="B794" s="298"/>
      <c r="C794" s="299"/>
      <c r="D794" s="295"/>
      <c r="E794" s="300"/>
      <c r="F794" s="300"/>
      <c r="G794" s="301"/>
      <c r="H794" s="296"/>
      <c r="I794" s="302"/>
      <c r="J794" s="297"/>
    </row>
    <row r="795" spans="1:10" ht="17.25" customHeight="1" x14ac:dyDescent="0.2">
      <c r="A795" s="316">
        <v>792</v>
      </c>
      <c r="B795" s="298"/>
      <c r="C795" s="299"/>
      <c r="D795" s="295"/>
      <c r="E795" s="300"/>
      <c r="F795" s="300"/>
      <c r="G795" s="301"/>
      <c r="H795" s="296"/>
      <c r="I795" s="302"/>
      <c r="J795" s="297"/>
    </row>
    <row r="796" spans="1:10" ht="17.25" customHeight="1" x14ac:dyDescent="0.2">
      <c r="A796" s="316">
        <v>793</v>
      </c>
      <c r="B796" s="298"/>
      <c r="C796" s="299"/>
      <c r="D796" s="295"/>
      <c r="E796" s="300"/>
      <c r="F796" s="300"/>
      <c r="G796" s="301"/>
      <c r="H796" s="296"/>
      <c r="I796" s="302"/>
      <c r="J796" s="297"/>
    </row>
    <row r="797" spans="1:10" ht="17.25" customHeight="1" x14ac:dyDescent="0.2">
      <c r="A797" s="316">
        <v>794</v>
      </c>
      <c r="B797" s="298"/>
      <c r="C797" s="299"/>
      <c r="D797" s="295"/>
      <c r="E797" s="300"/>
      <c r="F797" s="300"/>
      <c r="G797" s="301"/>
      <c r="H797" s="296"/>
      <c r="I797" s="302"/>
      <c r="J797" s="297"/>
    </row>
    <row r="798" spans="1:10" ht="17.25" customHeight="1" x14ac:dyDescent="0.2">
      <c r="A798" s="316">
        <v>795</v>
      </c>
      <c r="B798" s="298"/>
      <c r="C798" s="299"/>
      <c r="D798" s="295"/>
      <c r="E798" s="300"/>
      <c r="F798" s="300"/>
      <c r="G798" s="301"/>
      <c r="H798" s="296"/>
      <c r="I798" s="302"/>
      <c r="J798" s="297"/>
    </row>
    <row r="799" spans="1:10" ht="17.25" customHeight="1" x14ac:dyDescent="0.2">
      <c r="A799" s="316">
        <v>796</v>
      </c>
      <c r="B799" s="298"/>
      <c r="C799" s="299"/>
      <c r="D799" s="295"/>
      <c r="E799" s="300"/>
      <c r="F799" s="300"/>
      <c r="G799" s="301"/>
      <c r="H799" s="296"/>
      <c r="I799" s="302"/>
      <c r="J799" s="297"/>
    </row>
    <row r="800" spans="1:10" ht="17.25" customHeight="1" x14ac:dyDescent="0.2">
      <c r="A800" s="316">
        <v>797</v>
      </c>
      <c r="B800" s="298"/>
      <c r="C800" s="299"/>
      <c r="D800" s="295"/>
      <c r="E800" s="300"/>
      <c r="F800" s="300"/>
      <c r="G800" s="301"/>
      <c r="H800" s="296"/>
      <c r="I800" s="302"/>
      <c r="J800" s="297"/>
    </row>
    <row r="801" spans="1:10" ht="17.25" customHeight="1" x14ac:dyDescent="0.2">
      <c r="A801" s="316">
        <v>798</v>
      </c>
      <c r="B801" s="298"/>
      <c r="C801" s="299"/>
      <c r="D801" s="295"/>
      <c r="E801" s="300"/>
      <c r="F801" s="300"/>
      <c r="G801" s="301"/>
      <c r="H801" s="296"/>
      <c r="I801" s="302"/>
      <c r="J801" s="297"/>
    </row>
    <row r="802" spans="1:10" ht="17.25" customHeight="1" x14ac:dyDescent="0.2">
      <c r="A802" s="316">
        <v>799</v>
      </c>
      <c r="B802" s="298"/>
      <c r="C802" s="299"/>
      <c r="D802" s="295"/>
      <c r="E802" s="300"/>
      <c r="F802" s="300"/>
      <c r="G802" s="301"/>
      <c r="H802" s="296"/>
      <c r="I802" s="302"/>
      <c r="J802" s="297"/>
    </row>
    <row r="803" spans="1:10" ht="17.25" customHeight="1" x14ac:dyDescent="0.2">
      <c r="A803" s="316">
        <v>800</v>
      </c>
      <c r="B803" s="298"/>
      <c r="C803" s="299"/>
      <c r="D803" s="295"/>
      <c r="E803" s="300"/>
      <c r="F803" s="300"/>
      <c r="G803" s="301"/>
      <c r="H803" s="296"/>
      <c r="I803" s="302"/>
      <c r="J803" s="297"/>
    </row>
    <row r="804" spans="1:10" ht="17.25" customHeight="1" x14ac:dyDescent="0.2">
      <c r="A804" s="316">
        <v>801</v>
      </c>
      <c r="B804" s="298"/>
      <c r="C804" s="299"/>
      <c r="D804" s="295"/>
      <c r="E804" s="300"/>
      <c r="F804" s="300"/>
      <c r="G804" s="301"/>
      <c r="H804" s="296"/>
      <c r="I804" s="302"/>
      <c r="J804" s="297"/>
    </row>
    <row r="805" spans="1:10" ht="17.25" customHeight="1" x14ac:dyDescent="0.2">
      <c r="A805" s="316">
        <v>802</v>
      </c>
      <c r="B805" s="298"/>
      <c r="C805" s="299"/>
      <c r="D805" s="295"/>
      <c r="E805" s="300"/>
      <c r="F805" s="300"/>
      <c r="G805" s="301"/>
      <c r="H805" s="296"/>
      <c r="I805" s="302"/>
      <c r="J805" s="297"/>
    </row>
    <row r="806" spans="1:10" ht="17.25" customHeight="1" x14ac:dyDescent="0.2">
      <c r="A806" s="316">
        <v>803</v>
      </c>
      <c r="B806" s="298"/>
      <c r="C806" s="299"/>
      <c r="D806" s="295"/>
      <c r="E806" s="300"/>
      <c r="F806" s="300"/>
      <c r="G806" s="301"/>
      <c r="H806" s="296"/>
      <c r="I806" s="302"/>
      <c r="J806" s="297"/>
    </row>
    <row r="807" spans="1:10" ht="17.25" customHeight="1" x14ac:dyDescent="0.2">
      <c r="A807" s="316">
        <v>804</v>
      </c>
      <c r="B807" s="298"/>
      <c r="C807" s="299"/>
      <c r="D807" s="295"/>
      <c r="E807" s="300"/>
      <c r="F807" s="300"/>
      <c r="G807" s="301"/>
      <c r="H807" s="296"/>
      <c r="I807" s="302"/>
      <c r="J807" s="297"/>
    </row>
    <row r="808" spans="1:10" ht="17.25" customHeight="1" x14ac:dyDescent="0.2">
      <c r="A808" s="316">
        <v>805</v>
      </c>
      <c r="B808" s="298"/>
      <c r="C808" s="299"/>
      <c r="D808" s="295"/>
      <c r="E808" s="300"/>
      <c r="F808" s="300"/>
      <c r="G808" s="301"/>
      <c r="H808" s="296"/>
      <c r="I808" s="302"/>
      <c r="J808" s="297"/>
    </row>
    <row r="809" spans="1:10" ht="17.25" customHeight="1" x14ac:dyDescent="0.2">
      <c r="A809" s="316">
        <v>806</v>
      </c>
      <c r="B809" s="298"/>
      <c r="C809" s="299"/>
      <c r="D809" s="295"/>
      <c r="E809" s="300"/>
      <c r="F809" s="300"/>
      <c r="G809" s="301"/>
      <c r="H809" s="296"/>
      <c r="I809" s="302"/>
      <c r="J809" s="297"/>
    </row>
    <row r="810" spans="1:10" ht="17.25" customHeight="1" x14ac:dyDescent="0.2">
      <c r="A810" s="316">
        <v>807</v>
      </c>
      <c r="B810" s="298"/>
      <c r="C810" s="299"/>
      <c r="D810" s="295"/>
      <c r="E810" s="300"/>
      <c r="F810" s="300"/>
      <c r="G810" s="301"/>
      <c r="H810" s="296"/>
      <c r="I810" s="302"/>
      <c r="J810" s="297"/>
    </row>
    <row r="811" spans="1:10" ht="17.25" customHeight="1" x14ac:dyDescent="0.2">
      <c r="A811" s="316">
        <v>808</v>
      </c>
      <c r="B811" s="298"/>
      <c r="C811" s="299"/>
      <c r="D811" s="295"/>
      <c r="E811" s="300"/>
      <c r="F811" s="300"/>
      <c r="G811" s="301"/>
      <c r="H811" s="296"/>
      <c r="I811" s="302"/>
      <c r="J811" s="297"/>
    </row>
    <row r="812" spans="1:10" ht="17.25" customHeight="1" x14ac:dyDescent="0.2">
      <c r="A812" s="316">
        <v>809</v>
      </c>
      <c r="B812" s="298"/>
      <c r="C812" s="299"/>
      <c r="D812" s="295"/>
      <c r="E812" s="300"/>
      <c r="F812" s="300"/>
      <c r="G812" s="301"/>
      <c r="H812" s="296"/>
      <c r="I812" s="302"/>
      <c r="J812" s="297"/>
    </row>
    <row r="813" spans="1:10" ht="17.25" customHeight="1" x14ac:dyDescent="0.2">
      <c r="A813" s="316">
        <v>810</v>
      </c>
      <c r="B813" s="298"/>
      <c r="C813" s="299"/>
      <c r="D813" s="295"/>
      <c r="E813" s="300"/>
      <c r="F813" s="300"/>
      <c r="G813" s="301"/>
      <c r="H813" s="296"/>
      <c r="I813" s="302"/>
      <c r="J813" s="297"/>
    </row>
    <row r="814" spans="1:10" ht="17.25" customHeight="1" x14ac:dyDescent="0.2">
      <c r="A814" s="316">
        <v>811</v>
      </c>
      <c r="B814" s="298"/>
      <c r="C814" s="299"/>
      <c r="D814" s="295"/>
      <c r="E814" s="300"/>
      <c r="F814" s="300"/>
      <c r="G814" s="301"/>
      <c r="H814" s="296"/>
      <c r="I814" s="302"/>
      <c r="J814" s="297"/>
    </row>
    <row r="815" spans="1:10" ht="17.25" customHeight="1" x14ac:dyDescent="0.2">
      <c r="A815" s="316">
        <v>812</v>
      </c>
      <c r="B815" s="298"/>
      <c r="C815" s="299"/>
      <c r="D815" s="295"/>
      <c r="E815" s="300"/>
      <c r="F815" s="300"/>
      <c r="G815" s="301"/>
      <c r="H815" s="296"/>
      <c r="I815" s="302"/>
      <c r="J815" s="297"/>
    </row>
    <row r="816" spans="1:10" ht="17.25" customHeight="1" x14ac:dyDescent="0.2">
      <c r="A816" s="316">
        <v>813</v>
      </c>
      <c r="B816" s="298"/>
      <c r="C816" s="299"/>
      <c r="D816" s="295"/>
      <c r="E816" s="300"/>
      <c r="F816" s="300"/>
      <c r="G816" s="301"/>
      <c r="H816" s="296"/>
      <c r="I816" s="302"/>
      <c r="J816" s="297"/>
    </row>
    <row r="817" spans="1:10" ht="17.25" customHeight="1" x14ac:dyDescent="0.2">
      <c r="A817" s="316">
        <v>814</v>
      </c>
      <c r="B817" s="298"/>
      <c r="C817" s="299"/>
      <c r="D817" s="295"/>
      <c r="E817" s="300"/>
      <c r="F817" s="300"/>
      <c r="G817" s="301"/>
      <c r="H817" s="296"/>
      <c r="I817" s="302"/>
      <c r="J817" s="297"/>
    </row>
    <row r="818" spans="1:10" ht="17.25" customHeight="1" x14ac:dyDescent="0.2">
      <c r="A818" s="316">
        <v>815</v>
      </c>
      <c r="B818" s="298"/>
      <c r="C818" s="299"/>
      <c r="D818" s="295"/>
      <c r="E818" s="300"/>
      <c r="F818" s="300"/>
      <c r="G818" s="301"/>
      <c r="H818" s="296"/>
      <c r="I818" s="302"/>
      <c r="J818" s="297"/>
    </row>
    <row r="819" spans="1:10" ht="17.25" customHeight="1" x14ac:dyDescent="0.2">
      <c r="A819" s="316">
        <v>816</v>
      </c>
      <c r="B819" s="298"/>
      <c r="C819" s="299"/>
      <c r="D819" s="295"/>
      <c r="E819" s="300"/>
      <c r="F819" s="300"/>
      <c r="G819" s="301"/>
      <c r="H819" s="296"/>
      <c r="I819" s="302"/>
      <c r="J819" s="297"/>
    </row>
    <row r="820" spans="1:10" ht="17.25" customHeight="1" x14ac:dyDescent="0.2">
      <c r="A820" s="316">
        <v>817</v>
      </c>
      <c r="B820" s="298"/>
      <c r="C820" s="299"/>
      <c r="D820" s="295"/>
      <c r="E820" s="300"/>
      <c r="F820" s="300"/>
      <c r="G820" s="301"/>
      <c r="H820" s="296"/>
      <c r="I820" s="302"/>
      <c r="J820" s="297"/>
    </row>
    <row r="821" spans="1:10" ht="17.25" customHeight="1" x14ac:dyDescent="0.2">
      <c r="A821" s="316">
        <v>818</v>
      </c>
      <c r="B821" s="298"/>
      <c r="C821" s="299"/>
      <c r="D821" s="295"/>
      <c r="E821" s="300"/>
      <c r="F821" s="300"/>
      <c r="G821" s="301"/>
      <c r="H821" s="296"/>
      <c r="I821" s="302"/>
      <c r="J821" s="297"/>
    </row>
    <row r="822" spans="1:10" ht="17.25" customHeight="1" x14ac:dyDescent="0.2">
      <c r="A822" s="316">
        <v>819</v>
      </c>
      <c r="B822" s="298"/>
      <c r="C822" s="299"/>
      <c r="D822" s="295"/>
      <c r="E822" s="300"/>
      <c r="F822" s="300"/>
      <c r="G822" s="301"/>
      <c r="H822" s="296"/>
      <c r="I822" s="302"/>
      <c r="J822" s="297"/>
    </row>
    <row r="823" spans="1:10" ht="17.25" customHeight="1" x14ac:dyDescent="0.2">
      <c r="A823" s="316">
        <v>820</v>
      </c>
      <c r="B823" s="298"/>
      <c r="C823" s="299"/>
      <c r="D823" s="295"/>
      <c r="E823" s="300"/>
      <c r="F823" s="300"/>
      <c r="G823" s="301"/>
      <c r="H823" s="296"/>
      <c r="I823" s="302"/>
      <c r="J823" s="297"/>
    </row>
    <row r="824" spans="1:10" ht="17.25" customHeight="1" x14ac:dyDescent="0.2">
      <c r="A824" s="316">
        <v>821</v>
      </c>
      <c r="B824" s="298"/>
      <c r="C824" s="299"/>
      <c r="D824" s="295"/>
      <c r="E824" s="300"/>
      <c r="F824" s="300"/>
      <c r="G824" s="301"/>
      <c r="H824" s="296"/>
      <c r="I824" s="302"/>
      <c r="J824" s="297"/>
    </row>
    <row r="825" spans="1:10" ht="17.25" customHeight="1" x14ac:dyDescent="0.2">
      <c r="A825" s="316">
        <v>822</v>
      </c>
      <c r="B825" s="298"/>
      <c r="C825" s="299"/>
      <c r="D825" s="295"/>
      <c r="E825" s="300"/>
      <c r="F825" s="300"/>
      <c r="G825" s="301"/>
      <c r="H825" s="296"/>
      <c r="I825" s="302"/>
      <c r="J825" s="297"/>
    </row>
    <row r="826" spans="1:10" ht="17.25" customHeight="1" x14ac:dyDescent="0.2">
      <c r="A826" s="316">
        <v>823</v>
      </c>
      <c r="B826" s="298"/>
      <c r="C826" s="299"/>
      <c r="D826" s="295"/>
      <c r="E826" s="300"/>
      <c r="F826" s="300"/>
      <c r="G826" s="301"/>
      <c r="H826" s="296"/>
      <c r="I826" s="302"/>
      <c r="J826" s="297"/>
    </row>
    <row r="827" spans="1:10" ht="17.25" customHeight="1" x14ac:dyDescent="0.2">
      <c r="A827" s="316">
        <v>824</v>
      </c>
      <c r="B827" s="298"/>
      <c r="C827" s="299"/>
      <c r="D827" s="295"/>
      <c r="E827" s="300"/>
      <c r="F827" s="300"/>
      <c r="G827" s="301"/>
      <c r="H827" s="296"/>
      <c r="I827" s="302"/>
      <c r="J827" s="297"/>
    </row>
    <row r="828" spans="1:10" ht="17.25" customHeight="1" x14ac:dyDescent="0.2">
      <c r="A828" s="316">
        <v>825</v>
      </c>
      <c r="B828" s="298"/>
      <c r="C828" s="299"/>
      <c r="D828" s="295"/>
      <c r="E828" s="300"/>
      <c r="F828" s="300"/>
      <c r="G828" s="301"/>
      <c r="H828" s="296"/>
      <c r="I828" s="302"/>
      <c r="J828" s="297"/>
    </row>
    <row r="829" spans="1:10" ht="17.25" customHeight="1" x14ac:dyDescent="0.2">
      <c r="A829" s="316">
        <v>826</v>
      </c>
      <c r="B829" s="298"/>
      <c r="C829" s="299"/>
      <c r="D829" s="295"/>
      <c r="E829" s="300"/>
      <c r="F829" s="300"/>
      <c r="G829" s="301"/>
      <c r="H829" s="296"/>
      <c r="I829" s="302"/>
      <c r="J829" s="297"/>
    </row>
    <row r="830" spans="1:10" ht="17.25" customHeight="1" x14ac:dyDescent="0.2">
      <c r="A830" s="316">
        <v>827</v>
      </c>
      <c r="B830" s="298"/>
      <c r="C830" s="299"/>
      <c r="D830" s="295"/>
      <c r="E830" s="300"/>
      <c r="F830" s="300"/>
      <c r="G830" s="301"/>
      <c r="H830" s="296"/>
      <c r="I830" s="302"/>
      <c r="J830" s="297"/>
    </row>
    <row r="831" spans="1:10" ht="17.25" customHeight="1" x14ac:dyDescent="0.2">
      <c r="A831" s="316">
        <v>828</v>
      </c>
      <c r="B831" s="298"/>
      <c r="C831" s="299"/>
      <c r="D831" s="295"/>
      <c r="E831" s="300"/>
      <c r="F831" s="300"/>
      <c r="G831" s="301"/>
      <c r="H831" s="296"/>
      <c r="I831" s="302"/>
      <c r="J831" s="297"/>
    </row>
    <row r="832" spans="1:10" ht="17.25" customHeight="1" x14ac:dyDescent="0.2">
      <c r="A832" s="316">
        <v>829</v>
      </c>
      <c r="B832" s="298"/>
      <c r="C832" s="299"/>
      <c r="D832" s="295"/>
      <c r="E832" s="300"/>
      <c r="F832" s="300"/>
      <c r="G832" s="301"/>
      <c r="H832" s="296"/>
      <c r="I832" s="302"/>
      <c r="J832" s="297"/>
    </row>
    <row r="833" spans="1:10" ht="17.25" customHeight="1" x14ac:dyDescent="0.2">
      <c r="A833" s="316">
        <v>830</v>
      </c>
      <c r="B833" s="298"/>
      <c r="C833" s="299"/>
      <c r="D833" s="295"/>
      <c r="E833" s="300"/>
      <c r="F833" s="300"/>
      <c r="G833" s="301"/>
      <c r="H833" s="296"/>
      <c r="I833" s="302"/>
      <c r="J833" s="297"/>
    </row>
    <row r="834" spans="1:10" ht="17.25" customHeight="1" x14ac:dyDescent="0.2">
      <c r="A834" s="316">
        <v>831</v>
      </c>
      <c r="B834" s="298"/>
      <c r="C834" s="299"/>
      <c r="D834" s="295"/>
      <c r="E834" s="300"/>
      <c r="F834" s="300"/>
      <c r="G834" s="301"/>
      <c r="H834" s="296"/>
      <c r="I834" s="302"/>
      <c r="J834" s="297"/>
    </row>
    <row r="835" spans="1:10" ht="17.25" customHeight="1" x14ac:dyDescent="0.2">
      <c r="A835" s="316">
        <v>832</v>
      </c>
      <c r="B835" s="298"/>
      <c r="C835" s="299"/>
      <c r="D835" s="295"/>
      <c r="E835" s="300"/>
      <c r="F835" s="300"/>
      <c r="G835" s="301"/>
      <c r="H835" s="296"/>
      <c r="I835" s="302"/>
      <c r="J835" s="297"/>
    </row>
    <row r="836" spans="1:10" ht="17.25" customHeight="1" x14ac:dyDescent="0.2">
      <c r="A836" s="316">
        <v>833</v>
      </c>
      <c r="B836" s="298"/>
      <c r="C836" s="299"/>
      <c r="D836" s="295"/>
      <c r="E836" s="300"/>
      <c r="F836" s="300"/>
      <c r="G836" s="301"/>
      <c r="H836" s="296"/>
      <c r="I836" s="302"/>
      <c r="J836" s="297"/>
    </row>
    <row r="837" spans="1:10" ht="17.25" customHeight="1" x14ac:dyDescent="0.2">
      <c r="A837" s="316">
        <v>834</v>
      </c>
      <c r="B837" s="298"/>
      <c r="C837" s="299"/>
      <c r="D837" s="295"/>
      <c r="E837" s="300"/>
      <c r="F837" s="300"/>
      <c r="G837" s="301"/>
      <c r="H837" s="296"/>
      <c r="I837" s="302"/>
      <c r="J837" s="297"/>
    </row>
    <row r="838" spans="1:10" ht="17.25" customHeight="1" x14ac:dyDescent="0.2">
      <c r="A838" s="316">
        <v>835</v>
      </c>
      <c r="B838" s="298"/>
      <c r="C838" s="299"/>
      <c r="D838" s="295"/>
      <c r="E838" s="300"/>
      <c r="F838" s="300"/>
      <c r="G838" s="301"/>
      <c r="H838" s="296"/>
      <c r="I838" s="302"/>
      <c r="J838" s="297"/>
    </row>
    <row r="839" spans="1:10" ht="17.25" customHeight="1" x14ac:dyDescent="0.2">
      <c r="A839" s="316">
        <v>836</v>
      </c>
      <c r="B839" s="298"/>
      <c r="C839" s="299"/>
      <c r="D839" s="295"/>
      <c r="E839" s="300"/>
      <c r="F839" s="300"/>
      <c r="G839" s="301"/>
      <c r="H839" s="296"/>
      <c r="I839" s="302"/>
      <c r="J839" s="297"/>
    </row>
    <row r="840" spans="1:10" ht="17.25" customHeight="1" x14ac:dyDescent="0.2">
      <c r="A840" s="316">
        <v>837</v>
      </c>
      <c r="B840" s="298"/>
      <c r="C840" s="299"/>
      <c r="D840" s="295"/>
      <c r="E840" s="300"/>
      <c r="F840" s="300"/>
      <c r="G840" s="301"/>
      <c r="H840" s="296"/>
      <c r="I840" s="302"/>
      <c r="J840" s="297"/>
    </row>
    <row r="841" spans="1:10" ht="17.25" customHeight="1" x14ac:dyDescent="0.2">
      <c r="A841" s="316">
        <v>838</v>
      </c>
      <c r="B841" s="298"/>
      <c r="C841" s="299"/>
      <c r="D841" s="295"/>
      <c r="E841" s="300"/>
      <c r="F841" s="300"/>
      <c r="G841" s="301"/>
      <c r="H841" s="296"/>
      <c r="I841" s="302"/>
      <c r="J841" s="297"/>
    </row>
    <row r="842" spans="1:10" ht="17.25" customHeight="1" x14ac:dyDescent="0.2">
      <c r="A842" s="316">
        <v>839</v>
      </c>
      <c r="B842" s="298"/>
      <c r="C842" s="299"/>
      <c r="D842" s="295"/>
      <c r="E842" s="300"/>
      <c r="F842" s="300"/>
      <c r="G842" s="301"/>
      <c r="H842" s="296"/>
      <c r="I842" s="302"/>
      <c r="J842" s="297"/>
    </row>
    <row r="843" spans="1:10" ht="17.25" customHeight="1" x14ac:dyDescent="0.2">
      <c r="A843" s="316">
        <v>840</v>
      </c>
      <c r="B843" s="298"/>
      <c r="C843" s="299"/>
      <c r="D843" s="295"/>
      <c r="E843" s="300"/>
      <c r="F843" s="300"/>
      <c r="G843" s="301"/>
      <c r="H843" s="296"/>
      <c r="I843" s="302"/>
      <c r="J843" s="297"/>
    </row>
    <row r="844" spans="1:10" ht="17.25" customHeight="1" x14ac:dyDescent="0.2">
      <c r="A844" s="316">
        <v>841</v>
      </c>
      <c r="B844" s="298"/>
      <c r="C844" s="299"/>
      <c r="D844" s="295"/>
      <c r="E844" s="300"/>
      <c r="F844" s="300"/>
      <c r="G844" s="301"/>
      <c r="H844" s="296"/>
      <c r="I844" s="302"/>
      <c r="J844" s="297"/>
    </row>
    <row r="845" spans="1:10" ht="17.25" customHeight="1" x14ac:dyDescent="0.2">
      <c r="A845" s="316">
        <v>842</v>
      </c>
      <c r="B845" s="298"/>
      <c r="C845" s="299"/>
      <c r="D845" s="295"/>
      <c r="E845" s="300"/>
      <c r="F845" s="300"/>
      <c r="G845" s="301"/>
      <c r="H845" s="296"/>
      <c r="I845" s="302"/>
      <c r="J845" s="297"/>
    </row>
    <row r="846" spans="1:10" ht="17.25" customHeight="1" x14ac:dyDescent="0.2">
      <c r="A846" s="316">
        <v>843</v>
      </c>
      <c r="B846" s="298"/>
      <c r="C846" s="299"/>
      <c r="D846" s="295"/>
      <c r="E846" s="300"/>
      <c r="F846" s="300"/>
      <c r="G846" s="301"/>
      <c r="H846" s="296"/>
      <c r="I846" s="302"/>
      <c r="J846" s="297"/>
    </row>
    <row r="847" spans="1:10" ht="17.25" customHeight="1" x14ac:dyDescent="0.2">
      <c r="A847" s="316">
        <v>844</v>
      </c>
      <c r="B847" s="298"/>
      <c r="C847" s="299"/>
      <c r="D847" s="295"/>
      <c r="E847" s="300"/>
      <c r="F847" s="300"/>
      <c r="G847" s="301"/>
      <c r="H847" s="296"/>
      <c r="I847" s="302"/>
      <c r="J847" s="297"/>
    </row>
    <row r="848" spans="1:10" ht="17.25" customHeight="1" x14ac:dyDescent="0.2">
      <c r="A848" s="316">
        <v>845</v>
      </c>
      <c r="B848" s="298"/>
      <c r="C848" s="299"/>
      <c r="D848" s="295"/>
      <c r="E848" s="300"/>
      <c r="F848" s="300"/>
      <c r="G848" s="301"/>
      <c r="H848" s="296"/>
      <c r="I848" s="302"/>
      <c r="J848" s="297"/>
    </row>
    <row r="849" spans="1:10" ht="17.25" customHeight="1" x14ac:dyDescent="0.2">
      <c r="A849" s="316">
        <v>846</v>
      </c>
      <c r="B849" s="298"/>
      <c r="C849" s="299"/>
      <c r="D849" s="295"/>
      <c r="E849" s="300"/>
      <c r="F849" s="300"/>
      <c r="G849" s="301"/>
      <c r="H849" s="296"/>
      <c r="I849" s="302"/>
      <c r="J849" s="297"/>
    </row>
    <row r="850" spans="1:10" ht="17.25" customHeight="1" x14ac:dyDescent="0.2">
      <c r="A850" s="316">
        <v>847</v>
      </c>
      <c r="B850" s="298"/>
      <c r="C850" s="299"/>
      <c r="D850" s="295"/>
      <c r="E850" s="300"/>
      <c r="F850" s="300"/>
      <c r="G850" s="301"/>
      <c r="H850" s="296"/>
      <c r="I850" s="302"/>
      <c r="J850" s="297"/>
    </row>
    <row r="851" spans="1:10" ht="17.25" customHeight="1" x14ac:dyDescent="0.2">
      <c r="A851" s="316">
        <v>848</v>
      </c>
      <c r="B851" s="298"/>
      <c r="C851" s="299"/>
      <c r="D851" s="295"/>
      <c r="E851" s="300"/>
      <c r="F851" s="300"/>
      <c r="G851" s="301"/>
      <c r="H851" s="296"/>
      <c r="I851" s="302"/>
      <c r="J851" s="297"/>
    </row>
    <row r="852" spans="1:10" ht="17.25" customHeight="1" x14ac:dyDescent="0.2">
      <c r="A852" s="316">
        <v>849</v>
      </c>
      <c r="B852" s="298"/>
      <c r="C852" s="299"/>
      <c r="D852" s="295"/>
      <c r="E852" s="300"/>
      <c r="F852" s="300"/>
      <c r="G852" s="301"/>
      <c r="H852" s="296"/>
      <c r="I852" s="302"/>
      <c r="J852" s="297"/>
    </row>
    <row r="853" spans="1:10" ht="17.25" customHeight="1" x14ac:dyDescent="0.2">
      <c r="A853" s="316">
        <v>850</v>
      </c>
      <c r="B853" s="298"/>
      <c r="C853" s="299"/>
      <c r="D853" s="295"/>
      <c r="E853" s="300"/>
      <c r="F853" s="300"/>
      <c r="G853" s="301"/>
      <c r="H853" s="296"/>
      <c r="I853" s="302"/>
      <c r="J853" s="297"/>
    </row>
    <row r="854" spans="1:10" ht="17.25" customHeight="1" x14ac:dyDescent="0.2">
      <c r="A854" s="316">
        <v>851</v>
      </c>
      <c r="B854" s="298"/>
      <c r="C854" s="299"/>
      <c r="D854" s="295"/>
      <c r="E854" s="300"/>
      <c r="F854" s="300"/>
      <c r="G854" s="301"/>
      <c r="H854" s="296"/>
      <c r="I854" s="302"/>
      <c r="J854" s="297"/>
    </row>
    <row r="855" spans="1:10" ht="17.25" customHeight="1" x14ac:dyDescent="0.2">
      <c r="A855" s="316">
        <v>852</v>
      </c>
      <c r="B855" s="298"/>
      <c r="C855" s="299"/>
      <c r="D855" s="295"/>
      <c r="E855" s="300"/>
      <c r="F855" s="300"/>
      <c r="G855" s="301"/>
      <c r="H855" s="296"/>
      <c r="I855" s="302"/>
      <c r="J855" s="297"/>
    </row>
    <row r="856" spans="1:10" ht="17.25" customHeight="1" x14ac:dyDescent="0.2">
      <c r="A856" s="316">
        <v>853</v>
      </c>
      <c r="B856" s="298"/>
      <c r="C856" s="299"/>
      <c r="D856" s="295"/>
      <c r="E856" s="300"/>
      <c r="F856" s="300"/>
      <c r="G856" s="301"/>
      <c r="H856" s="296"/>
      <c r="I856" s="302"/>
      <c r="J856" s="297"/>
    </row>
    <row r="857" spans="1:10" ht="17.25" customHeight="1" x14ac:dyDescent="0.2">
      <c r="A857" s="316">
        <v>854</v>
      </c>
      <c r="B857" s="298"/>
      <c r="C857" s="299"/>
      <c r="D857" s="295"/>
      <c r="E857" s="300"/>
      <c r="F857" s="300"/>
      <c r="G857" s="301"/>
      <c r="H857" s="296"/>
      <c r="I857" s="302"/>
      <c r="J857" s="297"/>
    </row>
    <row r="858" spans="1:10" ht="17.25" customHeight="1" x14ac:dyDescent="0.2">
      <c r="A858" s="316">
        <v>855</v>
      </c>
      <c r="B858" s="298"/>
      <c r="C858" s="299"/>
      <c r="D858" s="295"/>
      <c r="E858" s="300"/>
      <c r="F858" s="300"/>
      <c r="G858" s="301"/>
      <c r="H858" s="296"/>
      <c r="I858" s="302"/>
      <c r="J858" s="297"/>
    </row>
    <row r="859" spans="1:10" ht="17.25" customHeight="1" x14ac:dyDescent="0.2">
      <c r="A859" s="316">
        <v>856</v>
      </c>
      <c r="B859" s="298"/>
      <c r="C859" s="299"/>
      <c r="D859" s="295"/>
      <c r="E859" s="300"/>
      <c r="F859" s="300"/>
      <c r="G859" s="301"/>
      <c r="H859" s="296"/>
      <c r="I859" s="302"/>
      <c r="J859" s="297"/>
    </row>
    <row r="860" spans="1:10" ht="17.25" customHeight="1" x14ac:dyDescent="0.2">
      <c r="A860" s="316">
        <v>857</v>
      </c>
      <c r="B860" s="298"/>
      <c r="C860" s="299"/>
      <c r="D860" s="295"/>
      <c r="E860" s="300"/>
      <c r="F860" s="300"/>
      <c r="G860" s="301"/>
      <c r="H860" s="296"/>
      <c r="I860" s="302"/>
      <c r="J860" s="297"/>
    </row>
    <row r="861" spans="1:10" ht="17.25" customHeight="1" x14ac:dyDescent="0.2">
      <c r="A861" s="316">
        <v>858</v>
      </c>
      <c r="B861" s="298"/>
      <c r="C861" s="299"/>
      <c r="D861" s="295"/>
      <c r="E861" s="300"/>
      <c r="F861" s="300"/>
      <c r="G861" s="301"/>
      <c r="H861" s="296"/>
      <c r="I861" s="302"/>
      <c r="J861" s="297"/>
    </row>
    <row r="862" spans="1:10" ht="17.25" customHeight="1" x14ac:dyDescent="0.2">
      <c r="A862" s="316">
        <v>859</v>
      </c>
      <c r="B862" s="298"/>
      <c r="C862" s="299"/>
      <c r="D862" s="295"/>
      <c r="E862" s="300"/>
      <c r="F862" s="300"/>
      <c r="G862" s="301"/>
      <c r="H862" s="296"/>
      <c r="I862" s="302"/>
      <c r="J862" s="297"/>
    </row>
    <row r="863" spans="1:10" ht="17.25" customHeight="1" x14ac:dyDescent="0.2">
      <c r="A863" s="316">
        <v>860</v>
      </c>
      <c r="B863" s="298"/>
      <c r="C863" s="299"/>
      <c r="D863" s="295"/>
      <c r="E863" s="300"/>
      <c r="F863" s="300"/>
      <c r="G863" s="301"/>
      <c r="H863" s="296"/>
      <c r="I863" s="302"/>
      <c r="J863" s="297"/>
    </row>
    <row r="864" spans="1:10" ht="17.25" customHeight="1" x14ac:dyDescent="0.2">
      <c r="A864" s="316">
        <v>861</v>
      </c>
      <c r="B864" s="298"/>
      <c r="C864" s="299"/>
      <c r="D864" s="295"/>
      <c r="E864" s="300"/>
      <c r="F864" s="300"/>
      <c r="G864" s="301"/>
      <c r="H864" s="296"/>
      <c r="I864" s="302"/>
      <c r="J864" s="297"/>
    </row>
    <row r="865" spans="1:10" ht="17.25" customHeight="1" x14ac:dyDescent="0.2">
      <c r="A865" s="316">
        <v>862</v>
      </c>
      <c r="B865" s="298"/>
      <c r="C865" s="299"/>
      <c r="D865" s="295"/>
      <c r="E865" s="300"/>
      <c r="F865" s="300"/>
      <c r="G865" s="301"/>
      <c r="H865" s="296"/>
      <c r="I865" s="302"/>
      <c r="J865" s="297"/>
    </row>
    <row r="866" spans="1:10" ht="17.25" customHeight="1" x14ac:dyDescent="0.2">
      <c r="A866" s="316">
        <v>863</v>
      </c>
      <c r="B866" s="298"/>
      <c r="C866" s="299"/>
      <c r="D866" s="295"/>
      <c r="E866" s="300"/>
      <c r="F866" s="300"/>
      <c r="G866" s="301"/>
      <c r="H866" s="296"/>
      <c r="I866" s="302"/>
      <c r="J866" s="297"/>
    </row>
    <row r="867" spans="1:10" ht="17.25" customHeight="1" x14ac:dyDescent="0.2">
      <c r="A867" s="316">
        <v>864</v>
      </c>
      <c r="B867" s="298"/>
      <c r="C867" s="299"/>
      <c r="D867" s="295"/>
      <c r="E867" s="300"/>
      <c r="F867" s="300"/>
      <c r="G867" s="301"/>
      <c r="H867" s="296"/>
      <c r="I867" s="302"/>
      <c r="J867" s="297"/>
    </row>
    <row r="868" spans="1:10" ht="17.25" customHeight="1" x14ac:dyDescent="0.2">
      <c r="A868" s="316">
        <v>865</v>
      </c>
      <c r="B868" s="298"/>
      <c r="C868" s="299"/>
      <c r="D868" s="295"/>
      <c r="E868" s="300"/>
      <c r="F868" s="300"/>
      <c r="G868" s="301"/>
      <c r="H868" s="296"/>
      <c r="I868" s="302"/>
      <c r="J868" s="297"/>
    </row>
    <row r="869" spans="1:10" ht="17.25" customHeight="1" x14ac:dyDescent="0.2">
      <c r="A869" s="316">
        <v>866</v>
      </c>
      <c r="B869" s="298"/>
      <c r="C869" s="299"/>
      <c r="D869" s="295"/>
      <c r="E869" s="300"/>
      <c r="F869" s="300"/>
      <c r="G869" s="301"/>
      <c r="H869" s="296"/>
      <c r="I869" s="302"/>
      <c r="J869" s="297"/>
    </row>
    <row r="870" spans="1:10" ht="17.25" customHeight="1" x14ac:dyDescent="0.2">
      <c r="A870" s="316">
        <v>867</v>
      </c>
      <c r="B870" s="298"/>
      <c r="C870" s="299"/>
      <c r="D870" s="295"/>
      <c r="E870" s="300"/>
      <c r="F870" s="300"/>
      <c r="G870" s="301"/>
      <c r="H870" s="296"/>
      <c r="I870" s="302"/>
      <c r="J870" s="297"/>
    </row>
    <row r="871" spans="1:10" ht="17.25" customHeight="1" x14ac:dyDescent="0.2">
      <c r="A871" s="316">
        <v>868</v>
      </c>
      <c r="B871" s="298"/>
      <c r="C871" s="299"/>
      <c r="D871" s="295"/>
      <c r="E871" s="300"/>
      <c r="F871" s="300"/>
      <c r="G871" s="301"/>
      <c r="H871" s="296"/>
      <c r="I871" s="302"/>
      <c r="J871" s="297"/>
    </row>
    <row r="872" spans="1:10" ht="17.25" customHeight="1" x14ac:dyDescent="0.2">
      <c r="A872" s="316">
        <v>869</v>
      </c>
      <c r="B872" s="298"/>
      <c r="C872" s="299"/>
      <c r="D872" s="295"/>
      <c r="E872" s="300"/>
      <c r="F872" s="300"/>
      <c r="G872" s="301"/>
      <c r="H872" s="296"/>
      <c r="I872" s="302"/>
      <c r="J872" s="297"/>
    </row>
    <row r="873" spans="1:10" ht="17.25" customHeight="1" x14ac:dyDescent="0.2">
      <c r="A873" s="316">
        <v>870</v>
      </c>
      <c r="B873" s="298"/>
      <c r="C873" s="299"/>
      <c r="D873" s="295"/>
      <c r="E873" s="300"/>
      <c r="F873" s="300"/>
      <c r="G873" s="301"/>
      <c r="H873" s="296"/>
      <c r="I873" s="302"/>
      <c r="J873" s="297"/>
    </row>
    <row r="874" spans="1:10" ht="17.25" customHeight="1" x14ac:dyDescent="0.2">
      <c r="A874" s="316">
        <v>871</v>
      </c>
      <c r="B874" s="298"/>
      <c r="C874" s="299"/>
      <c r="D874" s="295"/>
      <c r="E874" s="300"/>
      <c r="F874" s="300"/>
      <c r="G874" s="301"/>
      <c r="H874" s="296"/>
      <c r="I874" s="302"/>
      <c r="J874" s="297"/>
    </row>
    <row r="875" spans="1:10" ht="17.25" customHeight="1" x14ac:dyDescent="0.2">
      <c r="A875" s="316">
        <v>872</v>
      </c>
      <c r="B875" s="298"/>
      <c r="C875" s="299"/>
      <c r="D875" s="295"/>
      <c r="E875" s="300"/>
      <c r="F875" s="300"/>
      <c r="G875" s="301"/>
      <c r="H875" s="296"/>
      <c r="I875" s="302"/>
      <c r="J875" s="297"/>
    </row>
    <row r="876" spans="1:10" ht="17.25" customHeight="1" x14ac:dyDescent="0.2">
      <c r="A876" s="316">
        <v>873</v>
      </c>
      <c r="B876" s="298"/>
      <c r="C876" s="299"/>
      <c r="D876" s="295"/>
      <c r="E876" s="300"/>
      <c r="F876" s="300"/>
      <c r="G876" s="301"/>
      <c r="H876" s="296"/>
      <c r="I876" s="302"/>
      <c r="J876" s="297"/>
    </row>
    <row r="877" spans="1:10" ht="17.25" customHeight="1" x14ac:dyDescent="0.2">
      <c r="A877" s="316">
        <v>874</v>
      </c>
      <c r="B877" s="298"/>
      <c r="C877" s="299"/>
      <c r="D877" s="295"/>
      <c r="E877" s="300"/>
      <c r="F877" s="300"/>
      <c r="G877" s="301"/>
      <c r="H877" s="296"/>
      <c r="I877" s="302"/>
      <c r="J877" s="297"/>
    </row>
    <row r="878" spans="1:10" ht="17.25" customHeight="1" x14ac:dyDescent="0.2">
      <c r="A878" s="316">
        <v>875</v>
      </c>
      <c r="B878" s="298"/>
      <c r="C878" s="299"/>
      <c r="D878" s="295"/>
      <c r="E878" s="300"/>
      <c r="F878" s="300"/>
      <c r="G878" s="301"/>
      <c r="H878" s="296"/>
      <c r="I878" s="302"/>
      <c r="J878" s="297"/>
    </row>
    <row r="879" spans="1:10" ht="17.25" customHeight="1" x14ac:dyDescent="0.2">
      <c r="A879" s="316">
        <v>876</v>
      </c>
      <c r="B879" s="298"/>
      <c r="C879" s="299"/>
      <c r="D879" s="295"/>
      <c r="E879" s="300"/>
      <c r="F879" s="300"/>
      <c r="G879" s="301"/>
      <c r="H879" s="296"/>
      <c r="I879" s="302"/>
      <c r="J879" s="297"/>
    </row>
    <row r="880" spans="1:10" ht="17.25" customHeight="1" x14ac:dyDescent="0.2">
      <c r="A880" s="316">
        <v>877</v>
      </c>
      <c r="B880" s="298"/>
      <c r="C880" s="299"/>
      <c r="D880" s="295"/>
      <c r="E880" s="300"/>
      <c r="F880" s="300"/>
      <c r="G880" s="301"/>
      <c r="H880" s="296"/>
      <c r="I880" s="302"/>
      <c r="J880" s="297"/>
    </row>
    <row r="881" spans="1:10" ht="17.25" customHeight="1" x14ac:dyDescent="0.2">
      <c r="A881" s="316">
        <v>878</v>
      </c>
      <c r="B881" s="298"/>
      <c r="C881" s="299"/>
      <c r="D881" s="295"/>
      <c r="E881" s="300"/>
      <c r="F881" s="300"/>
      <c r="G881" s="301"/>
      <c r="H881" s="296"/>
      <c r="I881" s="302"/>
      <c r="J881" s="297"/>
    </row>
    <row r="882" spans="1:10" ht="17.25" customHeight="1" x14ac:dyDescent="0.2">
      <c r="A882" s="316">
        <v>879</v>
      </c>
      <c r="B882" s="298"/>
      <c r="C882" s="299"/>
      <c r="D882" s="295"/>
      <c r="E882" s="300"/>
      <c r="F882" s="300"/>
      <c r="G882" s="301"/>
      <c r="H882" s="296"/>
      <c r="I882" s="302"/>
      <c r="J882" s="297"/>
    </row>
    <row r="883" spans="1:10" ht="17.25" customHeight="1" x14ac:dyDescent="0.2">
      <c r="A883" s="316">
        <v>880</v>
      </c>
      <c r="B883" s="298"/>
      <c r="C883" s="299"/>
      <c r="D883" s="295"/>
      <c r="E883" s="300"/>
      <c r="F883" s="300"/>
      <c r="G883" s="301"/>
      <c r="H883" s="296"/>
      <c r="I883" s="302"/>
      <c r="J883" s="297"/>
    </row>
    <row r="884" spans="1:10" ht="17.25" customHeight="1" x14ac:dyDescent="0.2">
      <c r="A884" s="316">
        <v>881</v>
      </c>
      <c r="B884" s="298"/>
      <c r="C884" s="299"/>
      <c r="D884" s="295"/>
      <c r="E884" s="300"/>
      <c r="F884" s="300"/>
      <c r="G884" s="301"/>
      <c r="H884" s="296"/>
      <c r="I884" s="302"/>
      <c r="J884" s="297"/>
    </row>
    <row r="885" spans="1:10" ht="17.25" customHeight="1" x14ac:dyDescent="0.2">
      <c r="A885" s="316">
        <v>882</v>
      </c>
      <c r="B885" s="298"/>
      <c r="C885" s="299"/>
      <c r="D885" s="295"/>
      <c r="E885" s="300"/>
      <c r="F885" s="300"/>
      <c r="G885" s="301"/>
      <c r="H885" s="296"/>
      <c r="I885" s="302"/>
      <c r="J885" s="297"/>
    </row>
    <row r="886" spans="1:10" ht="17.25" customHeight="1" x14ac:dyDescent="0.2">
      <c r="A886" s="316">
        <v>883</v>
      </c>
      <c r="B886" s="298"/>
      <c r="C886" s="299"/>
      <c r="D886" s="295"/>
      <c r="E886" s="300"/>
      <c r="F886" s="300"/>
      <c r="G886" s="301"/>
      <c r="H886" s="296"/>
      <c r="I886" s="302"/>
      <c r="J886" s="297"/>
    </row>
    <row r="887" spans="1:10" ht="17.25" customHeight="1" x14ac:dyDescent="0.2">
      <c r="A887" s="316">
        <v>884</v>
      </c>
      <c r="B887" s="298"/>
      <c r="C887" s="299"/>
      <c r="D887" s="295"/>
      <c r="E887" s="300"/>
      <c r="F887" s="300"/>
      <c r="G887" s="301"/>
      <c r="H887" s="296"/>
      <c r="I887" s="302"/>
      <c r="J887" s="297"/>
    </row>
    <row r="888" spans="1:10" ht="17.25" customHeight="1" x14ac:dyDescent="0.2">
      <c r="A888" s="316">
        <v>885</v>
      </c>
      <c r="B888" s="298"/>
      <c r="C888" s="299"/>
      <c r="D888" s="295"/>
      <c r="E888" s="300"/>
      <c r="F888" s="300"/>
      <c r="G888" s="301"/>
      <c r="H888" s="296"/>
      <c r="I888" s="302"/>
      <c r="J888" s="297"/>
    </row>
    <row r="889" spans="1:10" ht="17.25" customHeight="1" x14ac:dyDescent="0.2">
      <c r="A889" s="316">
        <v>886</v>
      </c>
      <c r="B889" s="298"/>
      <c r="C889" s="299"/>
      <c r="D889" s="295"/>
      <c r="E889" s="300"/>
      <c r="F889" s="300"/>
      <c r="G889" s="301"/>
      <c r="H889" s="296"/>
      <c r="I889" s="302"/>
      <c r="J889" s="297"/>
    </row>
    <row r="890" spans="1:10" ht="17.25" customHeight="1" x14ac:dyDescent="0.2">
      <c r="A890" s="316">
        <v>887</v>
      </c>
      <c r="B890" s="298"/>
      <c r="C890" s="299"/>
      <c r="D890" s="295"/>
      <c r="E890" s="300"/>
      <c r="F890" s="300"/>
      <c r="G890" s="301"/>
      <c r="H890" s="296"/>
      <c r="I890" s="302"/>
      <c r="J890" s="297"/>
    </row>
    <row r="891" spans="1:10" ht="17.25" customHeight="1" x14ac:dyDescent="0.2">
      <c r="A891" s="316">
        <v>888</v>
      </c>
      <c r="B891" s="298"/>
      <c r="C891" s="299"/>
      <c r="D891" s="295"/>
      <c r="E891" s="300"/>
      <c r="F891" s="300"/>
      <c r="G891" s="301"/>
      <c r="H891" s="296"/>
      <c r="I891" s="302"/>
      <c r="J891" s="297"/>
    </row>
    <row r="892" spans="1:10" ht="17.25" customHeight="1" x14ac:dyDescent="0.2">
      <c r="A892" s="316">
        <v>889</v>
      </c>
      <c r="B892" s="298"/>
      <c r="C892" s="299"/>
      <c r="D892" s="295"/>
      <c r="E892" s="300"/>
      <c r="F892" s="300"/>
      <c r="G892" s="301"/>
      <c r="H892" s="296"/>
      <c r="I892" s="302"/>
      <c r="J892" s="297"/>
    </row>
    <row r="893" spans="1:10" ht="17.25" customHeight="1" x14ac:dyDescent="0.2">
      <c r="A893" s="316">
        <v>890</v>
      </c>
      <c r="B893" s="298"/>
      <c r="C893" s="299"/>
      <c r="D893" s="295"/>
      <c r="E893" s="300"/>
      <c r="F893" s="300"/>
      <c r="G893" s="301"/>
      <c r="H893" s="296"/>
      <c r="I893" s="302"/>
      <c r="J893" s="297"/>
    </row>
    <row r="894" spans="1:10" ht="17.25" customHeight="1" x14ac:dyDescent="0.2">
      <c r="A894" s="316">
        <v>891</v>
      </c>
      <c r="B894" s="298"/>
      <c r="C894" s="299"/>
      <c r="D894" s="295"/>
      <c r="E894" s="300"/>
      <c r="F894" s="300"/>
      <c r="G894" s="301"/>
      <c r="H894" s="296"/>
      <c r="I894" s="302"/>
      <c r="J894" s="297"/>
    </row>
    <row r="895" spans="1:10" ht="17.25" customHeight="1" x14ac:dyDescent="0.2">
      <c r="A895" s="316">
        <v>892</v>
      </c>
      <c r="B895" s="298"/>
      <c r="C895" s="299"/>
      <c r="D895" s="295"/>
      <c r="E895" s="300"/>
      <c r="F895" s="300"/>
      <c r="G895" s="301"/>
      <c r="H895" s="296"/>
      <c r="I895" s="302"/>
      <c r="J895" s="297"/>
    </row>
    <row r="896" spans="1:10" ht="17.25" customHeight="1" x14ac:dyDescent="0.2">
      <c r="A896" s="316">
        <v>893</v>
      </c>
      <c r="B896" s="298"/>
      <c r="C896" s="299"/>
      <c r="D896" s="295"/>
      <c r="E896" s="300"/>
      <c r="F896" s="300"/>
      <c r="G896" s="301"/>
      <c r="H896" s="296"/>
      <c r="I896" s="302"/>
      <c r="J896" s="297"/>
    </row>
    <row r="897" spans="1:10" ht="17.25" customHeight="1" x14ac:dyDescent="0.2">
      <c r="A897" s="316">
        <v>894</v>
      </c>
      <c r="B897" s="298"/>
      <c r="C897" s="299"/>
      <c r="D897" s="295"/>
      <c r="E897" s="300"/>
      <c r="F897" s="300"/>
      <c r="G897" s="301"/>
      <c r="H897" s="296"/>
      <c r="I897" s="302"/>
      <c r="J897" s="297"/>
    </row>
    <row r="898" spans="1:10" ht="17.25" customHeight="1" x14ac:dyDescent="0.2">
      <c r="A898" s="316">
        <v>895</v>
      </c>
      <c r="B898" s="298"/>
      <c r="C898" s="299"/>
      <c r="D898" s="295"/>
      <c r="E898" s="300"/>
      <c r="F898" s="300"/>
      <c r="G898" s="301"/>
      <c r="H898" s="296"/>
      <c r="I898" s="302"/>
      <c r="J898" s="297"/>
    </row>
    <row r="899" spans="1:10" ht="17.25" customHeight="1" x14ac:dyDescent="0.2">
      <c r="A899" s="316">
        <v>896</v>
      </c>
      <c r="B899" s="298"/>
      <c r="C899" s="299"/>
      <c r="D899" s="295"/>
      <c r="E899" s="300"/>
      <c r="F899" s="300"/>
      <c r="G899" s="301"/>
      <c r="H899" s="296"/>
      <c r="I899" s="302"/>
      <c r="J899" s="297"/>
    </row>
    <row r="900" spans="1:10" ht="17.25" customHeight="1" x14ac:dyDescent="0.2">
      <c r="A900" s="316">
        <v>897</v>
      </c>
      <c r="B900" s="298"/>
      <c r="C900" s="299"/>
      <c r="D900" s="295"/>
      <c r="E900" s="300"/>
      <c r="F900" s="300"/>
      <c r="G900" s="301"/>
      <c r="H900" s="296"/>
      <c r="I900" s="302"/>
      <c r="J900" s="297"/>
    </row>
    <row r="901" spans="1:10" ht="17.25" customHeight="1" x14ac:dyDescent="0.2">
      <c r="A901" s="316">
        <v>898</v>
      </c>
      <c r="B901" s="298"/>
      <c r="C901" s="299"/>
      <c r="D901" s="295"/>
      <c r="E901" s="300"/>
      <c r="F901" s="300"/>
      <c r="G901" s="301"/>
      <c r="H901" s="296"/>
      <c r="I901" s="302"/>
      <c r="J901" s="297"/>
    </row>
    <row r="902" spans="1:10" ht="17.25" customHeight="1" x14ac:dyDescent="0.2">
      <c r="A902" s="316">
        <v>899</v>
      </c>
      <c r="B902" s="298"/>
      <c r="C902" s="299"/>
      <c r="D902" s="295"/>
      <c r="E902" s="300"/>
      <c r="F902" s="300"/>
      <c r="G902" s="301"/>
      <c r="H902" s="296"/>
      <c r="I902" s="302"/>
      <c r="J902" s="297"/>
    </row>
    <row r="903" spans="1:10" ht="17.25" customHeight="1" x14ac:dyDescent="0.2">
      <c r="A903" s="316">
        <v>900</v>
      </c>
      <c r="B903" s="298"/>
      <c r="C903" s="299"/>
      <c r="D903" s="295"/>
      <c r="E903" s="300"/>
      <c r="F903" s="300"/>
      <c r="G903" s="301"/>
      <c r="H903" s="296"/>
      <c r="I903" s="302"/>
      <c r="J903" s="297"/>
    </row>
    <row r="904" spans="1:10" ht="17.25" customHeight="1" x14ac:dyDescent="0.2">
      <c r="A904" s="316">
        <v>901</v>
      </c>
      <c r="B904" s="298"/>
      <c r="C904" s="299"/>
      <c r="D904" s="295"/>
      <c r="E904" s="300"/>
      <c r="F904" s="300"/>
      <c r="G904" s="301"/>
      <c r="H904" s="296"/>
      <c r="I904" s="302"/>
      <c r="J904" s="297"/>
    </row>
    <row r="905" spans="1:10" ht="17.25" customHeight="1" x14ac:dyDescent="0.2">
      <c r="A905" s="316">
        <v>902</v>
      </c>
      <c r="B905" s="298"/>
      <c r="C905" s="299"/>
      <c r="D905" s="295"/>
      <c r="E905" s="300"/>
      <c r="F905" s="300"/>
      <c r="G905" s="301"/>
      <c r="H905" s="296"/>
      <c r="I905" s="302"/>
      <c r="J905" s="297"/>
    </row>
    <row r="906" spans="1:10" ht="17.25" customHeight="1" x14ac:dyDescent="0.2">
      <c r="A906" s="316">
        <v>903</v>
      </c>
      <c r="B906" s="298"/>
      <c r="C906" s="299"/>
      <c r="D906" s="295"/>
      <c r="E906" s="300"/>
      <c r="F906" s="300"/>
      <c r="G906" s="301"/>
      <c r="H906" s="296"/>
      <c r="I906" s="302"/>
      <c r="J906" s="297"/>
    </row>
    <row r="907" spans="1:10" ht="17.25" customHeight="1" x14ac:dyDescent="0.2">
      <c r="A907" s="316">
        <v>904</v>
      </c>
      <c r="B907" s="298"/>
      <c r="C907" s="299"/>
      <c r="D907" s="295"/>
      <c r="E907" s="300"/>
      <c r="F907" s="300"/>
      <c r="G907" s="301"/>
      <c r="H907" s="296"/>
      <c r="I907" s="302"/>
      <c r="J907" s="297"/>
    </row>
    <row r="908" spans="1:10" ht="17.25" customHeight="1" x14ac:dyDescent="0.2">
      <c r="A908" s="316">
        <v>905</v>
      </c>
      <c r="B908" s="298"/>
      <c r="C908" s="299"/>
      <c r="D908" s="295"/>
      <c r="E908" s="300"/>
      <c r="F908" s="300"/>
      <c r="G908" s="301"/>
      <c r="H908" s="296"/>
      <c r="I908" s="302"/>
      <c r="J908" s="297"/>
    </row>
    <row r="909" spans="1:10" ht="17.25" customHeight="1" x14ac:dyDescent="0.2">
      <c r="A909" s="316">
        <v>906</v>
      </c>
      <c r="B909" s="298"/>
      <c r="C909" s="299"/>
      <c r="D909" s="295"/>
      <c r="E909" s="300"/>
      <c r="F909" s="300"/>
      <c r="G909" s="301"/>
      <c r="H909" s="296"/>
      <c r="I909" s="302"/>
      <c r="J909" s="297"/>
    </row>
    <row r="910" spans="1:10" ht="17.25" customHeight="1" x14ac:dyDescent="0.2">
      <c r="A910" s="316">
        <v>907</v>
      </c>
      <c r="B910" s="298"/>
      <c r="C910" s="299"/>
      <c r="D910" s="295"/>
      <c r="E910" s="300"/>
      <c r="F910" s="300"/>
      <c r="G910" s="301"/>
      <c r="H910" s="296"/>
      <c r="I910" s="302"/>
      <c r="J910" s="297"/>
    </row>
    <row r="911" spans="1:10" ht="17.25" customHeight="1" x14ac:dyDescent="0.2">
      <c r="A911" s="316">
        <v>908</v>
      </c>
      <c r="B911" s="298"/>
      <c r="C911" s="299"/>
      <c r="D911" s="295"/>
      <c r="E911" s="300"/>
      <c r="F911" s="300"/>
      <c r="G911" s="301"/>
      <c r="H911" s="296"/>
      <c r="I911" s="302"/>
      <c r="J911" s="297"/>
    </row>
    <row r="912" spans="1:10" ht="17.25" customHeight="1" x14ac:dyDescent="0.2">
      <c r="A912" s="316">
        <v>909</v>
      </c>
      <c r="B912" s="298"/>
      <c r="C912" s="299"/>
      <c r="D912" s="295"/>
      <c r="E912" s="300"/>
      <c r="F912" s="300"/>
      <c r="G912" s="301"/>
      <c r="H912" s="296"/>
      <c r="I912" s="302"/>
      <c r="J912" s="297"/>
    </row>
    <row r="913" spans="1:10" ht="17.25" customHeight="1" x14ac:dyDescent="0.2">
      <c r="A913" s="316">
        <v>910</v>
      </c>
      <c r="B913" s="298"/>
      <c r="C913" s="299"/>
      <c r="D913" s="295"/>
      <c r="E913" s="300"/>
      <c r="F913" s="300"/>
      <c r="G913" s="301"/>
      <c r="H913" s="296"/>
      <c r="I913" s="302"/>
      <c r="J913" s="297"/>
    </row>
    <row r="914" spans="1:10" ht="17.25" customHeight="1" x14ac:dyDescent="0.2">
      <c r="A914" s="316">
        <v>911</v>
      </c>
      <c r="B914" s="298"/>
      <c r="C914" s="299"/>
      <c r="D914" s="295"/>
      <c r="E914" s="300"/>
      <c r="F914" s="300"/>
      <c r="G914" s="301"/>
      <c r="H914" s="296"/>
      <c r="I914" s="302"/>
      <c r="J914" s="297"/>
    </row>
    <row r="915" spans="1:10" ht="17.25" customHeight="1" x14ac:dyDescent="0.2">
      <c r="A915" s="316">
        <v>912</v>
      </c>
      <c r="B915" s="298"/>
      <c r="C915" s="299"/>
      <c r="D915" s="295"/>
      <c r="E915" s="300"/>
      <c r="F915" s="300"/>
      <c r="G915" s="301"/>
      <c r="H915" s="296"/>
      <c r="I915" s="302"/>
      <c r="J915" s="297"/>
    </row>
    <row r="916" spans="1:10" ht="17.25" customHeight="1" x14ac:dyDescent="0.2">
      <c r="A916" s="316">
        <v>913</v>
      </c>
      <c r="B916" s="298"/>
      <c r="C916" s="299"/>
      <c r="D916" s="295"/>
      <c r="E916" s="300"/>
      <c r="F916" s="300"/>
      <c r="G916" s="301"/>
      <c r="H916" s="296"/>
      <c r="I916" s="302"/>
      <c r="J916" s="297"/>
    </row>
    <row r="917" spans="1:10" ht="17.25" customHeight="1" x14ac:dyDescent="0.2">
      <c r="A917" s="316">
        <v>914</v>
      </c>
      <c r="B917" s="298"/>
      <c r="C917" s="299"/>
      <c r="D917" s="295"/>
      <c r="E917" s="300"/>
      <c r="F917" s="300"/>
      <c r="G917" s="301"/>
      <c r="H917" s="296"/>
      <c r="I917" s="302"/>
      <c r="J917" s="297"/>
    </row>
    <row r="918" spans="1:10" ht="17.25" customHeight="1" x14ac:dyDescent="0.2">
      <c r="A918" s="316">
        <v>915</v>
      </c>
      <c r="B918" s="298"/>
      <c r="C918" s="299"/>
      <c r="D918" s="295"/>
      <c r="E918" s="300"/>
      <c r="F918" s="300"/>
      <c r="G918" s="301"/>
      <c r="H918" s="296"/>
      <c r="I918" s="302"/>
      <c r="J918" s="297"/>
    </row>
    <row r="919" spans="1:10" ht="17.25" customHeight="1" x14ac:dyDescent="0.2">
      <c r="A919" s="316">
        <v>916</v>
      </c>
      <c r="B919" s="298"/>
      <c r="C919" s="299"/>
      <c r="D919" s="295"/>
      <c r="E919" s="300"/>
      <c r="F919" s="300"/>
      <c r="G919" s="301"/>
      <c r="H919" s="296"/>
      <c r="I919" s="302"/>
      <c r="J919" s="297"/>
    </row>
    <row r="920" spans="1:10" ht="17.25" customHeight="1" x14ac:dyDescent="0.2">
      <c r="A920" s="316">
        <v>917</v>
      </c>
      <c r="B920" s="298"/>
      <c r="C920" s="299"/>
      <c r="D920" s="295"/>
      <c r="E920" s="300"/>
      <c r="F920" s="300"/>
      <c r="G920" s="301"/>
      <c r="H920" s="296"/>
      <c r="I920" s="302"/>
      <c r="J920" s="297"/>
    </row>
    <row r="921" spans="1:10" ht="17.25" customHeight="1" x14ac:dyDescent="0.2">
      <c r="A921" s="316">
        <v>918</v>
      </c>
      <c r="B921" s="298"/>
      <c r="C921" s="299"/>
      <c r="D921" s="295"/>
      <c r="E921" s="300"/>
      <c r="F921" s="300"/>
      <c r="G921" s="301"/>
      <c r="H921" s="296"/>
      <c r="I921" s="302"/>
      <c r="J921" s="297"/>
    </row>
    <row r="922" spans="1:10" ht="17.25" customHeight="1" x14ac:dyDescent="0.2">
      <c r="A922" s="316">
        <v>919</v>
      </c>
      <c r="B922" s="298"/>
      <c r="C922" s="299"/>
      <c r="D922" s="295"/>
      <c r="E922" s="300"/>
      <c r="F922" s="300"/>
      <c r="G922" s="301"/>
      <c r="H922" s="296"/>
      <c r="I922" s="302"/>
      <c r="J922" s="297"/>
    </row>
    <row r="923" spans="1:10" ht="17.25" customHeight="1" x14ac:dyDescent="0.2">
      <c r="A923" s="316">
        <v>920</v>
      </c>
      <c r="B923" s="298"/>
      <c r="C923" s="299"/>
      <c r="D923" s="295"/>
      <c r="E923" s="300"/>
      <c r="F923" s="300"/>
      <c r="G923" s="301"/>
      <c r="H923" s="296"/>
      <c r="I923" s="302"/>
      <c r="J923" s="297"/>
    </row>
    <row r="924" spans="1:10" ht="17.25" customHeight="1" x14ac:dyDescent="0.2">
      <c r="A924" s="316">
        <v>921</v>
      </c>
      <c r="B924" s="298"/>
      <c r="C924" s="299"/>
      <c r="D924" s="295"/>
      <c r="E924" s="300"/>
      <c r="F924" s="300"/>
      <c r="G924" s="301"/>
      <c r="H924" s="296"/>
      <c r="I924" s="302"/>
      <c r="J924" s="297"/>
    </row>
    <row r="925" spans="1:10" ht="17.25" customHeight="1" x14ac:dyDescent="0.2">
      <c r="A925" s="316">
        <v>922</v>
      </c>
      <c r="B925" s="298"/>
      <c r="C925" s="299"/>
      <c r="D925" s="295"/>
      <c r="E925" s="300"/>
      <c r="F925" s="300"/>
      <c r="G925" s="301"/>
      <c r="H925" s="296"/>
      <c r="I925" s="302"/>
      <c r="J925" s="297"/>
    </row>
    <row r="926" spans="1:10" ht="17.25" customHeight="1" x14ac:dyDescent="0.2">
      <c r="A926" s="316">
        <v>923</v>
      </c>
      <c r="B926" s="298"/>
      <c r="C926" s="299"/>
      <c r="D926" s="295"/>
      <c r="E926" s="300"/>
      <c r="F926" s="300"/>
      <c r="G926" s="301"/>
      <c r="H926" s="296"/>
      <c r="I926" s="302"/>
      <c r="J926" s="297"/>
    </row>
    <row r="927" spans="1:10" ht="17.25" customHeight="1" x14ac:dyDescent="0.2">
      <c r="A927" s="316">
        <v>924</v>
      </c>
      <c r="B927" s="298"/>
      <c r="C927" s="299"/>
      <c r="D927" s="295"/>
      <c r="E927" s="300"/>
      <c r="F927" s="300"/>
      <c r="G927" s="301"/>
      <c r="H927" s="296"/>
      <c r="I927" s="302"/>
      <c r="J927" s="297"/>
    </row>
    <row r="928" spans="1:10" ht="17.25" customHeight="1" x14ac:dyDescent="0.2">
      <c r="A928" s="316">
        <v>925</v>
      </c>
      <c r="B928" s="298"/>
      <c r="C928" s="299"/>
      <c r="D928" s="295"/>
      <c r="E928" s="300"/>
      <c r="F928" s="300"/>
      <c r="G928" s="301"/>
      <c r="H928" s="296"/>
      <c r="I928" s="302"/>
      <c r="J928" s="297"/>
    </row>
    <row r="929" spans="1:10" ht="17.25" customHeight="1" x14ac:dyDescent="0.2">
      <c r="A929" s="316">
        <v>926</v>
      </c>
      <c r="B929" s="298"/>
      <c r="C929" s="299"/>
      <c r="D929" s="295"/>
      <c r="E929" s="300"/>
      <c r="F929" s="300"/>
      <c r="G929" s="301"/>
      <c r="H929" s="296"/>
      <c r="I929" s="302"/>
      <c r="J929" s="297"/>
    </row>
    <row r="930" spans="1:10" ht="17.25" customHeight="1" x14ac:dyDescent="0.2">
      <c r="A930" s="316">
        <v>927</v>
      </c>
      <c r="B930" s="298"/>
      <c r="C930" s="299"/>
      <c r="D930" s="295"/>
      <c r="E930" s="300"/>
      <c r="F930" s="300"/>
      <c r="G930" s="301"/>
      <c r="H930" s="296"/>
      <c r="I930" s="302"/>
      <c r="J930" s="297"/>
    </row>
    <row r="931" spans="1:10" ht="17.25" customHeight="1" x14ac:dyDescent="0.2">
      <c r="A931" s="316">
        <v>928</v>
      </c>
      <c r="B931" s="298"/>
      <c r="C931" s="299"/>
      <c r="D931" s="295"/>
      <c r="E931" s="300"/>
      <c r="F931" s="300"/>
      <c r="G931" s="301"/>
      <c r="H931" s="296"/>
      <c r="I931" s="302"/>
      <c r="J931" s="297"/>
    </row>
    <row r="932" spans="1:10" ht="17.25" customHeight="1" x14ac:dyDescent="0.2">
      <c r="A932" s="316">
        <v>929</v>
      </c>
      <c r="B932" s="298"/>
      <c r="C932" s="299"/>
      <c r="D932" s="295"/>
      <c r="E932" s="300"/>
      <c r="F932" s="300"/>
      <c r="G932" s="301"/>
      <c r="H932" s="296"/>
      <c r="I932" s="302"/>
      <c r="J932" s="297"/>
    </row>
    <row r="933" spans="1:10" ht="17.25" customHeight="1" x14ac:dyDescent="0.2">
      <c r="A933" s="316">
        <v>930</v>
      </c>
      <c r="B933" s="298"/>
      <c r="C933" s="299"/>
      <c r="D933" s="295"/>
      <c r="E933" s="300"/>
      <c r="F933" s="300"/>
      <c r="G933" s="301"/>
      <c r="H933" s="296"/>
      <c r="I933" s="302"/>
      <c r="J933" s="297"/>
    </row>
    <row r="934" spans="1:10" ht="17.25" customHeight="1" x14ac:dyDescent="0.2">
      <c r="A934" s="316">
        <v>931</v>
      </c>
      <c r="B934" s="298"/>
      <c r="C934" s="299"/>
      <c r="D934" s="295"/>
      <c r="E934" s="300"/>
      <c r="F934" s="300"/>
      <c r="G934" s="301"/>
      <c r="H934" s="296"/>
      <c r="I934" s="302"/>
      <c r="J934" s="297"/>
    </row>
    <row r="935" spans="1:10" ht="17.25" customHeight="1" x14ac:dyDescent="0.2">
      <c r="A935" s="316">
        <v>932</v>
      </c>
      <c r="B935" s="298"/>
      <c r="C935" s="299"/>
      <c r="D935" s="295"/>
      <c r="E935" s="300"/>
      <c r="F935" s="300"/>
      <c r="G935" s="301"/>
      <c r="H935" s="296"/>
      <c r="I935" s="302"/>
      <c r="J935" s="297"/>
    </row>
    <row r="936" spans="1:10" ht="17.25" customHeight="1" x14ac:dyDescent="0.2">
      <c r="A936" s="316">
        <v>933</v>
      </c>
      <c r="B936" s="298"/>
      <c r="C936" s="299"/>
      <c r="D936" s="295"/>
      <c r="E936" s="300"/>
      <c r="F936" s="300"/>
      <c r="G936" s="301"/>
      <c r="H936" s="296"/>
      <c r="I936" s="302"/>
      <c r="J936" s="297"/>
    </row>
    <row r="937" spans="1:10" ht="17.25" customHeight="1" x14ac:dyDescent="0.2">
      <c r="A937" s="316">
        <v>934</v>
      </c>
      <c r="B937" s="298"/>
      <c r="C937" s="299"/>
      <c r="D937" s="295"/>
      <c r="E937" s="300"/>
      <c r="F937" s="300"/>
      <c r="G937" s="301"/>
      <c r="H937" s="296"/>
      <c r="I937" s="302"/>
      <c r="J937" s="297"/>
    </row>
    <row r="938" spans="1:10" ht="17.25" customHeight="1" x14ac:dyDescent="0.2">
      <c r="A938" s="316">
        <v>935</v>
      </c>
      <c r="B938" s="298"/>
      <c r="C938" s="299"/>
      <c r="D938" s="295"/>
      <c r="E938" s="300"/>
      <c r="F938" s="300"/>
      <c r="G938" s="301"/>
      <c r="H938" s="296"/>
      <c r="I938" s="302"/>
      <c r="J938" s="297"/>
    </row>
    <row r="939" spans="1:10" ht="17.25" customHeight="1" x14ac:dyDescent="0.2">
      <c r="A939" s="316">
        <v>936</v>
      </c>
      <c r="B939" s="298"/>
      <c r="C939" s="299"/>
      <c r="D939" s="295"/>
      <c r="E939" s="300"/>
      <c r="F939" s="300"/>
      <c r="G939" s="301"/>
      <c r="H939" s="296"/>
      <c r="I939" s="302"/>
      <c r="J939" s="297"/>
    </row>
    <row r="940" spans="1:10" ht="17.25" customHeight="1" x14ac:dyDescent="0.2">
      <c r="A940" s="316">
        <v>937</v>
      </c>
      <c r="B940" s="298"/>
      <c r="C940" s="299"/>
      <c r="D940" s="295"/>
      <c r="E940" s="300"/>
      <c r="F940" s="300"/>
      <c r="G940" s="301"/>
      <c r="H940" s="296"/>
      <c r="I940" s="302"/>
      <c r="J940" s="297"/>
    </row>
    <row r="941" spans="1:10" ht="17.25" customHeight="1" x14ac:dyDescent="0.2">
      <c r="A941" s="316">
        <v>938</v>
      </c>
      <c r="B941" s="298"/>
      <c r="C941" s="299"/>
      <c r="D941" s="295"/>
      <c r="E941" s="300"/>
      <c r="F941" s="300"/>
      <c r="G941" s="301"/>
      <c r="H941" s="296"/>
      <c r="I941" s="302"/>
      <c r="J941" s="297"/>
    </row>
    <row r="942" spans="1:10" ht="17.25" customHeight="1" x14ac:dyDescent="0.2">
      <c r="A942" s="316">
        <v>939</v>
      </c>
      <c r="B942" s="298"/>
      <c r="C942" s="299"/>
      <c r="D942" s="295"/>
      <c r="E942" s="300"/>
      <c r="F942" s="300"/>
      <c r="G942" s="301"/>
      <c r="H942" s="296"/>
      <c r="I942" s="302"/>
      <c r="J942" s="297"/>
    </row>
    <row r="943" spans="1:10" ht="17.25" customHeight="1" x14ac:dyDescent="0.2">
      <c r="A943" s="316">
        <v>940</v>
      </c>
      <c r="B943" s="298"/>
      <c r="C943" s="299"/>
      <c r="D943" s="295"/>
      <c r="E943" s="300"/>
      <c r="F943" s="300"/>
      <c r="G943" s="301"/>
      <c r="H943" s="296"/>
      <c r="I943" s="302"/>
      <c r="J943" s="297"/>
    </row>
    <row r="944" spans="1:10" ht="17.25" customHeight="1" x14ac:dyDescent="0.2">
      <c r="A944" s="316">
        <v>941</v>
      </c>
      <c r="B944" s="298"/>
      <c r="C944" s="299"/>
      <c r="D944" s="295"/>
      <c r="E944" s="300"/>
      <c r="F944" s="300"/>
      <c r="G944" s="301"/>
      <c r="H944" s="296"/>
      <c r="I944" s="302"/>
      <c r="J944" s="297"/>
    </row>
    <row r="945" spans="1:10" ht="17.25" customHeight="1" x14ac:dyDescent="0.2">
      <c r="A945" s="316">
        <v>942</v>
      </c>
      <c r="B945" s="298"/>
      <c r="C945" s="299"/>
      <c r="D945" s="295"/>
      <c r="E945" s="300"/>
      <c r="F945" s="300"/>
      <c r="G945" s="301"/>
      <c r="H945" s="296"/>
      <c r="I945" s="302"/>
      <c r="J945" s="297"/>
    </row>
    <row r="946" spans="1:10" ht="17.25" customHeight="1" x14ac:dyDescent="0.2">
      <c r="A946" s="316">
        <v>943</v>
      </c>
      <c r="B946" s="298"/>
      <c r="C946" s="299"/>
      <c r="D946" s="295"/>
      <c r="E946" s="300"/>
      <c r="F946" s="300"/>
      <c r="G946" s="301"/>
      <c r="H946" s="296"/>
      <c r="I946" s="302"/>
      <c r="J946" s="297"/>
    </row>
    <row r="947" spans="1:10" ht="17.25" customHeight="1" x14ac:dyDescent="0.2">
      <c r="A947" s="316">
        <v>944</v>
      </c>
      <c r="B947" s="298"/>
      <c r="C947" s="299"/>
      <c r="D947" s="295"/>
      <c r="E947" s="300"/>
      <c r="F947" s="300"/>
      <c r="G947" s="301"/>
      <c r="H947" s="296"/>
      <c r="I947" s="302"/>
      <c r="J947" s="297"/>
    </row>
    <row r="948" spans="1:10" ht="17.25" customHeight="1" x14ac:dyDescent="0.2">
      <c r="A948" s="316">
        <v>945</v>
      </c>
      <c r="B948" s="298"/>
      <c r="C948" s="299"/>
      <c r="D948" s="295"/>
      <c r="E948" s="300"/>
      <c r="F948" s="300"/>
      <c r="G948" s="301"/>
      <c r="H948" s="296"/>
      <c r="I948" s="302"/>
      <c r="J948" s="297"/>
    </row>
    <row r="949" spans="1:10" ht="17.25" customHeight="1" x14ac:dyDescent="0.2">
      <c r="A949" s="316">
        <v>946</v>
      </c>
      <c r="B949" s="298"/>
      <c r="C949" s="299"/>
      <c r="D949" s="295"/>
      <c r="E949" s="300"/>
      <c r="F949" s="300"/>
      <c r="G949" s="301"/>
      <c r="H949" s="296"/>
      <c r="I949" s="302"/>
      <c r="J949" s="297"/>
    </row>
    <row r="950" spans="1:10" ht="17.25" customHeight="1" x14ac:dyDescent="0.2">
      <c r="A950" s="316">
        <v>947</v>
      </c>
      <c r="B950" s="298"/>
      <c r="C950" s="299"/>
      <c r="D950" s="295"/>
      <c r="E950" s="300"/>
      <c r="F950" s="300"/>
      <c r="G950" s="301"/>
      <c r="H950" s="296"/>
      <c r="I950" s="302"/>
      <c r="J950" s="297"/>
    </row>
    <row r="951" spans="1:10" ht="17.25" customHeight="1" x14ac:dyDescent="0.2">
      <c r="A951" s="316">
        <v>948</v>
      </c>
      <c r="B951" s="298"/>
      <c r="C951" s="299"/>
      <c r="D951" s="295"/>
      <c r="E951" s="300"/>
      <c r="F951" s="300"/>
      <c r="G951" s="301"/>
      <c r="H951" s="296"/>
      <c r="I951" s="302"/>
      <c r="J951" s="297"/>
    </row>
    <row r="952" spans="1:10" ht="17.25" customHeight="1" x14ac:dyDescent="0.2">
      <c r="A952" s="316">
        <v>949</v>
      </c>
      <c r="B952" s="298"/>
      <c r="C952" s="299"/>
      <c r="D952" s="295"/>
      <c r="E952" s="300"/>
      <c r="F952" s="300"/>
      <c r="G952" s="301"/>
      <c r="H952" s="296"/>
      <c r="I952" s="302"/>
      <c r="J952" s="297"/>
    </row>
    <row r="953" spans="1:10" ht="17.25" customHeight="1" x14ac:dyDescent="0.2">
      <c r="A953" s="316">
        <v>950</v>
      </c>
      <c r="B953" s="298"/>
      <c r="C953" s="299"/>
      <c r="D953" s="295"/>
      <c r="E953" s="300"/>
      <c r="F953" s="300"/>
      <c r="G953" s="301"/>
      <c r="H953" s="296"/>
      <c r="I953" s="302"/>
      <c r="J953" s="297"/>
    </row>
    <row r="954" spans="1:10" ht="17.25" customHeight="1" x14ac:dyDescent="0.2">
      <c r="A954" s="316">
        <v>951</v>
      </c>
      <c r="B954" s="298"/>
      <c r="C954" s="299"/>
      <c r="D954" s="295"/>
      <c r="E954" s="300"/>
      <c r="F954" s="300"/>
      <c r="G954" s="301"/>
      <c r="H954" s="296"/>
      <c r="I954" s="302"/>
      <c r="J954" s="297"/>
    </row>
    <row r="955" spans="1:10" ht="17.25" customHeight="1" x14ac:dyDescent="0.2">
      <c r="A955" s="316">
        <v>952</v>
      </c>
      <c r="B955" s="298"/>
      <c r="C955" s="299"/>
      <c r="D955" s="295"/>
      <c r="E955" s="300"/>
      <c r="F955" s="300"/>
      <c r="G955" s="301"/>
      <c r="H955" s="296"/>
      <c r="I955" s="302"/>
      <c r="J955" s="297"/>
    </row>
    <row r="956" spans="1:10" ht="17.25" customHeight="1" x14ac:dyDescent="0.2">
      <c r="A956" s="316">
        <v>953</v>
      </c>
      <c r="B956" s="298"/>
      <c r="C956" s="299"/>
      <c r="D956" s="295"/>
      <c r="E956" s="300"/>
      <c r="F956" s="300"/>
      <c r="G956" s="301"/>
      <c r="H956" s="296"/>
      <c r="I956" s="302"/>
      <c r="J956" s="297"/>
    </row>
    <row r="957" spans="1:10" ht="17.25" customHeight="1" x14ac:dyDescent="0.2">
      <c r="A957" s="316">
        <v>954</v>
      </c>
      <c r="B957" s="298"/>
      <c r="C957" s="299"/>
      <c r="D957" s="295"/>
      <c r="E957" s="300"/>
      <c r="F957" s="300"/>
      <c r="G957" s="301"/>
      <c r="H957" s="296"/>
      <c r="I957" s="302"/>
      <c r="J957" s="297"/>
    </row>
    <row r="958" spans="1:10" ht="17.25" customHeight="1" x14ac:dyDescent="0.2">
      <c r="A958" s="316">
        <v>955</v>
      </c>
      <c r="B958" s="298"/>
      <c r="C958" s="299"/>
      <c r="D958" s="295"/>
      <c r="E958" s="300"/>
      <c r="F958" s="300"/>
      <c r="G958" s="301"/>
      <c r="H958" s="296"/>
      <c r="I958" s="302"/>
      <c r="J958" s="297"/>
    </row>
    <row r="959" spans="1:10" ht="17.25" customHeight="1" x14ac:dyDescent="0.2">
      <c r="A959" s="316">
        <v>956</v>
      </c>
      <c r="B959" s="298"/>
      <c r="C959" s="299"/>
      <c r="D959" s="295"/>
      <c r="E959" s="300"/>
      <c r="F959" s="300"/>
      <c r="G959" s="301"/>
      <c r="H959" s="296"/>
      <c r="I959" s="302"/>
      <c r="J959" s="297"/>
    </row>
    <row r="960" spans="1:10" ht="17.25" customHeight="1" x14ac:dyDescent="0.2">
      <c r="A960" s="316">
        <v>957</v>
      </c>
      <c r="B960" s="298"/>
      <c r="C960" s="299"/>
      <c r="D960" s="295"/>
      <c r="E960" s="300"/>
      <c r="F960" s="300"/>
      <c r="G960" s="301"/>
      <c r="H960" s="296"/>
      <c r="I960" s="302"/>
      <c r="J960" s="297"/>
    </row>
    <row r="961" spans="1:10" ht="17.25" customHeight="1" x14ac:dyDescent="0.2">
      <c r="A961" s="316">
        <v>958</v>
      </c>
      <c r="B961" s="298"/>
      <c r="C961" s="299"/>
      <c r="D961" s="295"/>
      <c r="E961" s="300"/>
      <c r="F961" s="300"/>
      <c r="G961" s="301"/>
      <c r="H961" s="296"/>
      <c r="I961" s="302"/>
      <c r="J961" s="297"/>
    </row>
    <row r="962" spans="1:10" ht="17.25" customHeight="1" x14ac:dyDescent="0.2">
      <c r="A962" s="316">
        <v>959</v>
      </c>
      <c r="B962" s="298"/>
      <c r="C962" s="299"/>
      <c r="D962" s="295"/>
      <c r="E962" s="300"/>
      <c r="F962" s="300"/>
      <c r="G962" s="301"/>
      <c r="H962" s="296"/>
      <c r="I962" s="302"/>
      <c r="J962" s="297"/>
    </row>
    <row r="963" spans="1:10" ht="17.25" customHeight="1" x14ac:dyDescent="0.2">
      <c r="A963" s="316">
        <v>960</v>
      </c>
      <c r="B963" s="298"/>
      <c r="C963" s="299"/>
      <c r="D963" s="295"/>
      <c r="E963" s="300"/>
      <c r="F963" s="300"/>
      <c r="G963" s="301"/>
      <c r="H963" s="296"/>
      <c r="I963" s="302"/>
      <c r="J963" s="297"/>
    </row>
    <row r="964" spans="1:10" ht="17.25" customHeight="1" x14ac:dyDescent="0.2">
      <c r="A964" s="316">
        <v>961</v>
      </c>
      <c r="B964" s="298"/>
      <c r="C964" s="299"/>
      <c r="D964" s="295"/>
      <c r="E964" s="300"/>
      <c r="F964" s="300"/>
      <c r="G964" s="301"/>
      <c r="H964" s="296"/>
      <c r="I964" s="302"/>
      <c r="J964" s="297"/>
    </row>
    <row r="965" spans="1:10" ht="17.25" customHeight="1" x14ac:dyDescent="0.2">
      <c r="A965" s="316">
        <v>962</v>
      </c>
      <c r="B965" s="298"/>
      <c r="C965" s="299"/>
      <c r="D965" s="295"/>
      <c r="E965" s="300"/>
      <c r="F965" s="300"/>
      <c r="G965" s="301"/>
      <c r="H965" s="296"/>
      <c r="I965" s="302"/>
      <c r="J965" s="297"/>
    </row>
    <row r="966" spans="1:10" ht="17.25" customHeight="1" x14ac:dyDescent="0.2">
      <c r="A966" s="316">
        <v>963</v>
      </c>
      <c r="B966" s="298"/>
      <c r="C966" s="299"/>
      <c r="D966" s="295"/>
      <c r="E966" s="300"/>
      <c r="F966" s="300"/>
      <c r="G966" s="301"/>
      <c r="H966" s="296"/>
      <c r="I966" s="302"/>
      <c r="J966" s="297"/>
    </row>
    <row r="967" spans="1:10" ht="17.25" customHeight="1" x14ac:dyDescent="0.2">
      <c r="A967" s="316">
        <v>964</v>
      </c>
      <c r="B967" s="298"/>
      <c r="C967" s="299"/>
      <c r="D967" s="295"/>
      <c r="E967" s="300"/>
      <c r="F967" s="300"/>
      <c r="G967" s="301"/>
      <c r="H967" s="296"/>
      <c r="I967" s="302"/>
      <c r="J967" s="297"/>
    </row>
    <row r="968" spans="1:10" ht="17.25" customHeight="1" x14ac:dyDescent="0.2">
      <c r="A968" s="316">
        <v>965</v>
      </c>
      <c r="B968" s="298"/>
      <c r="C968" s="299"/>
      <c r="D968" s="295"/>
      <c r="E968" s="300"/>
      <c r="F968" s="300"/>
      <c r="G968" s="301"/>
      <c r="H968" s="296"/>
      <c r="I968" s="302"/>
      <c r="J968" s="297"/>
    </row>
    <row r="969" spans="1:10" ht="17.25" customHeight="1" x14ac:dyDescent="0.2">
      <c r="A969" s="316">
        <v>966</v>
      </c>
      <c r="B969" s="298"/>
      <c r="C969" s="299"/>
      <c r="D969" s="295"/>
      <c r="E969" s="300"/>
      <c r="F969" s="300"/>
      <c r="G969" s="301"/>
      <c r="H969" s="296"/>
      <c r="I969" s="302"/>
      <c r="J969" s="297"/>
    </row>
    <row r="970" spans="1:10" ht="17.25" customHeight="1" x14ac:dyDescent="0.2">
      <c r="A970" s="316">
        <v>967</v>
      </c>
      <c r="B970" s="298"/>
      <c r="C970" s="299"/>
      <c r="D970" s="295"/>
      <c r="E970" s="300"/>
      <c r="F970" s="300"/>
      <c r="G970" s="301"/>
      <c r="H970" s="296"/>
      <c r="I970" s="302"/>
      <c r="J970" s="297"/>
    </row>
    <row r="971" spans="1:10" ht="17.25" customHeight="1" x14ac:dyDescent="0.2">
      <c r="A971" s="316">
        <v>968</v>
      </c>
      <c r="B971" s="298"/>
      <c r="C971" s="299"/>
      <c r="D971" s="295"/>
      <c r="E971" s="300"/>
      <c r="F971" s="300"/>
      <c r="G971" s="301"/>
      <c r="H971" s="296"/>
      <c r="I971" s="302"/>
      <c r="J971" s="297"/>
    </row>
    <row r="972" spans="1:10" ht="17.25" customHeight="1" x14ac:dyDescent="0.2">
      <c r="A972" s="316">
        <v>969</v>
      </c>
      <c r="B972" s="298"/>
      <c r="C972" s="299"/>
      <c r="D972" s="295"/>
      <c r="E972" s="300"/>
      <c r="F972" s="300"/>
      <c r="G972" s="301"/>
      <c r="H972" s="296"/>
      <c r="I972" s="302"/>
      <c r="J972" s="297"/>
    </row>
    <row r="973" spans="1:10" ht="17.25" customHeight="1" x14ac:dyDescent="0.2">
      <c r="A973" s="316">
        <v>970</v>
      </c>
      <c r="B973" s="298"/>
      <c r="C973" s="299"/>
      <c r="D973" s="295"/>
      <c r="E973" s="300"/>
      <c r="F973" s="300"/>
      <c r="G973" s="301"/>
      <c r="H973" s="296"/>
      <c r="I973" s="302"/>
      <c r="J973" s="297"/>
    </row>
    <row r="974" spans="1:10" ht="17.25" customHeight="1" x14ac:dyDescent="0.2">
      <c r="A974" s="316">
        <v>971</v>
      </c>
      <c r="B974" s="298"/>
      <c r="C974" s="299"/>
      <c r="D974" s="295"/>
      <c r="E974" s="300"/>
      <c r="F974" s="300"/>
      <c r="G974" s="301"/>
      <c r="H974" s="296"/>
      <c r="I974" s="302"/>
      <c r="J974" s="297"/>
    </row>
    <row r="975" spans="1:10" ht="17.25" customHeight="1" x14ac:dyDescent="0.2">
      <c r="A975" s="316">
        <v>972</v>
      </c>
      <c r="B975" s="298"/>
      <c r="C975" s="299"/>
      <c r="D975" s="295"/>
      <c r="E975" s="300"/>
      <c r="F975" s="300"/>
      <c r="G975" s="301"/>
      <c r="H975" s="296"/>
      <c r="I975" s="302"/>
      <c r="J975" s="297"/>
    </row>
    <row r="976" spans="1:10" ht="17.25" customHeight="1" x14ac:dyDescent="0.2">
      <c r="A976" s="316">
        <v>973</v>
      </c>
      <c r="B976" s="298"/>
      <c r="C976" s="299"/>
      <c r="D976" s="295"/>
      <c r="E976" s="300"/>
      <c r="F976" s="300"/>
      <c r="G976" s="301"/>
      <c r="H976" s="296"/>
      <c r="I976" s="302"/>
      <c r="J976" s="297"/>
    </row>
    <row r="977" spans="1:10" ht="17.25" customHeight="1" x14ac:dyDescent="0.2">
      <c r="A977" s="316">
        <v>974</v>
      </c>
      <c r="B977" s="298"/>
      <c r="C977" s="299"/>
      <c r="D977" s="295"/>
      <c r="E977" s="300"/>
      <c r="F977" s="300"/>
      <c r="G977" s="301"/>
      <c r="H977" s="296"/>
      <c r="I977" s="302"/>
      <c r="J977" s="297"/>
    </row>
    <row r="978" spans="1:10" ht="17.25" customHeight="1" x14ac:dyDescent="0.2">
      <c r="A978" s="316">
        <v>975</v>
      </c>
      <c r="B978" s="298"/>
      <c r="C978" s="299"/>
      <c r="D978" s="295"/>
      <c r="E978" s="300"/>
      <c r="F978" s="300"/>
      <c r="G978" s="301"/>
      <c r="H978" s="296"/>
      <c r="I978" s="302"/>
      <c r="J978" s="297"/>
    </row>
    <row r="979" spans="1:10" ht="17.25" customHeight="1" x14ac:dyDescent="0.2">
      <c r="A979" s="316">
        <v>976</v>
      </c>
      <c r="B979" s="298"/>
      <c r="C979" s="299"/>
      <c r="D979" s="295"/>
      <c r="E979" s="300"/>
      <c r="F979" s="300"/>
      <c r="G979" s="301"/>
      <c r="H979" s="296"/>
      <c r="I979" s="302"/>
      <c r="J979" s="297"/>
    </row>
    <row r="980" spans="1:10" ht="17.25" customHeight="1" x14ac:dyDescent="0.2">
      <c r="A980" s="316">
        <v>977</v>
      </c>
      <c r="B980" s="298"/>
      <c r="C980" s="299"/>
      <c r="D980" s="295"/>
      <c r="E980" s="300"/>
      <c r="F980" s="300"/>
      <c r="G980" s="301"/>
      <c r="H980" s="296"/>
      <c r="I980" s="302"/>
      <c r="J980" s="297"/>
    </row>
    <row r="981" spans="1:10" ht="17.25" customHeight="1" x14ac:dyDescent="0.2">
      <c r="A981" s="316">
        <v>978</v>
      </c>
      <c r="B981" s="298"/>
      <c r="C981" s="299"/>
      <c r="D981" s="295"/>
      <c r="E981" s="300"/>
      <c r="F981" s="300"/>
      <c r="G981" s="301"/>
      <c r="H981" s="296"/>
      <c r="I981" s="302"/>
      <c r="J981" s="297"/>
    </row>
    <row r="982" spans="1:10" ht="17.25" customHeight="1" x14ac:dyDescent="0.2">
      <c r="A982" s="316">
        <v>979</v>
      </c>
      <c r="B982" s="298"/>
      <c r="C982" s="299"/>
      <c r="D982" s="295"/>
      <c r="E982" s="300"/>
      <c r="F982" s="300"/>
      <c r="G982" s="301"/>
      <c r="H982" s="296"/>
      <c r="I982" s="302"/>
      <c r="J982" s="297"/>
    </row>
    <row r="983" spans="1:10" ht="17.25" customHeight="1" x14ac:dyDescent="0.2">
      <c r="A983" s="316">
        <v>980</v>
      </c>
      <c r="B983" s="298"/>
      <c r="C983" s="299"/>
      <c r="D983" s="295"/>
      <c r="E983" s="300"/>
      <c r="F983" s="300"/>
      <c r="G983" s="301"/>
      <c r="H983" s="296"/>
      <c r="I983" s="302"/>
      <c r="J983" s="297"/>
    </row>
    <row r="984" spans="1:10" ht="17.25" customHeight="1" x14ac:dyDescent="0.2">
      <c r="A984" s="316">
        <v>981</v>
      </c>
      <c r="B984" s="298"/>
      <c r="C984" s="299"/>
      <c r="D984" s="295"/>
      <c r="E984" s="300"/>
      <c r="F984" s="300"/>
      <c r="G984" s="301"/>
      <c r="H984" s="296"/>
      <c r="I984" s="302"/>
      <c r="J984" s="297"/>
    </row>
    <row r="985" spans="1:10" ht="17.25" customHeight="1" x14ac:dyDescent="0.2">
      <c r="A985" s="316">
        <v>982</v>
      </c>
      <c r="B985" s="298"/>
      <c r="C985" s="299"/>
      <c r="D985" s="295"/>
      <c r="E985" s="300"/>
      <c r="F985" s="300"/>
      <c r="G985" s="301"/>
      <c r="H985" s="296"/>
      <c r="I985" s="302"/>
      <c r="J985" s="297"/>
    </row>
    <row r="986" spans="1:10" ht="17.25" customHeight="1" x14ac:dyDescent="0.2">
      <c r="A986" s="316">
        <v>983</v>
      </c>
      <c r="B986" s="298"/>
      <c r="C986" s="299"/>
      <c r="D986" s="295"/>
      <c r="E986" s="300"/>
      <c r="F986" s="300"/>
      <c r="G986" s="301"/>
      <c r="H986" s="296"/>
      <c r="I986" s="302"/>
      <c r="J986" s="297"/>
    </row>
    <row r="987" spans="1:10" ht="17.25" customHeight="1" x14ac:dyDescent="0.2">
      <c r="A987" s="316">
        <v>984</v>
      </c>
      <c r="B987" s="298"/>
      <c r="C987" s="299"/>
      <c r="D987" s="295"/>
      <c r="E987" s="300"/>
      <c r="F987" s="300"/>
      <c r="G987" s="301"/>
      <c r="H987" s="296"/>
      <c r="I987" s="302"/>
      <c r="J987" s="297"/>
    </row>
    <row r="988" spans="1:10" ht="17.25" customHeight="1" x14ac:dyDescent="0.2">
      <c r="A988" s="316">
        <v>985</v>
      </c>
      <c r="B988" s="298"/>
      <c r="C988" s="299"/>
      <c r="D988" s="295"/>
      <c r="E988" s="300"/>
      <c r="F988" s="300"/>
      <c r="G988" s="301"/>
      <c r="H988" s="296"/>
      <c r="I988" s="302"/>
      <c r="J988" s="297"/>
    </row>
    <row r="989" spans="1:10" ht="17.25" customHeight="1" x14ac:dyDescent="0.2">
      <c r="A989" s="316">
        <v>986</v>
      </c>
      <c r="B989" s="298"/>
      <c r="C989" s="299"/>
      <c r="D989" s="295"/>
      <c r="E989" s="300"/>
      <c r="F989" s="300"/>
      <c r="G989" s="301"/>
      <c r="H989" s="296"/>
      <c r="I989" s="302"/>
      <c r="J989" s="297"/>
    </row>
    <row r="990" spans="1:10" ht="17.25" customHeight="1" x14ac:dyDescent="0.2">
      <c r="A990" s="316">
        <v>987</v>
      </c>
      <c r="B990" s="298"/>
      <c r="C990" s="299"/>
      <c r="D990" s="295"/>
      <c r="E990" s="300"/>
      <c r="F990" s="300"/>
      <c r="G990" s="301"/>
      <c r="H990" s="296"/>
      <c r="I990" s="302"/>
      <c r="J990" s="297"/>
    </row>
    <row r="991" spans="1:10" ht="17.25" customHeight="1" x14ac:dyDescent="0.2">
      <c r="A991" s="316">
        <v>988</v>
      </c>
      <c r="B991" s="298"/>
      <c r="C991" s="299"/>
      <c r="D991" s="295"/>
      <c r="E991" s="300"/>
      <c r="F991" s="300"/>
      <c r="G991" s="301"/>
      <c r="H991" s="296"/>
      <c r="I991" s="302"/>
      <c r="J991" s="297"/>
    </row>
    <row r="992" spans="1:10" ht="17.25" customHeight="1" x14ac:dyDescent="0.2">
      <c r="A992" s="316">
        <v>989</v>
      </c>
      <c r="B992" s="298"/>
      <c r="C992" s="299"/>
      <c r="D992" s="295"/>
      <c r="E992" s="300"/>
      <c r="F992" s="300"/>
      <c r="G992" s="301"/>
      <c r="H992" s="296"/>
      <c r="I992" s="302"/>
      <c r="J992" s="297"/>
    </row>
    <row r="993" spans="1:10" ht="17.25" customHeight="1" x14ac:dyDescent="0.2">
      <c r="A993" s="316">
        <v>990</v>
      </c>
      <c r="B993" s="298"/>
      <c r="C993" s="299"/>
      <c r="D993" s="295"/>
      <c r="E993" s="300"/>
      <c r="F993" s="300"/>
      <c r="G993" s="301"/>
      <c r="H993" s="296"/>
      <c r="I993" s="302"/>
      <c r="J993" s="297"/>
    </row>
    <row r="994" spans="1:10" ht="17.25" customHeight="1" x14ac:dyDescent="0.2">
      <c r="A994" s="316">
        <v>991</v>
      </c>
      <c r="B994" s="298"/>
      <c r="C994" s="299"/>
      <c r="D994" s="295"/>
      <c r="E994" s="300"/>
      <c r="F994" s="300"/>
      <c r="G994" s="301"/>
      <c r="H994" s="296"/>
      <c r="I994" s="302"/>
      <c r="J994" s="297"/>
    </row>
    <row r="995" spans="1:10" ht="17.25" customHeight="1" x14ac:dyDescent="0.2">
      <c r="A995" s="316">
        <v>992</v>
      </c>
      <c r="B995" s="298"/>
      <c r="C995" s="299"/>
      <c r="D995" s="295"/>
      <c r="E995" s="300"/>
      <c r="F995" s="300"/>
      <c r="G995" s="301"/>
      <c r="H995" s="296"/>
      <c r="I995" s="302"/>
      <c r="J995" s="297"/>
    </row>
    <row r="996" spans="1:10" ht="17.25" customHeight="1" x14ac:dyDescent="0.2">
      <c r="A996" s="316">
        <v>993</v>
      </c>
      <c r="B996" s="298"/>
      <c r="C996" s="299"/>
      <c r="D996" s="295"/>
      <c r="E996" s="300"/>
      <c r="F996" s="300"/>
      <c r="G996" s="301"/>
      <c r="H996" s="296"/>
      <c r="I996" s="302"/>
      <c r="J996" s="297"/>
    </row>
    <row r="997" spans="1:10" ht="17.25" customHeight="1" x14ac:dyDescent="0.2">
      <c r="A997" s="316">
        <v>994</v>
      </c>
      <c r="B997" s="298"/>
      <c r="C997" s="299"/>
      <c r="D997" s="295"/>
      <c r="E997" s="300"/>
      <c r="F997" s="300"/>
      <c r="G997" s="301"/>
      <c r="H997" s="296"/>
      <c r="I997" s="302"/>
      <c r="J997" s="297"/>
    </row>
    <row r="998" spans="1:10" ht="17.25" customHeight="1" x14ac:dyDescent="0.2">
      <c r="A998" s="316">
        <v>995</v>
      </c>
      <c r="B998" s="298"/>
      <c r="C998" s="299"/>
      <c r="D998" s="295"/>
      <c r="E998" s="300"/>
      <c r="F998" s="300"/>
      <c r="G998" s="301"/>
      <c r="H998" s="296"/>
      <c r="I998" s="302"/>
      <c r="J998" s="297"/>
    </row>
    <row r="999" spans="1:10" ht="17.25" customHeight="1" x14ac:dyDescent="0.2">
      <c r="A999" s="316">
        <v>996</v>
      </c>
      <c r="B999" s="298"/>
      <c r="C999" s="299"/>
      <c r="D999" s="295"/>
      <c r="E999" s="300"/>
      <c r="F999" s="300"/>
      <c r="G999" s="301"/>
      <c r="H999" s="296"/>
      <c r="I999" s="302"/>
      <c r="J999" s="297"/>
    </row>
    <row r="1000" spans="1:10" ht="17.25" customHeight="1" x14ac:dyDescent="0.2">
      <c r="A1000" s="316">
        <v>997</v>
      </c>
      <c r="B1000" s="298"/>
      <c r="C1000" s="299"/>
      <c r="D1000" s="295"/>
      <c r="E1000" s="300"/>
      <c r="F1000" s="300"/>
      <c r="G1000" s="301"/>
      <c r="H1000" s="296"/>
      <c r="I1000" s="302"/>
      <c r="J1000" s="297"/>
    </row>
    <row r="1001" spans="1:10" ht="17.25" customHeight="1" x14ac:dyDescent="0.2">
      <c r="A1001" s="316">
        <v>998</v>
      </c>
      <c r="B1001" s="298"/>
      <c r="C1001" s="299"/>
      <c r="D1001" s="295"/>
      <c r="E1001" s="300"/>
      <c r="F1001" s="300"/>
      <c r="G1001" s="301"/>
      <c r="H1001" s="296"/>
      <c r="I1001" s="302"/>
      <c r="J1001" s="297"/>
    </row>
    <row r="1002" spans="1:10" ht="17.25" customHeight="1" x14ac:dyDescent="0.2">
      <c r="A1002" s="316">
        <v>999</v>
      </c>
      <c r="B1002" s="298"/>
      <c r="C1002" s="299"/>
      <c r="D1002" s="295"/>
      <c r="E1002" s="300"/>
      <c r="F1002" s="300"/>
      <c r="G1002" s="301"/>
      <c r="H1002" s="296"/>
      <c r="I1002" s="302"/>
      <c r="J1002" s="297"/>
    </row>
    <row r="1003" spans="1:10" ht="17.25" customHeight="1" x14ac:dyDescent="0.2">
      <c r="A1003" s="316">
        <v>1000</v>
      </c>
      <c r="B1003" s="298"/>
      <c r="C1003" s="299"/>
      <c r="D1003" s="295"/>
      <c r="E1003" s="300"/>
      <c r="F1003" s="300"/>
      <c r="G1003" s="301"/>
      <c r="H1003" s="296"/>
      <c r="I1003" s="302"/>
      <c r="J1003" s="297"/>
    </row>
  </sheetData>
  <autoFilter ref="A3:J203"/>
  <mergeCells count="1">
    <mergeCell ref="A1:J1"/>
  </mergeCells>
  <dataValidations count="4">
    <dataValidation type="list" allowBlank="1" showInputMessage="1" showErrorMessage="1" sqref="D4:D1003">
      <formula1>$N$6:$N$12</formula1>
    </dataValidation>
    <dataValidation type="list" allowBlank="1" showInputMessage="1" showErrorMessage="1" sqref="L4 H4:H1003">
      <formula1>$M$6:$M$9</formula1>
    </dataValidation>
    <dataValidation type="list" allowBlank="1" showInputMessage="1" showErrorMessage="1" sqref="L5:L11">
      <formula1>$M$6:$M$8</formula1>
    </dataValidation>
    <dataValidation type="list" allowBlank="1" sqref="J4:J1003">
      <formula1>$O$6:$O$28</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GENEL HASILAT</vt:lpstr>
      <vt:lpstr>SAAT BAZLI ARAÇ DAĞILIMI</vt:lpstr>
      <vt:lpstr>ÜCRET GRUP ANALİZİ</vt:lpstr>
      <vt:lpstr>OTOPARK GİRİŞ-ÇIKIŞ</vt:lpstr>
      <vt:lpstr>ARAÇ SAYISI</vt:lpstr>
      <vt:lpstr>ABONE DURUMU</vt:lpstr>
      <vt:lpstr>KAYIP-ZORUNLU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ADB Otopark</cp:lastModifiedBy>
  <cp:lastPrinted>2007-04-02T05:01:32Z</cp:lastPrinted>
  <dcterms:created xsi:type="dcterms:W3CDTF">1999-05-26T11:21:22Z</dcterms:created>
  <dcterms:modified xsi:type="dcterms:W3CDTF">2024-10-21T09:43:59Z</dcterms:modified>
</cp:coreProperties>
</file>