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Papers/2018 Brand UK_US Paper/GitHub /"/>
    </mc:Choice>
  </mc:AlternateContent>
  <xr:revisionPtr revIDLastSave="0" documentId="13_ncr:1_{FB1390A3-1B4A-494A-91F5-8BA1F8AB126E}" xr6:coauthVersionLast="45" xr6:coauthVersionMax="45" xr10:uidLastSave="{00000000-0000-0000-0000-000000000000}"/>
  <bookViews>
    <workbookView xWindow="880" yWindow="460" windowWidth="32720" windowHeight="18920" xr2:uid="{3EB6AFBC-CED8-5F48-92DC-386F49599973}"/>
  </bookViews>
  <sheets>
    <sheet name="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9" i="1" l="1"/>
  <c r="H70" i="1"/>
  <c r="H2" i="1"/>
  <c r="N2" i="1"/>
  <c r="O2" i="1" s="1"/>
  <c r="P2" i="1" s="1"/>
  <c r="H3" i="1"/>
  <c r="N3" i="1"/>
  <c r="O3" i="1" s="1"/>
  <c r="P3" i="1" s="1"/>
  <c r="H4" i="1"/>
  <c r="N4" i="1"/>
  <c r="O4" i="1"/>
  <c r="P4" i="1" s="1"/>
  <c r="E6" i="1"/>
  <c r="F6" i="1"/>
  <c r="H6" i="1"/>
  <c r="N6" i="1"/>
  <c r="O6" i="1" s="1"/>
  <c r="P6" i="1" s="1"/>
  <c r="E7" i="1"/>
  <c r="E74" i="1" s="1"/>
  <c r="F7" i="1"/>
  <c r="H7" i="1"/>
  <c r="N7" i="1"/>
  <c r="O7" i="1" s="1"/>
  <c r="P7" i="1" s="1"/>
  <c r="E8" i="1"/>
  <c r="H8" i="1" s="1"/>
  <c r="F8" i="1"/>
  <c r="N8" i="1"/>
  <c r="O8" i="1" s="1"/>
  <c r="P8" i="1" s="1"/>
  <c r="H9" i="1"/>
  <c r="N9" i="1"/>
  <c r="O9" i="1" s="1"/>
  <c r="P9" i="1" s="1"/>
  <c r="H10" i="1"/>
  <c r="N10" i="1"/>
  <c r="O10" i="1" s="1"/>
  <c r="P10" i="1" s="1"/>
  <c r="H11" i="1"/>
  <c r="N11" i="1"/>
  <c r="O11" i="1"/>
  <c r="P11" i="1" s="1"/>
  <c r="H12" i="1"/>
  <c r="N12" i="1"/>
  <c r="O12" i="1"/>
  <c r="P12" i="1" s="1"/>
  <c r="E14" i="1"/>
  <c r="F14" i="1"/>
  <c r="H14" i="1"/>
  <c r="N14" i="1"/>
  <c r="O14" i="1" s="1"/>
  <c r="P14" i="1" s="1"/>
  <c r="E15" i="1"/>
  <c r="F15" i="1"/>
  <c r="H15" i="1"/>
  <c r="N15" i="1"/>
  <c r="O15" i="1" s="1"/>
  <c r="P15" i="1" s="1"/>
  <c r="H16" i="1"/>
  <c r="N16" i="1"/>
  <c r="O16" i="1" s="1"/>
  <c r="P16" i="1" s="1"/>
  <c r="E18" i="1"/>
  <c r="F18" i="1"/>
  <c r="H18" i="1"/>
  <c r="N18" i="1"/>
  <c r="O18" i="1" s="1"/>
  <c r="P18" i="1" s="1"/>
  <c r="E19" i="1"/>
  <c r="H19" i="1" s="1"/>
  <c r="F19" i="1"/>
  <c r="N19" i="1"/>
  <c r="O19" i="1" s="1"/>
  <c r="P19" i="1" s="1"/>
  <c r="H20" i="1"/>
  <c r="N20" i="1"/>
  <c r="O20" i="1" s="1"/>
  <c r="P20" i="1" s="1"/>
  <c r="H21" i="1"/>
  <c r="N21" i="1"/>
  <c r="O21" i="1" s="1"/>
  <c r="P21" i="1" s="1"/>
  <c r="H22" i="1"/>
  <c r="N22" i="1"/>
  <c r="O22" i="1"/>
  <c r="P22" i="1" s="1"/>
  <c r="H23" i="1"/>
  <c r="N23" i="1"/>
  <c r="O23" i="1"/>
  <c r="P23" i="1"/>
  <c r="H24" i="1"/>
  <c r="N24" i="1"/>
  <c r="O24" i="1"/>
  <c r="P24" i="1"/>
  <c r="R24" i="1" s="1"/>
  <c r="S24" i="1" s="1"/>
  <c r="Q24" i="1"/>
  <c r="H25" i="1"/>
  <c r="N25" i="1"/>
  <c r="O25" i="1"/>
  <c r="P25" i="1"/>
  <c r="H27" i="1"/>
  <c r="N27" i="1"/>
  <c r="O27" i="1"/>
  <c r="P27" i="1"/>
  <c r="R27" i="1" s="1"/>
  <c r="S27" i="1" s="1"/>
  <c r="H28" i="1"/>
  <c r="N28" i="1"/>
  <c r="O28" i="1"/>
  <c r="P28" i="1"/>
  <c r="R28" i="1"/>
  <c r="S28" i="1" s="1"/>
  <c r="H29" i="1"/>
  <c r="N29" i="1"/>
  <c r="O29" i="1"/>
  <c r="P29" i="1" s="1"/>
  <c r="H30" i="1"/>
  <c r="N30" i="1"/>
  <c r="O30" i="1"/>
  <c r="P30" i="1" s="1"/>
  <c r="E32" i="1"/>
  <c r="F32" i="1"/>
  <c r="H32" i="1"/>
  <c r="N32" i="1"/>
  <c r="O32" i="1" s="1"/>
  <c r="P32" i="1" s="1"/>
  <c r="E33" i="1"/>
  <c r="F33" i="1"/>
  <c r="H33" i="1"/>
  <c r="N33" i="1"/>
  <c r="O33" i="1"/>
  <c r="P33" i="1"/>
  <c r="R33" i="1" s="1"/>
  <c r="S33" i="1" s="1"/>
  <c r="Q33" i="1"/>
  <c r="E34" i="1"/>
  <c r="F34" i="1"/>
  <c r="H34" i="1"/>
  <c r="N34" i="1"/>
  <c r="O34" i="1"/>
  <c r="P34" i="1" s="1"/>
  <c r="E35" i="1"/>
  <c r="F35" i="1"/>
  <c r="H35" i="1"/>
  <c r="N35" i="1"/>
  <c r="O35" i="1"/>
  <c r="P35" i="1" s="1"/>
  <c r="E37" i="1"/>
  <c r="F37" i="1"/>
  <c r="H37" i="1"/>
  <c r="N37" i="1"/>
  <c r="O37" i="1" s="1"/>
  <c r="P37" i="1" s="1"/>
  <c r="E38" i="1"/>
  <c r="F38" i="1"/>
  <c r="H38" i="1"/>
  <c r="N38" i="1"/>
  <c r="O38" i="1" s="1"/>
  <c r="P38" i="1" s="1"/>
  <c r="H39" i="1"/>
  <c r="N39" i="1"/>
  <c r="O39" i="1" s="1"/>
  <c r="P39" i="1" s="1"/>
  <c r="H40" i="1"/>
  <c r="N40" i="1"/>
  <c r="O40" i="1"/>
  <c r="P40" i="1" s="1"/>
  <c r="H41" i="1"/>
  <c r="N41" i="1"/>
  <c r="O41" i="1"/>
  <c r="P41" i="1"/>
  <c r="H42" i="1"/>
  <c r="N42" i="1"/>
  <c r="O42" i="1"/>
  <c r="P42" i="1"/>
  <c r="R42" i="1" s="1"/>
  <c r="S42" i="1" s="1"/>
  <c r="Q42" i="1"/>
  <c r="E44" i="1"/>
  <c r="F44" i="1"/>
  <c r="H44" i="1"/>
  <c r="N44" i="1"/>
  <c r="O44" i="1"/>
  <c r="P44" i="1"/>
  <c r="Q44" i="1" s="1"/>
  <c r="E45" i="1"/>
  <c r="F45" i="1"/>
  <c r="H45" i="1"/>
  <c r="N45" i="1"/>
  <c r="O45" i="1"/>
  <c r="P45" i="1" s="1"/>
  <c r="H46" i="1"/>
  <c r="N46" i="1"/>
  <c r="O46" i="1"/>
  <c r="P46" i="1"/>
  <c r="Q46" i="1" s="1"/>
  <c r="E48" i="1"/>
  <c r="F48" i="1"/>
  <c r="H48" i="1"/>
  <c r="N48" i="1"/>
  <c r="O48" i="1" s="1"/>
  <c r="P48" i="1" s="1"/>
  <c r="E49" i="1"/>
  <c r="F49" i="1"/>
  <c r="N49" i="1"/>
  <c r="O49" i="1"/>
  <c r="P49" i="1"/>
  <c r="R49" i="1" s="1"/>
  <c r="S49" i="1" s="1"/>
  <c r="H50" i="1"/>
  <c r="N50" i="1"/>
  <c r="O50" i="1" s="1"/>
  <c r="P50" i="1" s="1"/>
  <c r="H51" i="1"/>
  <c r="N51" i="1"/>
  <c r="O51" i="1"/>
  <c r="P51" i="1"/>
  <c r="R51" i="1" s="1"/>
  <c r="S51" i="1" s="1"/>
  <c r="H52" i="1"/>
  <c r="N52" i="1"/>
  <c r="O52" i="1" s="1"/>
  <c r="P52" i="1" s="1"/>
  <c r="H53" i="1"/>
  <c r="N53" i="1"/>
  <c r="O53" i="1" s="1"/>
  <c r="P53" i="1" s="1"/>
  <c r="E55" i="1"/>
  <c r="H55" i="1"/>
  <c r="N55" i="1"/>
  <c r="O55" i="1" s="1"/>
  <c r="P55" i="1" s="1"/>
  <c r="E56" i="1"/>
  <c r="H56" i="1"/>
  <c r="N56" i="1"/>
  <c r="O56" i="1" s="1"/>
  <c r="P56" i="1" s="1"/>
  <c r="H57" i="1"/>
  <c r="N57" i="1"/>
  <c r="O57" i="1"/>
  <c r="P57" i="1" s="1"/>
  <c r="H58" i="1"/>
  <c r="N58" i="1"/>
  <c r="O58" i="1"/>
  <c r="P58" i="1"/>
  <c r="H59" i="1"/>
  <c r="N59" i="1"/>
  <c r="O59" i="1"/>
  <c r="P59" i="1"/>
  <c r="R59" i="1" s="1"/>
  <c r="S59" i="1" s="1"/>
  <c r="H60" i="1"/>
  <c r="N60" i="1"/>
  <c r="O60" i="1" s="1"/>
  <c r="P60" i="1" s="1"/>
  <c r="H61" i="1"/>
  <c r="Q61" i="1" s="1"/>
  <c r="N61" i="1"/>
  <c r="O61" i="1"/>
  <c r="P61" i="1"/>
  <c r="R61" i="1"/>
  <c r="S61" i="1" s="1"/>
  <c r="H62" i="1"/>
  <c r="N62" i="1"/>
  <c r="O62" i="1"/>
  <c r="P62" i="1"/>
  <c r="R62" i="1"/>
  <c r="S62" i="1" s="1"/>
  <c r="H63" i="1"/>
  <c r="N63" i="1"/>
  <c r="O63" i="1" s="1"/>
  <c r="P63" i="1" s="1"/>
  <c r="H64" i="1"/>
  <c r="N64" i="1"/>
  <c r="O64" i="1" s="1"/>
  <c r="P64" i="1" s="1"/>
  <c r="H65" i="1"/>
  <c r="N65" i="1"/>
  <c r="O65" i="1"/>
  <c r="P65" i="1" s="1"/>
  <c r="H66" i="1"/>
  <c r="N66" i="1"/>
  <c r="O66" i="1"/>
  <c r="P66" i="1"/>
  <c r="Q66" i="1" s="1"/>
  <c r="H67" i="1"/>
  <c r="N67" i="1"/>
  <c r="O67" i="1"/>
  <c r="P67" i="1"/>
  <c r="R67" i="1" s="1"/>
  <c r="S67" i="1" s="1"/>
  <c r="H68" i="1"/>
  <c r="Q68" i="1" s="1"/>
  <c r="N68" i="1"/>
  <c r="O68" i="1"/>
  <c r="P68" i="1"/>
  <c r="R68" i="1"/>
  <c r="S68" i="1" s="1"/>
  <c r="N69" i="1"/>
  <c r="O69" i="1"/>
  <c r="P69" i="1"/>
  <c r="R69" i="1"/>
  <c r="S69" i="1" s="1"/>
  <c r="N70" i="1"/>
  <c r="O70" i="1"/>
  <c r="P70" i="1"/>
  <c r="H71" i="1"/>
  <c r="N71" i="1"/>
  <c r="O71" i="1"/>
  <c r="P71" i="1"/>
  <c r="R71" i="1" s="1"/>
  <c r="S71" i="1" s="1"/>
  <c r="H72" i="1"/>
  <c r="Q72" i="1" s="1"/>
  <c r="N72" i="1"/>
  <c r="O72" i="1"/>
  <c r="P72" i="1"/>
  <c r="R72" i="1" s="1"/>
  <c r="S72" i="1" s="1"/>
  <c r="H73" i="1"/>
  <c r="N73" i="1"/>
  <c r="O73" i="1"/>
  <c r="P73" i="1"/>
  <c r="R73" i="1" s="1"/>
  <c r="S73" i="1" s="1"/>
  <c r="Q62" i="1" l="1"/>
  <c r="Q59" i="1"/>
  <c r="Q70" i="1"/>
  <c r="Q27" i="1"/>
  <c r="Q71" i="1"/>
  <c r="Q67" i="1"/>
  <c r="Q69" i="1"/>
  <c r="Q73" i="1"/>
  <c r="Q28" i="1"/>
  <c r="H49" i="1"/>
  <c r="R70" i="1"/>
  <c r="S70" i="1" s="1"/>
  <c r="Q23" i="1"/>
  <c r="Q58" i="1"/>
  <c r="Q51" i="1"/>
  <c r="Q49" i="1"/>
  <c r="Q25" i="1"/>
  <c r="Q41" i="1"/>
  <c r="Q40" i="1"/>
  <c r="R40" i="1"/>
  <c r="S40" i="1" s="1"/>
  <c r="Q16" i="1"/>
  <c r="R16" i="1"/>
  <c r="S16" i="1" s="1"/>
  <c r="Q4" i="1"/>
  <c r="R4" i="1"/>
  <c r="S4" i="1" s="1"/>
  <c r="Q53" i="1"/>
  <c r="R53" i="1"/>
  <c r="S53" i="1" s="1"/>
  <c r="Q37" i="1"/>
  <c r="R37" i="1"/>
  <c r="S37" i="1" s="1"/>
  <c r="Q19" i="1"/>
  <c r="R19" i="1"/>
  <c r="S19" i="1" s="1"/>
  <c r="Q10" i="1"/>
  <c r="R10" i="1"/>
  <c r="S10" i="1" s="1"/>
  <c r="Q65" i="1"/>
  <c r="R65" i="1"/>
  <c r="S65" i="1" s="1"/>
  <c r="Q7" i="1"/>
  <c r="R7" i="1"/>
  <c r="S7" i="1" s="1"/>
  <c r="Q34" i="1"/>
  <c r="R34" i="1"/>
  <c r="S34" i="1" s="1"/>
  <c r="R30" i="1"/>
  <c r="S30" i="1" s="1"/>
  <c r="Q30" i="1"/>
  <c r="Q22" i="1"/>
  <c r="R22" i="1"/>
  <c r="S22" i="1" s="1"/>
  <c r="Q15" i="1"/>
  <c r="R15" i="1"/>
  <c r="S15" i="1" s="1"/>
  <c r="Q12" i="1"/>
  <c r="R12" i="1"/>
  <c r="S12" i="1" s="1"/>
  <c r="R32" i="1"/>
  <c r="S32" i="1" s="1"/>
  <c r="Q32" i="1"/>
  <c r="Q64" i="1"/>
  <c r="R64" i="1"/>
  <c r="S64" i="1" s="1"/>
  <c r="Q52" i="1"/>
  <c r="R52" i="1"/>
  <c r="S52" i="1" s="1"/>
  <c r="Q48" i="1"/>
  <c r="R48" i="1"/>
  <c r="S48" i="1" s="1"/>
  <c r="Q39" i="1"/>
  <c r="R39" i="1"/>
  <c r="S39" i="1" s="1"/>
  <c r="Q9" i="1"/>
  <c r="R9" i="1"/>
  <c r="S9" i="1" s="1"/>
  <c r="Q3" i="1"/>
  <c r="R3" i="1"/>
  <c r="S3" i="1" s="1"/>
  <c r="Q55" i="1"/>
  <c r="R55" i="1"/>
  <c r="S55" i="1" s="1"/>
  <c r="Q14" i="1"/>
  <c r="R14" i="1"/>
  <c r="S14" i="1" s="1"/>
  <c r="Q56" i="1"/>
  <c r="R56" i="1"/>
  <c r="S56" i="1" s="1"/>
  <c r="Q50" i="1"/>
  <c r="R50" i="1"/>
  <c r="S50" i="1" s="1"/>
  <c r="Q45" i="1"/>
  <c r="R45" i="1"/>
  <c r="S45" i="1" s="1"/>
  <c r="Q18" i="1"/>
  <c r="R18" i="1"/>
  <c r="S18" i="1" s="1"/>
  <c r="Q6" i="1"/>
  <c r="R6" i="1"/>
  <c r="S6" i="1" s="1"/>
  <c r="Q20" i="1"/>
  <c r="R20" i="1"/>
  <c r="S20" i="1" s="1"/>
  <c r="Q57" i="1"/>
  <c r="R57" i="1"/>
  <c r="S57" i="1" s="1"/>
  <c r="Q63" i="1"/>
  <c r="R63" i="1"/>
  <c r="S63" i="1" s="1"/>
  <c r="Q60" i="1"/>
  <c r="R60" i="1"/>
  <c r="S60" i="1" s="1"/>
  <c r="Q38" i="1"/>
  <c r="R38" i="1"/>
  <c r="S38" i="1" s="1"/>
  <c r="Q35" i="1"/>
  <c r="R35" i="1"/>
  <c r="S35" i="1" s="1"/>
  <c r="R29" i="1"/>
  <c r="S29" i="1" s="1"/>
  <c r="Q29" i="1"/>
  <c r="Q21" i="1"/>
  <c r="R21" i="1"/>
  <c r="S21" i="1" s="1"/>
  <c r="Q8" i="1"/>
  <c r="R8" i="1"/>
  <c r="S8" i="1" s="1"/>
  <c r="Q2" i="1"/>
  <c r="R2" i="1"/>
  <c r="Q11" i="1"/>
  <c r="R11" i="1"/>
  <c r="S11" i="1" s="1"/>
  <c r="R66" i="1"/>
  <c r="S66" i="1" s="1"/>
  <c r="R58" i="1"/>
  <c r="S58" i="1" s="1"/>
  <c r="R46" i="1"/>
  <c r="S46" i="1" s="1"/>
  <c r="R44" i="1"/>
  <c r="S44" i="1" s="1"/>
  <c r="R41" i="1"/>
  <c r="S41" i="1" s="1"/>
  <c r="R25" i="1"/>
  <c r="S25" i="1" s="1"/>
  <c r="R23" i="1"/>
  <c r="S23" i="1" s="1"/>
  <c r="R74" i="1" l="1"/>
  <c r="T74" i="1" s="1"/>
  <c r="S2" i="1"/>
  <c r="S74" i="1" s="1"/>
</calcChain>
</file>

<file path=xl/sharedStrings.xml><?xml version="1.0" encoding="utf-8"?>
<sst xmlns="http://schemas.openxmlformats.org/spreadsheetml/2006/main" count="316" uniqueCount="234">
  <si>
    <t>chemical_code</t>
  </si>
  <si>
    <t>chemical</t>
  </si>
  <si>
    <t>UK Brand</t>
  </si>
  <si>
    <t>US Brand</t>
  </si>
  <si>
    <t>sum_cost_UK_pounds</t>
  </si>
  <si>
    <t>0208020Z0</t>
  </si>
  <si>
    <t>Apixaban</t>
  </si>
  <si>
    <t>Eliquis</t>
  </si>
  <si>
    <t>0208020Y0</t>
  </si>
  <si>
    <t>Rivaroxaban</t>
  </si>
  <si>
    <t>Xarelto</t>
  </si>
  <si>
    <t>0601023X0</t>
  </si>
  <si>
    <t>Sitagliptin</t>
  </si>
  <si>
    <t>Januvia</t>
  </si>
  <si>
    <t>0601011A0</t>
  </si>
  <si>
    <t>Insulin Aspart</t>
  </si>
  <si>
    <t xml:space="preserve">Novorapid </t>
  </si>
  <si>
    <t>Novorapid</t>
  </si>
  <si>
    <t>Novolog</t>
  </si>
  <si>
    <t xml:space="preserve"> Novorapid Pen</t>
  </si>
  <si>
    <t>Novorapid FlexPen</t>
  </si>
  <si>
    <t>Novolog FlexPen</t>
  </si>
  <si>
    <t>Fiasp</t>
  </si>
  <si>
    <t>Fiasp Pen</t>
  </si>
  <si>
    <t>Fiasp Flextouch</t>
  </si>
  <si>
    <t>0704020AB</t>
  </si>
  <si>
    <t>Solifenacin</t>
  </si>
  <si>
    <t>Vesicare</t>
  </si>
  <si>
    <t>0601023AE</t>
  </si>
  <si>
    <t>Linagliptin</t>
  </si>
  <si>
    <t>Tradjenta</t>
  </si>
  <si>
    <t>Liraglutide</t>
  </si>
  <si>
    <t>Victoza</t>
  </si>
  <si>
    <t>0601012W0</t>
  </si>
  <si>
    <t>Biphasic Insulin Aspart</t>
  </si>
  <si>
    <t xml:space="preserve">Novomix  </t>
  </si>
  <si>
    <t>Novolog Mix 70-30</t>
  </si>
  <si>
    <t>Novomix Pen</t>
  </si>
  <si>
    <t>Novolog Mix 70-30 Flexpen</t>
  </si>
  <si>
    <t>0601023AG</t>
  </si>
  <si>
    <t>Dapagliflozin</t>
  </si>
  <si>
    <t>Forxiga</t>
  </si>
  <si>
    <t>Farxiga</t>
  </si>
  <si>
    <t>0601012X0</t>
  </si>
  <si>
    <t>Insulin Detemir</t>
  </si>
  <si>
    <t xml:space="preserve">Levemir </t>
  </si>
  <si>
    <t>Levemir</t>
  </si>
  <si>
    <t>Levemir Flexpen</t>
  </si>
  <si>
    <t>Levemir Flextouch</t>
  </si>
  <si>
    <t>0803042N0</t>
  </si>
  <si>
    <t>Leuprorelin Acetate</t>
  </si>
  <si>
    <t>Prostap</t>
  </si>
  <si>
    <t>Lupron Depot</t>
  </si>
  <si>
    <t>0803042K0</t>
  </si>
  <si>
    <t>Goserelin Acetate</t>
  </si>
  <si>
    <t>Zoladex</t>
  </si>
  <si>
    <t>0601023AN</t>
  </si>
  <si>
    <t>Empagliflozin</t>
  </si>
  <si>
    <t>Jardiance</t>
  </si>
  <si>
    <t>0704020AE</t>
  </si>
  <si>
    <t>Mirabegron</t>
  </si>
  <si>
    <t>Betmiga</t>
  </si>
  <si>
    <t>Myrbetriq</t>
  </si>
  <si>
    <t>0209000Z0</t>
  </si>
  <si>
    <t>Ticagrelor</t>
  </si>
  <si>
    <t>Brilique</t>
  </si>
  <si>
    <t>Brilinta</t>
  </si>
  <si>
    <t>0601023AQ</t>
  </si>
  <si>
    <t>Dulaglutide</t>
  </si>
  <si>
    <t>Trulicity</t>
  </si>
  <si>
    <t>0601012D0</t>
  </si>
  <si>
    <t>Biphasic Isophane Insulin</t>
  </si>
  <si>
    <t>Ins Humulin M3</t>
  </si>
  <si>
    <t>Humulin M3</t>
  </si>
  <si>
    <t>Humulin 70-30</t>
  </si>
  <si>
    <t>Ins Humulin M3 KwikPen</t>
  </si>
  <si>
    <t>Humulin M3 Kwikpen</t>
  </si>
  <si>
    <t>Humulin 70/30 Kwikpen</t>
  </si>
  <si>
    <t>0208020X0</t>
  </si>
  <si>
    <t>Dabigatran Etexilate</t>
  </si>
  <si>
    <t>Pradaxa</t>
  </si>
  <si>
    <t>0301020T0</t>
  </si>
  <si>
    <t>Incruse Ellipta</t>
  </si>
  <si>
    <t>0601012F0</t>
  </si>
  <si>
    <t>Biphasic Insulin Lispro</t>
  </si>
  <si>
    <t>Humalog Mix 50-50</t>
  </si>
  <si>
    <t>Humalog Mix 50-50 Kwikpen</t>
  </si>
  <si>
    <t>Humalog Mix 75-25</t>
  </si>
  <si>
    <t>Humalog Mix 75-25 Kwikpen</t>
  </si>
  <si>
    <t>Ins Biphasic Lispro 50/50</t>
  </si>
  <si>
    <t>Ins Biphasic Lispro 50/50 Kwikpen</t>
  </si>
  <si>
    <t>Ins Biphasic Lispro 25/75</t>
  </si>
  <si>
    <t>Ins Biphasic Lispro 25/75 Kwikpen</t>
  </si>
  <si>
    <t>0601012S0</t>
  </si>
  <si>
    <t>Isophane Insulin</t>
  </si>
  <si>
    <t>Ins Humulin I</t>
  </si>
  <si>
    <t>Humulin I</t>
  </si>
  <si>
    <t>Ins Humulin I Kwikpen</t>
  </si>
  <si>
    <t>Humulin I Kwikpen</t>
  </si>
  <si>
    <t>0601023AM</t>
  </si>
  <si>
    <t>Canagliflozin</t>
  </si>
  <si>
    <t>Invokana</t>
  </si>
  <si>
    <t>0409010Z0</t>
  </si>
  <si>
    <t>Rotigotine</t>
  </si>
  <si>
    <t>Neupro</t>
  </si>
  <si>
    <t>0208020AA</t>
  </si>
  <si>
    <t>Edoxaban</t>
  </si>
  <si>
    <t>Lixiana</t>
  </si>
  <si>
    <t>Savaysa</t>
  </si>
  <si>
    <t>0206030Z0</t>
  </si>
  <si>
    <t>Ranolazine</t>
  </si>
  <si>
    <t>Ranexa</t>
  </si>
  <si>
    <t>0601012Z0</t>
  </si>
  <si>
    <t>Insulin Degludec</t>
  </si>
  <si>
    <t>Ins Tresiba Flextouch 100</t>
  </si>
  <si>
    <t>Tresiba Flextouch U-100</t>
  </si>
  <si>
    <t>Ins Tresiba Flextouch 200</t>
  </si>
  <si>
    <t>Tresiba Flextouch U-200</t>
  </si>
  <si>
    <t>0208010L0</t>
  </si>
  <si>
    <t>Dalteparin Sodium</t>
  </si>
  <si>
    <t>Fragmin</t>
  </si>
  <si>
    <t>0601023Y0</t>
  </si>
  <si>
    <t>Exenatide</t>
  </si>
  <si>
    <t>Bydureon_Inj 2mg Pdr + Pen</t>
  </si>
  <si>
    <t>Bydureon</t>
  </si>
  <si>
    <t>Byetta_Inj 5mcg/0.02ml + Byetta_Inj 10mcg/0.04ml</t>
  </si>
  <si>
    <t>Byetta</t>
  </si>
  <si>
    <t>0301020R0</t>
  </si>
  <si>
    <t>Aclidinium Bromide</t>
  </si>
  <si>
    <t>Eklira Genuair</t>
  </si>
  <si>
    <t>Tudorza Pressair</t>
  </si>
  <si>
    <t>0410020C0</t>
  </si>
  <si>
    <t>Varenicline Tartrate</t>
  </si>
  <si>
    <t>Champix</t>
  </si>
  <si>
    <t>Chantix</t>
  </si>
  <si>
    <t>0606020Z0</t>
  </si>
  <si>
    <t>Denosumab</t>
  </si>
  <si>
    <t>Xgeva_Inj 70mg/ml 1.7ml Vl</t>
  </si>
  <si>
    <t>Xgeva</t>
  </si>
  <si>
    <t>0604020T0</t>
  </si>
  <si>
    <t>Testosterone Undecanoate</t>
  </si>
  <si>
    <t>Nebido</t>
  </si>
  <si>
    <t>Aveed</t>
  </si>
  <si>
    <t>Prolia_Inj 60mg/1ml Pfs</t>
  </si>
  <si>
    <t>Prolia</t>
  </si>
  <si>
    <t>0703022P0</t>
  </si>
  <si>
    <t>Etonogestrel</t>
  </si>
  <si>
    <t>Nexplanon</t>
  </si>
  <si>
    <t>0501070X0</t>
  </si>
  <si>
    <t>Rifaximin</t>
  </si>
  <si>
    <t>Xifaxanta/Targaxan</t>
  </si>
  <si>
    <t>Xifaxan</t>
  </si>
  <si>
    <t>0205052AE</t>
  </si>
  <si>
    <t>Sacubitril/Valsartan</t>
  </si>
  <si>
    <t>Entresto</t>
  </si>
  <si>
    <t>0601023AC</t>
  </si>
  <si>
    <t>Saxagliptin</t>
  </si>
  <si>
    <t>Onglyza</t>
  </si>
  <si>
    <t>0905012I0</t>
  </si>
  <si>
    <t>Cinacalcet Hydrochloride</t>
  </si>
  <si>
    <t>Mimpara</t>
  </si>
  <si>
    <t>Sensipar</t>
  </si>
  <si>
    <t>0301040Y0</t>
  </si>
  <si>
    <t>Indacaterol/Glycopyrronium</t>
  </si>
  <si>
    <t>Ultibro Breezhaler </t>
  </si>
  <si>
    <t>Utibron Neohaler</t>
  </si>
  <si>
    <t>0404000U0</t>
  </si>
  <si>
    <t>Lisdexamfetamine Dimesylate</t>
  </si>
  <si>
    <t>Elvanse</t>
  </si>
  <si>
    <t>Vyvanse</t>
  </si>
  <si>
    <t>0407020AG</t>
  </si>
  <si>
    <t>Tapentadol Hydrochloride</t>
  </si>
  <si>
    <t>Palexia</t>
  </si>
  <si>
    <t>Nucynta</t>
  </si>
  <si>
    <t>0704020AD</t>
  </si>
  <si>
    <t>Fesoterodine Fumarate</t>
  </si>
  <si>
    <t>Toviaz</t>
  </si>
  <si>
    <t>0409010A0</t>
  </si>
  <si>
    <t>Apomorphine Hydrochloride</t>
  </si>
  <si>
    <t>APO-Go</t>
  </si>
  <si>
    <t>Apokyn</t>
  </si>
  <si>
    <t>0601023AD</t>
  </si>
  <si>
    <t>Metformin Hydrochloride/Sitagliptin</t>
  </si>
  <si>
    <t>Janumet</t>
  </si>
  <si>
    <t>0408010AK</t>
  </si>
  <si>
    <t>Perampanel</t>
  </si>
  <si>
    <t>Fycompa</t>
  </si>
  <si>
    <t>0307000K0</t>
  </si>
  <si>
    <t>Dornase Alfa</t>
  </si>
  <si>
    <t>Pulmozyme</t>
  </si>
  <si>
    <t>0301040X0</t>
  </si>
  <si>
    <t>Tiotropium Brom/Olodaterol</t>
  </si>
  <si>
    <t>Stiolto Respimat</t>
  </si>
  <si>
    <t>0803043P0</t>
  </si>
  <si>
    <t>Lanreotide</t>
  </si>
  <si>
    <t>Somatuline Depot</t>
  </si>
  <si>
    <t>0601023AI</t>
  </si>
  <si>
    <t>Lixisenatide</t>
  </si>
  <si>
    <t>Lyxumia</t>
  </si>
  <si>
    <t>Adlyxin</t>
  </si>
  <si>
    <t>sum_cost_US_USD</t>
  </si>
  <si>
    <t>sum_quantity_UK</t>
  </si>
  <si>
    <t>sum_items_UK</t>
  </si>
  <si>
    <t>sum_quantity_US</t>
  </si>
  <si>
    <t>disp_adj_sum_cost_US_USD</t>
  </si>
  <si>
    <t>rebate_adj_sum_cost_US_USD</t>
  </si>
  <si>
    <t>sum_claims_US</t>
  </si>
  <si>
    <t>Bydureon Pen</t>
  </si>
  <si>
    <t>US/UK Price Ratio</t>
  </si>
  <si>
    <t>antimuscarinic medications</t>
  </si>
  <si>
    <t>Somatuline Autogel</t>
  </si>
  <si>
    <t>0301040W0</t>
  </si>
  <si>
    <t>Umeclidinium/Vilanterol</t>
  </si>
  <si>
    <t>Anoro Ellipta</t>
  </si>
  <si>
    <t>adj_US_cost_per_unit_pounds</t>
  </si>
  <si>
    <t>UK_cost_per_unit_pounds</t>
  </si>
  <si>
    <t>insulin diabetes medications</t>
  </si>
  <si>
    <t>inhalers</t>
  </si>
  <si>
    <t>non-insulin diabetes medications</t>
  </si>
  <si>
    <t>other</t>
  </si>
  <si>
    <t>anticoagulants</t>
  </si>
  <si>
    <t>dopamine agonists</t>
  </si>
  <si>
    <t>drug class</t>
  </si>
  <si>
    <t>Projected UK Spending in Pounds</t>
  </si>
  <si>
    <t>Projected UK Spending Difference in Pounds</t>
  </si>
  <si>
    <t xml:space="preserve">Umeclidinium Bromide </t>
  </si>
  <si>
    <t>Humulin N</t>
  </si>
  <si>
    <t>Humulin N Kwikpen</t>
  </si>
  <si>
    <t>GnRH agonists</t>
  </si>
  <si>
    <t>Triptorelin Emboate/Pamoate</t>
  </si>
  <si>
    <t>0803042S0</t>
  </si>
  <si>
    <t>Trelstar</t>
  </si>
  <si>
    <t>Salvacyl/Decapetyl</t>
  </si>
  <si>
    <t>0601023AB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</si>
</sst>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£-809]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sz val="12"/>
      <color rgb="FF222222"/>
      <name val="Garamond"/>
      <family val="1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" fontId="0" fillId="0" borderId="0" xfId="0" applyNumberFormat="1" applyBorder="1"/>
    <xf numFmtId="0" fontId="6" fillId="0" borderId="0" xfId="0" applyFont="1"/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top"/>
    </xf>
    <xf numFmtId="165" fontId="2" fillId="0" borderId="0" xfId="0" applyNumberFormat="1" applyFont="1" applyFill="1" applyAlignment="1">
      <alignment horizontal="center" vertical="top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2AA4-7CEA-4443-92E8-DF0C69DFBFA4}">
  <dimension ref="A1:T105"/>
  <sheetViews>
    <sheetView tabSelected="1" topLeftCell="A10" zoomScale="97" zoomScaleNormal="97" workbookViewId="0">
      <selection activeCell="C18" sqref="C18"/>
    </sheetView>
  </sheetViews>
  <sheetFormatPr baseColWidth="10" defaultRowHeight="16" x14ac:dyDescent="0.2"/>
  <cols>
    <col min="1" max="1" width="28.6640625" style="1" customWidth="1"/>
    <col min="2" max="2" width="14.5" style="1" customWidth="1"/>
    <col min="3" max="4" width="44.6640625" style="1" customWidth="1"/>
    <col min="5" max="5" width="22" style="11" customWidth="1"/>
    <col min="6" max="6" width="15" style="1" customWidth="1"/>
    <col min="7" max="7" width="21.33203125" style="1" customWidth="1"/>
    <col min="8" max="8" width="24.83203125" style="7" customWidth="1"/>
    <col min="9" max="9" width="28.1640625" style="1" customWidth="1"/>
    <col min="10" max="10" width="30.6640625" style="1" customWidth="1"/>
    <col min="11" max="11" width="23.1640625" style="7" customWidth="1"/>
    <col min="12" max="12" width="24.83203125" style="1" customWidth="1"/>
    <col min="13" max="13" width="21.83203125" style="1" customWidth="1"/>
    <col min="14" max="14" width="34.5" style="1" customWidth="1"/>
    <col min="15" max="15" width="28.6640625" style="1" customWidth="1"/>
    <col min="16" max="16" width="28" style="1" customWidth="1"/>
    <col min="17" max="17" width="21.6640625" style="10" customWidth="1"/>
    <col min="18" max="18" width="32.1640625" style="11" customWidth="1"/>
    <col min="19" max="19" width="44.1640625" style="1" customWidth="1"/>
    <col min="20" max="20" width="15.1640625" style="1" customWidth="1"/>
    <col min="21" max="16384" width="10.83203125" style="1"/>
  </cols>
  <sheetData>
    <row r="1" spans="1:20" x14ac:dyDescent="0.2">
      <c r="A1" s="2"/>
      <c r="B1" s="13" t="s">
        <v>0</v>
      </c>
      <c r="C1" s="13" t="s">
        <v>1</v>
      </c>
      <c r="D1" s="13" t="s">
        <v>222</v>
      </c>
      <c r="E1" s="14" t="s">
        <v>4</v>
      </c>
      <c r="F1" s="13" t="s">
        <v>202</v>
      </c>
      <c r="G1" s="13" t="s">
        <v>201</v>
      </c>
      <c r="H1" s="15" t="s">
        <v>215</v>
      </c>
      <c r="I1" s="13" t="s">
        <v>2</v>
      </c>
      <c r="J1" s="13" t="s">
        <v>3</v>
      </c>
      <c r="K1" s="15" t="s">
        <v>200</v>
      </c>
      <c r="L1" s="16" t="s">
        <v>203</v>
      </c>
      <c r="M1" s="16" t="s">
        <v>206</v>
      </c>
      <c r="N1" s="13" t="s">
        <v>205</v>
      </c>
      <c r="O1" s="13" t="s">
        <v>204</v>
      </c>
      <c r="P1" s="13" t="s">
        <v>214</v>
      </c>
      <c r="Q1" s="17" t="s">
        <v>208</v>
      </c>
      <c r="R1" s="18" t="s">
        <v>223</v>
      </c>
      <c r="S1" s="16" t="s">
        <v>224</v>
      </c>
      <c r="T1" s="2"/>
    </row>
    <row r="2" spans="1:20" x14ac:dyDescent="0.2">
      <c r="A2" s="2">
        <v>1</v>
      </c>
      <c r="B2" s="2" t="s">
        <v>5</v>
      </c>
      <c r="C2" s="2" t="s">
        <v>6</v>
      </c>
      <c r="D2" s="2" t="s">
        <v>220</v>
      </c>
      <c r="E2" s="19">
        <v>206904582.45227</v>
      </c>
      <c r="F2" s="2">
        <v>4560045</v>
      </c>
      <c r="G2" s="2">
        <v>234467170</v>
      </c>
      <c r="H2" s="19">
        <f>E2/G2</f>
        <v>0.88244585564908729</v>
      </c>
      <c r="I2" s="2" t="s">
        <v>7</v>
      </c>
      <c r="J2" s="2" t="s">
        <v>7</v>
      </c>
      <c r="K2" s="20">
        <v>4992184164.3999996</v>
      </c>
      <c r="L2" s="21">
        <v>713809248.77999997</v>
      </c>
      <c r="M2" s="21">
        <v>9091996</v>
      </c>
      <c r="N2" s="22">
        <f>K2*0.563</f>
        <v>2810599684.5571995</v>
      </c>
      <c r="O2" s="22">
        <f>N2-(2.5)*M2</f>
        <v>2787869694.5571995</v>
      </c>
      <c r="P2" s="19">
        <f>(O2/L2)*0.75</f>
        <v>2.9292171185671028</v>
      </c>
      <c r="Q2" s="23">
        <f>P2/H2</f>
        <v>3.3194298548917804</v>
      </c>
      <c r="R2" s="19">
        <f>P2*G2</f>
        <v>686805248.10598302</v>
      </c>
      <c r="S2" s="19">
        <f>R2-E2</f>
        <v>479900665.65371299</v>
      </c>
      <c r="T2" s="2"/>
    </row>
    <row r="3" spans="1:20" x14ac:dyDescent="0.2">
      <c r="A3" s="2">
        <v>2</v>
      </c>
      <c r="B3" s="2" t="s">
        <v>8</v>
      </c>
      <c r="C3" s="2" t="s">
        <v>9</v>
      </c>
      <c r="D3" s="2" t="s">
        <v>220</v>
      </c>
      <c r="E3" s="19">
        <v>180187459.84661999</v>
      </c>
      <c r="F3" s="2">
        <v>3912605</v>
      </c>
      <c r="G3" s="2">
        <v>107997262</v>
      </c>
      <c r="H3" s="19">
        <f>E3/G3</f>
        <v>1.6684447041501849</v>
      </c>
      <c r="I3" s="2" t="s">
        <v>10</v>
      </c>
      <c r="J3" s="2" t="s">
        <v>10</v>
      </c>
      <c r="K3" s="20">
        <v>3358810708</v>
      </c>
      <c r="L3" s="21">
        <v>240480958.00999999</v>
      </c>
      <c r="M3" s="21">
        <v>5896570</v>
      </c>
      <c r="N3" s="22">
        <f t="shared" ref="N3:N66" si="0">K3*0.563</f>
        <v>1891010428.6039999</v>
      </c>
      <c r="O3" s="22">
        <f t="shared" ref="O3:O66" si="1">N3-(2.5)*M3</f>
        <v>1876269003.6039999</v>
      </c>
      <c r="P3" s="19">
        <f t="shared" ref="P3:P66" si="2">(O3/L3)*0.75</f>
        <v>5.8516140502254803</v>
      </c>
      <c r="Q3" s="23">
        <f t="shared" ref="Q3:Q66" si="3">P3/H3</f>
        <v>3.5072268416626819</v>
      </c>
      <c r="R3" s="19">
        <f t="shared" ref="R3:R66" si="4">P3*G3</f>
        <v>631958295.7050823</v>
      </c>
      <c r="S3" s="19">
        <f t="shared" ref="S3:S66" si="5">R3-E3</f>
        <v>451770835.85846233</v>
      </c>
      <c r="T3" s="2"/>
    </row>
    <row r="4" spans="1:20" ht="17" x14ac:dyDescent="0.2">
      <c r="A4" s="2">
        <v>3</v>
      </c>
      <c r="B4" s="2" t="s">
        <v>11</v>
      </c>
      <c r="C4" s="2" t="s">
        <v>12</v>
      </c>
      <c r="D4" s="24" t="s">
        <v>218</v>
      </c>
      <c r="E4" s="19">
        <v>85744111.75617002</v>
      </c>
      <c r="F4" s="2">
        <v>2537251</v>
      </c>
      <c r="G4" s="2">
        <v>77713778</v>
      </c>
      <c r="H4" s="19">
        <f>E4/G4</f>
        <v>1.1033321756171732</v>
      </c>
      <c r="I4" s="2" t="s">
        <v>13</v>
      </c>
      <c r="J4" s="2" t="s">
        <v>13</v>
      </c>
      <c r="K4" s="20">
        <v>3228917720.1999998</v>
      </c>
      <c r="L4" s="21">
        <v>226815825.55000001</v>
      </c>
      <c r="M4" s="21">
        <v>4819533</v>
      </c>
      <c r="N4" s="22">
        <f t="shared" si="0"/>
        <v>1817880676.4725997</v>
      </c>
      <c r="O4" s="22">
        <f t="shared" si="1"/>
        <v>1805831843.9725997</v>
      </c>
      <c r="P4" s="19">
        <f t="shared" si="2"/>
        <v>5.9712494914993801</v>
      </c>
      <c r="Q4" s="23">
        <f t="shared" si="3"/>
        <v>5.4120142813375578</v>
      </c>
      <c r="R4" s="19">
        <f t="shared" si="4"/>
        <v>464048357.36499572</v>
      </c>
      <c r="S4" s="19">
        <f t="shared" si="5"/>
        <v>378304245.60882568</v>
      </c>
      <c r="T4" s="2"/>
    </row>
    <row r="5" spans="1:20" x14ac:dyDescent="0.2">
      <c r="A5" s="2">
        <v>4</v>
      </c>
      <c r="B5" s="2" t="s">
        <v>14</v>
      </c>
      <c r="C5" s="2" t="s">
        <v>15</v>
      </c>
      <c r="D5" s="2" t="s">
        <v>216</v>
      </c>
      <c r="E5" s="19"/>
      <c r="F5" s="2"/>
      <c r="G5" s="2"/>
      <c r="H5" s="19"/>
      <c r="I5" s="2"/>
      <c r="J5" s="2"/>
      <c r="K5" s="25"/>
      <c r="L5" s="26"/>
      <c r="M5" s="26"/>
      <c r="N5" s="22"/>
      <c r="O5" s="22"/>
      <c r="P5" s="19"/>
      <c r="Q5" s="23"/>
      <c r="R5" s="19"/>
      <c r="S5" s="19"/>
      <c r="T5" s="2"/>
    </row>
    <row r="6" spans="1:20" x14ac:dyDescent="0.2">
      <c r="A6" s="2"/>
      <c r="B6" s="2"/>
      <c r="C6" s="2" t="s">
        <v>16</v>
      </c>
      <c r="D6" s="2"/>
      <c r="E6" s="19">
        <f>SUM(7653834.42327999+2699958.07922999+493806.11937+221777.21768+27599130.8621899+18164.7171499999)</f>
        <v>38686671.418899886</v>
      </c>
      <c r="F6" s="2">
        <f>SUM(146677+64110+10484+4028+630240+393)</f>
        <v>855932</v>
      </c>
      <c r="G6" s="2">
        <v>23464039.400000002</v>
      </c>
      <c r="H6" s="19">
        <f t="shared" ref="H6:H12" si="6">E6/G6</f>
        <v>1.6487643393106424</v>
      </c>
      <c r="I6" s="2" t="s">
        <v>17</v>
      </c>
      <c r="J6" s="2" t="s">
        <v>18</v>
      </c>
      <c r="K6" s="20">
        <v>694913262.07000005</v>
      </c>
      <c r="L6" s="21">
        <v>24316864.857999999</v>
      </c>
      <c r="M6" s="21">
        <v>1189463</v>
      </c>
      <c r="N6" s="22">
        <f t="shared" si="0"/>
        <v>391236166.54540998</v>
      </c>
      <c r="O6" s="22">
        <f t="shared" si="1"/>
        <v>388262509.04540998</v>
      </c>
      <c r="P6" s="19">
        <f t="shared" si="2"/>
        <v>11.97509972953017</v>
      </c>
      <c r="Q6" s="23">
        <f t="shared" si="3"/>
        <v>7.2630754098775734</v>
      </c>
      <c r="R6" s="19">
        <f t="shared" si="4"/>
        <v>280984211.87262529</v>
      </c>
      <c r="S6" s="19">
        <f t="shared" si="5"/>
        <v>242297540.4537254</v>
      </c>
      <c r="T6" s="19"/>
    </row>
    <row r="7" spans="1:20" x14ac:dyDescent="0.2">
      <c r="A7" s="2"/>
      <c r="B7" s="2"/>
      <c r="C7" s="2" t="s">
        <v>19</v>
      </c>
      <c r="D7" s="2"/>
      <c r="E7" s="19">
        <f>SUM(184862.588609999+35645258.8291)</f>
        <v>35830121.417709999</v>
      </c>
      <c r="F7" s="2">
        <f>SUM(4544+892101)</f>
        <v>896645</v>
      </c>
      <c r="G7" s="2">
        <v>18921792</v>
      </c>
      <c r="H7" s="19">
        <f t="shared" si="6"/>
        <v>1.8935902803344418</v>
      </c>
      <c r="I7" s="2" t="s">
        <v>20</v>
      </c>
      <c r="J7" s="2" t="s">
        <v>21</v>
      </c>
      <c r="K7" s="20">
        <v>1712623585.0999999</v>
      </c>
      <c r="L7" s="21">
        <v>47016576.200000003</v>
      </c>
      <c r="M7" s="21">
        <v>2353586</v>
      </c>
      <c r="N7" s="22">
        <f t="shared" si="0"/>
        <v>964207078.41129982</v>
      </c>
      <c r="O7" s="22">
        <f t="shared" si="1"/>
        <v>958323113.41129982</v>
      </c>
      <c r="P7" s="19">
        <f t="shared" si="2"/>
        <v>15.286998610895765</v>
      </c>
      <c r="Q7" s="23">
        <f t="shared" si="3"/>
        <v>8.0730233829652995</v>
      </c>
      <c r="R7" s="19">
        <f t="shared" si="4"/>
        <v>289257408.01965857</v>
      </c>
      <c r="S7" s="19">
        <f t="shared" si="5"/>
        <v>253427286.60194856</v>
      </c>
      <c r="T7" s="2"/>
    </row>
    <row r="8" spans="1:20" x14ac:dyDescent="0.2">
      <c r="A8" s="2"/>
      <c r="B8" s="2"/>
      <c r="C8" s="2" t="s">
        <v>22</v>
      </c>
      <c r="D8" s="2"/>
      <c r="E8" s="19">
        <f>SUM(312369.864269999+348374.27014)</f>
        <v>660744.13440999901</v>
      </c>
      <c r="F8" s="2">
        <f>SUM(8614+7140)</f>
        <v>15754</v>
      </c>
      <c r="G8" s="2">
        <v>444870</v>
      </c>
      <c r="H8" s="19">
        <f t="shared" si="6"/>
        <v>1.4852521734664037</v>
      </c>
      <c r="I8" s="2" t="s">
        <v>22</v>
      </c>
      <c r="J8" s="3" t="s">
        <v>22</v>
      </c>
      <c r="K8" s="20">
        <v>2007797.85</v>
      </c>
      <c r="L8" s="21">
        <v>71417</v>
      </c>
      <c r="M8" s="21">
        <v>2013</v>
      </c>
      <c r="N8" s="22">
        <f t="shared" si="0"/>
        <v>1130390.18955</v>
      </c>
      <c r="O8" s="22">
        <f t="shared" si="1"/>
        <v>1125357.68955</v>
      </c>
      <c r="P8" s="19">
        <f t="shared" si="2"/>
        <v>11.818170283860985</v>
      </c>
      <c r="Q8" s="23">
        <f t="shared" si="3"/>
        <v>7.9570126171091653</v>
      </c>
      <c r="R8" s="19">
        <f t="shared" si="4"/>
        <v>5257549.4141812362</v>
      </c>
      <c r="S8" s="19">
        <f t="shared" si="5"/>
        <v>4596805.2797712367</v>
      </c>
      <c r="T8" s="2"/>
    </row>
    <row r="9" spans="1:20" x14ac:dyDescent="0.2">
      <c r="A9" s="2"/>
      <c r="B9" s="2"/>
      <c r="C9" s="2" t="s">
        <v>23</v>
      </c>
      <c r="D9" s="2"/>
      <c r="E9" s="19">
        <v>596051.94062999997</v>
      </c>
      <c r="F9" s="2">
        <v>17027</v>
      </c>
      <c r="G9" s="2">
        <v>314727</v>
      </c>
      <c r="H9" s="19">
        <f t="shared" si="6"/>
        <v>1.8938697367242086</v>
      </c>
      <c r="I9" s="2" t="s">
        <v>24</v>
      </c>
      <c r="J9" s="3" t="s">
        <v>24</v>
      </c>
      <c r="K9" s="20">
        <v>5448962.04</v>
      </c>
      <c r="L9" s="21">
        <v>147932</v>
      </c>
      <c r="M9" s="21">
        <v>6181</v>
      </c>
      <c r="N9" s="22">
        <f t="shared" si="0"/>
        <v>3067765.6285199998</v>
      </c>
      <c r="O9" s="22">
        <f t="shared" si="1"/>
        <v>3052313.1285199998</v>
      </c>
      <c r="P9" s="19">
        <f t="shared" si="2"/>
        <v>15.474913111361976</v>
      </c>
      <c r="Q9" s="23">
        <f t="shared" si="3"/>
        <v>8.1710546460965414</v>
      </c>
      <c r="R9" s="19">
        <f t="shared" si="4"/>
        <v>4870372.9787996206</v>
      </c>
      <c r="S9" s="19">
        <f t="shared" si="5"/>
        <v>4274321.0381696206</v>
      </c>
      <c r="T9" s="2"/>
    </row>
    <row r="10" spans="1:20" ht="17" x14ac:dyDescent="0.2">
      <c r="A10" s="2">
        <v>5</v>
      </c>
      <c r="B10" s="2" t="s">
        <v>25</v>
      </c>
      <c r="C10" s="2" t="s">
        <v>26</v>
      </c>
      <c r="D10" s="24" t="s">
        <v>209</v>
      </c>
      <c r="E10" s="19">
        <v>69022479.820620045</v>
      </c>
      <c r="F10" s="2">
        <v>2390489</v>
      </c>
      <c r="G10" s="2">
        <v>72412257</v>
      </c>
      <c r="H10" s="19">
        <f t="shared" si="6"/>
        <v>0.9531877983118251</v>
      </c>
      <c r="I10" s="2" t="s">
        <v>27</v>
      </c>
      <c r="J10" s="2" t="s">
        <v>27</v>
      </c>
      <c r="K10" s="20">
        <v>691720521.78999996</v>
      </c>
      <c r="L10" s="21">
        <v>58475720</v>
      </c>
      <c r="M10" s="21">
        <v>1376968</v>
      </c>
      <c r="N10" s="22">
        <f t="shared" si="0"/>
        <v>389438653.76776993</v>
      </c>
      <c r="O10" s="22">
        <f t="shared" si="1"/>
        <v>385996233.76776993</v>
      </c>
      <c r="P10" s="19">
        <f t="shared" si="2"/>
        <v>4.9507244258955243</v>
      </c>
      <c r="Q10" s="23">
        <f t="shared" si="3"/>
        <v>5.1938604697454887</v>
      </c>
      <c r="R10" s="19">
        <f t="shared" si="4"/>
        <v>358493129.46412414</v>
      </c>
      <c r="S10" s="19">
        <f t="shared" si="5"/>
        <v>289470649.64350408</v>
      </c>
      <c r="T10" s="2"/>
    </row>
    <row r="11" spans="1:20" ht="17" x14ac:dyDescent="0.2">
      <c r="A11" s="2">
        <v>6</v>
      </c>
      <c r="B11" s="2" t="s">
        <v>28</v>
      </c>
      <c r="C11" s="2" t="s">
        <v>29</v>
      </c>
      <c r="D11" s="24" t="s">
        <v>218</v>
      </c>
      <c r="E11" s="19">
        <v>54757525.425580047</v>
      </c>
      <c r="F11" s="2">
        <v>1871752</v>
      </c>
      <c r="G11" s="2">
        <v>49610622</v>
      </c>
      <c r="H11" s="19">
        <f t="shared" si="6"/>
        <v>1.1037459966855494</v>
      </c>
      <c r="I11" s="2" t="s">
        <v>30</v>
      </c>
      <c r="J11" s="2" t="s">
        <v>30</v>
      </c>
      <c r="K11" s="20">
        <v>1043195403.1</v>
      </c>
      <c r="L11" s="21">
        <v>76101690.870000005</v>
      </c>
      <c r="M11" s="21">
        <v>1822665</v>
      </c>
      <c r="N11" s="22">
        <f t="shared" si="0"/>
        <v>587319011.94529998</v>
      </c>
      <c r="O11" s="22">
        <f t="shared" si="1"/>
        <v>582762349.44529998</v>
      </c>
      <c r="P11" s="19">
        <f t="shared" si="2"/>
        <v>5.7432595397991708</v>
      </c>
      <c r="Q11" s="23">
        <f t="shared" si="3"/>
        <v>5.2034250244582232</v>
      </c>
      <c r="R11" s="19">
        <f t="shared" si="4"/>
        <v>284926678.07687062</v>
      </c>
      <c r="S11" s="19">
        <f t="shared" si="5"/>
        <v>230169152.65129057</v>
      </c>
      <c r="T11" s="2"/>
    </row>
    <row r="12" spans="1:20" ht="17" x14ac:dyDescent="0.2">
      <c r="A12" s="2">
        <v>7</v>
      </c>
      <c r="B12" s="1" t="s">
        <v>233</v>
      </c>
      <c r="C12" s="2" t="s">
        <v>31</v>
      </c>
      <c r="D12" s="24" t="s">
        <v>218</v>
      </c>
      <c r="E12" s="19">
        <v>50175200.80717995</v>
      </c>
      <c r="F12" s="2">
        <v>501997</v>
      </c>
      <c r="G12" s="2">
        <v>4132875</v>
      </c>
      <c r="H12" s="19">
        <f t="shared" si="6"/>
        <v>12.140507711261519</v>
      </c>
      <c r="I12" s="2" t="s">
        <v>32</v>
      </c>
      <c r="J12" s="2" t="s">
        <v>32</v>
      </c>
      <c r="K12" s="20">
        <v>1675522052.23</v>
      </c>
      <c r="L12" s="21">
        <v>18002527.300000001</v>
      </c>
      <c r="M12" s="21">
        <v>1586255</v>
      </c>
      <c r="N12" s="22">
        <f t="shared" si="0"/>
        <v>943318915.40548992</v>
      </c>
      <c r="O12" s="22">
        <f t="shared" si="1"/>
        <v>939353277.90548992</v>
      </c>
      <c r="P12" s="19">
        <f t="shared" si="2"/>
        <v>39.134225250091269</v>
      </c>
      <c r="Q12" s="23">
        <f t="shared" si="3"/>
        <v>3.2234422299975489</v>
      </c>
      <c r="R12" s="19">
        <f t="shared" si="4"/>
        <v>161736861.18047094</v>
      </c>
      <c r="S12" s="19">
        <f t="shared" si="5"/>
        <v>111561660.37329099</v>
      </c>
      <c r="T12" s="2"/>
    </row>
    <row r="13" spans="1:20" x14ac:dyDescent="0.2">
      <c r="A13" s="2">
        <v>8</v>
      </c>
      <c r="B13" s="2" t="s">
        <v>33</v>
      </c>
      <c r="C13" s="2" t="s">
        <v>34</v>
      </c>
      <c r="D13" s="2" t="s">
        <v>216</v>
      </c>
      <c r="E13" s="19"/>
      <c r="F13" s="2"/>
      <c r="G13" s="2"/>
      <c r="H13" s="19"/>
      <c r="I13" s="2"/>
      <c r="J13" s="2"/>
      <c r="K13" s="25"/>
      <c r="L13" s="26"/>
      <c r="M13" s="26"/>
      <c r="N13" s="22"/>
      <c r="O13" s="22"/>
      <c r="P13" s="19"/>
      <c r="Q13" s="23"/>
      <c r="R13" s="19"/>
      <c r="S13" s="19"/>
      <c r="T13" s="2"/>
    </row>
    <row r="14" spans="1:20" x14ac:dyDescent="0.2">
      <c r="A14" s="2"/>
      <c r="B14" s="2"/>
      <c r="C14" s="2" t="s">
        <v>35</v>
      </c>
      <c r="D14" s="2"/>
      <c r="E14" s="19">
        <f>SUM(8698507.90260999+721.52469)</f>
        <v>8699229.4272999913</v>
      </c>
      <c r="F14" s="2">
        <f>SUM(150093+17)</f>
        <v>150110</v>
      </c>
      <c r="G14" s="2">
        <v>4883934</v>
      </c>
      <c r="H14" s="19">
        <f>E14/G14</f>
        <v>1.7811930765853903</v>
      </c>
      <c r="I14" s="2" t="s">
        <v>35</v>
      </c>
      <c r="J14" s="2" t="s">
        <v>36</v>
      </c>
      <c r="K14" s="20">
        <v>150741064.91</v>
      </c>
      <c r="L14" s="21">
        <v>5133749.4280000003</v>
      </c>
      <c r="M14" s="21">
        <v>187759</v>
      </c>
      <c r="N14" s="22">
        <f t="shared" si="0"/>
        <v>84867219.544329986</v>
      </c>
      <c r="O14" s="22">
        <f t="shared" si="1"/>
        <v>84397822.044329986</v>
      </c>
      <c r="P14" s="19">
        <f t="shared" si="2"/>
        <v>12.329851197647407</v>
      </c>
      <c r="Q14" s="23">
        <f t="shared" si="3"/>
        <v>6.9222429391451294</v>
      </c>
      <c r="R14" s="19">
        <f t="shared" si="4"/>
        <v>60218179.479130894</v>
      </c>
      <c r="S14" s="19">
        <f t="shared" si="5"/>
        <v>51518950.051830903</v>
      </c>
      <c r="T14" s="2"/>
    </row>
    <row r="15" spans="1:20" x14ac:dyDescent="0.2">
      <c r="A15" s="2"/>
      <c r="B15" s="2"/>
      <c r="C15" s="2" t="s">
        <v>37</v>
      </c>
      <c r="D15" s="2"/>
      <c r="E15" s="19">
        <f>SUM(10225.89964+32289017.84372)</f>
        <v>32299243.743360002</v>
      </c>
      <c r="F15" s="2">
        <f>SUM(220+686181)</f>
        <v>686401</v>
      </c>
      <c r="G15" s="2">
        <v>17463927</v>
      </c>
      <c r="H15" s="19">
        <f>E15/G15</f>
        <v>1.8494834376804257</v>
      </c>
      <c r="I15" s="2" t="s">
        <v>37</v>
      </c>
      <c r="J15" s="2" t="s">
        <v>38</v>
      </c>
      <c r="K15" s="20">
        <v>465998078.48000002</v>
      </c>
      <c r="L15" s="21">
        <v>12858197</v>
      </c>
      <c r="M15" s="21">
        <v>458533</v>
      </c>
      <c r="N15" s="22">
        <f t="shared" si="0"/>
        <v>262356918.18423998</v>
      </c>
      <c r="O15" s="22">
        <f t="shared" si="1"/>
        <v>261210585.68423998</v>
      </c>
      <c r="P15" s="19">
        <f t="shared" si="2"/>
        <v>15.236034979334971</v>
      </c>
      <c r="Q15" s="23">
        <f t="shared" si="3"/>
        <v>8.237994820025861</v>
      </c>
      <c r="R15" s="19">
        <f t="shared" si="4"/>
        <v>266081002.64855245</v>
      </c>
      <c r="S15" s="19">
        <f t="shared" si="5"/>
        <v>233781758.90519243</v>
      </c>
      <c r="T15" s="2"/>
    </row>
    <row r="16" spans="1:20" ht="17" x14ac:dyDescent="0.2">
      <c r="A16" s="2">
        <v>9</v>
      </c>
      <c r="B16" s="2" t="s">
        <v>39</v>
      </c>
      <c r="C16" s="2" t="s">
        <v>40</v>
      </c>
      <c r="D16" s="24" t="s">
        <v>218</v>
      </c>
      <c r="E16" s="19">
        <v>38308408.987929977</v>
      </c>
      <c r="F16" s="2">
        <v>971116</v>
      </c>
      <c r="G16" s="2">
        <v>31568727</v>
      </c>
      <c r="H16" s="19">
        <f>E16/G16</f>
        <v>1.2134923586855428</v>
      </c>
      <c r="I16" s="2" t="s">
        <v>41</v>
      </c>
      <c r="J16" s="2" t="s">
        <v>42</v>
      </c>
      <c r="K16" s="20">
        <v>356573700.23000002</v>
      </c>
      <c r="L16" s="21">
        <v>23136260</v>
      </c>
      <c r="M16" s="21">
        <v>503347</v>
      </c>
      <c r="N16" s="22">
        <f t="shared" si="0"/>
        <v>200750993.22948998</v>
      </c>
      <c r="O16" s="22">
        <f t="shared" si="1"/>
        <v>199492625.72948998</v>
      </c>
      <c r="P16" s="19">
        <f t="shared" si="2"/>
        <v>6.4668822574226557</v>
      </c>
      <c r="Q16" s="23">
        <f t="shared" si="3"/>
        <v>5.3291495501690624</v>
      </c>
      <c r="R16" s="19">
        <f t="shared" si="4"/>
        <v>204151240.52571955</v>
      </c>
      <c r="S16" s="19">
        <f t="shared" si="5"/>
        <v>165842831.53778958</v>
      </c>
      <c r="T16" s="2"/>
    </row>
    <row r="17" spans="1:20" x14ac:dyDescent="0.2">
      <c r="A17" s="2">
        <v>10</v>
      </c>
      <c r="B17" s="2" t="s">
        <v>43</v>
      </c>
      <c r="C17" s="2" t="s">
        <v>44</v>
      </c>
      <c r="D17" s="2" t="s">
        <v>216</v>
      </c>
      <c r="E17" s="19"/>
      <c r="F17" s="2"/>
      <c r="G17" s="2"/>
      <c r="H17" s="19"/>
      <c r="I17" s="2"/>
      <c r="J17" s="2"/>
      <c r="K17" s="25"/>
      <c r="L17" s="26"/>
      <c r="M17" s="26"/>
      <c r="N17" s="22"/>
      <c r="O17" s="22"/>
      <c r="P17" s="19"/>
      <c r="Q17" s="23"/>
      <c r="R17" s="19"/>
      <c r="S17" s="19"/>
      <c r="T17" s="2"/>
    </row>
    <row r="18" spans="1:20" x14ac:dyDescent="0.2">
      <c r="A18" s="2"/>
      <c r="B18" s="2"/>
      <c r="C18" s="2" t="s">
        <v>45</v>
      </c>
      <c r="D18" s="2"/>
      <c r="E18" s="19">
        <f>SUM(12083957.2919199+1039054.7276)</f>
        <v>13123012.019519901</v>
      </c>
      <c r="F18" s="2">
        <f>SUM(199484+16341)</f>
        <v>215825</v>
      </c>
      <c r="G18" s="2">
        <v>5050293</v>
      </c>
      <c r="H18" s="19">
        <f t="shared" ref="H18:H25" si="7">E18/G18</f>
        <v>2.5984654790365433</v>
      </c>
      <c r="I18" s="2" t="s">
        <v>45</v>
      </c>
      <c r="J18" s="2" t="s">
        <v>46</v>
      </c>
      <c r="K18" s="20">
        <v>538215607.69000006</v>
      </c>
      <c r="L18" s="21">
        <v>18418092.09</v>
      </c>
      <c r="M18" s="21">
        <v>1002268</v>
      </c>
      <c r="N18" s="22">
        <f t="shared" si="0"/>
        <v>303015387.12946999</v>
      </c>
      <c r="O18" s="22">
        <f t="shared" si="1"/>
        <v>300509717.12946999</v>
      </c>
      <c r="P18" s="19">
        <f t="shared" si="2"/>
        <v>12.23700515481039</v>
      </c>
      <c r="Q18" s="23">
        <f t="shared" si="3"/>
        <v>4.7093198864999417</v>
      </c>
      <c r="R18" s="19">
        <f t="shared" si="4"/>
        <v>61800461.474302828</v>
      </c>
      <c r="S18" s="19">
        <f t="shared" si="5"/>
        <v>48677449.454782926</v>
      </c>
      <c r="T18" s="2"/>
    </row>
    <row r="19" spans="1:20" x14ac:dyDescent="0.2">
      <c r="A19" s="2"/>
      <c r="B19" s="2"/>
      <c r="C19" s="2" t="s">
        <v>47</v>
      </c>
      <c r="D19" s="2"/>
      <c r="E19" s="19">
        <f>SUM(21879250.5710599+997507.62094)</f>
        <v>22876758.191999901</v>
      </c>
      <c r="F19" s="2">
        <f>SUM(406460+18143)</f>
        <v>424603</v>
      </c>
      <c r="G19" s="2">
        <v>8803017</v>
      </c>
      <c r="H19" s="19">
        <f t="shared" si="7"/>
        <v>2.5987406581175412</v>
      </c>
      <c r="I19" s="2" t="s">
        <v>47</v>
      </c>
      <c r="J19" s="2" t="s">
        <v>48</v>
      </c>
      <c r="K19" s="20">
        <v>1584105949.8</v>
      </c>
      <c r="L19" s="21">
        <v>54941913.842</v>
      </c>
      <c r="M19" s="21">
        <v>2645315</v>
      </c>
      <c r="N19" s="22">
        <f t="shared" si="0"/>
        <v>891851649.73739994</v>
      </c>
      <c r="O19" s="22">
        <f t="shared" si="1"/>
        <v>885238362.23739994</v>
      </c>
      <c r="P19" s="19">
        <f t="shared" si="2"/>
        <v>12.084194474683803</v>
      </c>
      <c r="Q19" s="23">
        <f t="shared" si="3"/>
        <v>4.6500193995645853</v>
      </c>
      <c r="R19" s="19">
        <f t="shared" si="4"/>
        <v>106377369.3919476</v>
      </c>
      <c r="S19" s="19">
        <f t="shared" si="5"/>
        <v>83500611.1999477</v>
      </c>
      <c r="T19" s="2"/>
    </row>
    <row r="20" spans="1:20" x14ac:dyDescent="0.2">
      <c r="A20" s="2">
        <v>11</v>
      </c>
      <c r="B20" s="2" t="s">
        <v>49</v>
      </c>
      <c r="C20" s="2" t="s">
        <v>50</v>
      </c>
      <c r="D20" s="2" t="s">
        <v>228</v>
      </c>
      <c r="E20" s="19">
        <v>36343201.321150027</v>
      </c>
      <c r="F20" s="2">
        <v>202884</v>
      </c>
      <c r="G20" s="2">
        <v>205526</v>
      </c>
      <c r="H20" s="19">
        <f t="shared" si="7"/>
        <v>176.83018849756249</v>
      </c>
      <c r="I20" s="2" t="s">
        <v>51</v>
      </c>
      <c r="J20" s="2" t="s">
        <v>52</v>
      </c>
      <c r="K20" s="20">
        <v>69026983.739999995</v>
      </c>
      <c r="L20" s="21">
        <v>19663.666000000001</v>
      </c>
      <c r="M20" s="21">
        <v>19422</v>
      </c>
      <c r="N20" s="22">
        <f t="shared" si="0"/>
        <v>38862191.845619991</v>
      </c>
      <c r="O20" s="22">
        <f t="shared" si="1"/>
        <v>38813636.845619991</v>
      </c>
      <c r="P20" s="19">
        <f t="shared" si="2"/>
        <v>1480.4069411174391</v>
      </c>
      <c r="Q20" s="23">
        <f t="shared" si="3"/>
        <v>8.3719129278530726</v>
      </c>
      <c r="R20" s="19">
        <f t="shared" si="4"/>
        <v>304262116.98010278</v>
      </c>
      <c r="S20" s="19">
        <f t="shared" si="5"/>
        <v>267918915.65895274</v>
      </c>
      <c r="T20" s="2"/>
    </row>
    <row r="21" spans="1:20" x14ac:dyDescent="0.2">
      <c r="A21" s="2">
        <v>12</v>
      </c>
      <c r="B21" s="3" t="s">
        <v>53</v>
      </c>
      <c r="C21" s="3" t="s">
        <v>54</v>
      </c>
      <c r="D21" s="2" t="s">
        <v>228</v>
      </c>
      <c r="E21" s="27">
        <v>35657141.229999997</v>
      </c>
      <c r="F21" s="3">
        <v>225463</v>
      </c>
      <c r="G21" s="3">
        <v>230292</v>
      </c>
      <c r="H21" s="19">
        <f t="shared" si="7"/>
        <v>154.83447636044673</v>
      </c>
      <c r="I21" s="3" t="s">
        <v>55</v>
      </c>
      <c r="J21" s="3" t="s">
        <v>55</v>
      </c>
      <c r="K21" s="20">
        <v>1006725.27</v>
      </c>
      <c r="L21" s="21">
        <v>759</v>
      </c>
      <c r="M21" s="21">
        <v>757</v>
      </c>
      <c r="N21" s="22">
        <f t="shared" si="0"/>
        <v>566786.32701000001</v>
      </c>
      <c r="O21" s="22">
        <f t="shared" si="1"/>
        <v>564893.82701000001</v>
      </c>
      <c r="P21" s="19">
        <f t="shared" si="2"/>
        <v>558.19548123517791</v>
      </c>
      <c r="Q21" s="23">
        <f t="shared" si="3"/>
        <v>3.6051110473337178</v>
      </c>
      <c r="R21" s="19">
        <f t="shared" si="4"/>
        <v>128547953.76461159</v>
      </c>
      <c r="S21" s="19">
        <f t="shared" si="5"/>
        <v>92890812.534611583</v>
      </c>
      <c r="T21" s="2"/>
    </row>
    <row r="22" spans="1:20" ht="17" x14ac:dyDescent="0.2">
      <c r="A22" s="2">
        <v>13</v>
      </c>
      <c r="B22" s="2" t="s">
        <v>56</v>
      </c>
      <c r="C22" s="2" t="s">
        <v>57</v>
      </c>
      <c r="D22" s="24" t="s">
        <v>218</v>
      </c>
      <c r="E22" s="19">
        <v>32440734.829270031</v>
      </c>
      <c r="F22" s="2">
        <v>845929</v>
      </c>
      <c r="G22" s="2">
        <v>26736487</v>
      </c>
      <c r="H22" s="19">
        <f t="shared" si="7"/>
        <v>1.2133506854984364</v>
      </c>
      <c r="I22" s="2" t="s">
        <v>58</v>
      </c>
      <c r="J22" s="2" t="s">
        <v>58</v>
      </c>
      <c r="K22" s="20">
        <v>668459355.87</v>
      </c>
      <c r="L22" s="21">
        <v>43343840</v>
      </c>
      <c r="M22" s="21">
        <v>930007</v>
      </c>
      <c r="N22" s="22">
        <f t="shared" si="0"/>
        <v>376342617.35480994</v>
      </c>
      <c r="O22" s="22">
        <f t="shared" si="1"/>
        <v>374017599.85480994</v>
      </c>
      <c r="P22" s="19">
        <f t="shared" si="2"/>
        <v>6.471812370364681</v>
      </c>
      <c r="Q22" s="23">
        <f t="shared" si="3"/>
        <v>5.3338350138287547</v>
      </c>
      <c r="R22" s="19">
        <f t="shared" si="4"/>
        <v>173033527.30669448</v>
      </c>
      <c r="S22" s="19">
        <f t="shared" si="5"/>
        <v>140592792.47742444</v>
      </c>
      <c r="T22" s="2"/>
    </row>
    <row r="23" spans="1:20" ht="17" x14ac:dyDescent="0.2">
      <c r="A23" s="2">
        <v>14</v>
      </c>
      <c r="B23" s="2" t="s">
        <v>59</v>
      </c>
      <c r="C23" s="2" t="s">
        <v>60</v>
      </c>
      <c r="D23" s="24" t="s">
        <v>219</v>
      </c>
      <c r="E23" s="19">
        <v>30691691.931009971</v>
      </c>
      <c r="F23" s="2">
        <v>1191251</v>
      </c>
      <c r="G23" s="2">
        <v>34140270</v>
      </c>
      <c r="H23" s="19">
        <f t="shared" si="7"/>
        <v>0.89898796731865249</v>
      </c>
      <c r="I23" s="2" t="s">
        <v>61</v>
      </c>
      <c r="J23" s="2" t="s">
        <v>62</v>
      </c>
      <c r="K23" s="20">
        <v>1063585890</v>
      </c>
      <c r="L23" s="21">
        <v>89788095.636999995</v>
      </c>
      <c r="M23" s="21">
        <v>2261383</v>
      </c>
      <c r="N23" s="22">
        <f t="shared" si="0"/>
        <v>598798856.06999993</v>
      </c>
      <c r="O23" s="22">
        <f t="shared" si="1"/>
        <v>593145398.56999993</v>
      </c>
      <c r="P23" s="19">
        <f t="shared" si="2"/>
        <v>4.9545437596315587</v>
      </c>
      <c r="Q23" s="23">
        <f t="shared" si="3"/>
        <v>5.5112459117880341</v>
      </c>
      <c r="R23" s="19">
        <f t="shared" si="4"/>
        <v>169149461.68063653</v>
      </c>
      <c r="S23" s="19">
        <f t="shared" si="5"/>
        <v>138457769.74962655</v>
      </c>
      <c r="T23" s="2"/>
    </row>
    <row r="24" spans="1:20" x14ac:dyDescent="0.2">
      <c r="A24" s="2">
        <v>15</v>
      </c>
      <c r="B24" s="2" t="s">
        <v>63</v>
      </c>
      <c r="C24" s="2" t="s">
        <v>64</v>
      </c>
      <c r="D24" s="2" t="s">
        <v>220</v>
      </c>
      <c r="E24" s="19">
        <v>27826814.724210009</v>
      </c>
      <c r="F24" s="2">
        <v>551935</v>
      </c>
      <c r="G24" s="2">
        <v>30740826</v>
      </c>
      <c r="H24" s="19">
        <f t="shared" si="7"/>
        <v>0.90520712502032341</v>
      </c>
      <c r="I24" s="2" t="s">
        <v>65</v>
      </c>
      <c r="J24" s="3" t="s">
        <v>66</v>
      </c>
      <c r="K24" s="20">
        <v>424147174.94999999</v>
      </c>
      <c r="L24" s="21">
        <v>71790959.200000003</v>
      </c>
      <c r="M24" s="21">
        <v>869497</v>
      </c>
      <c r="N24" s="22">
        <f t="shared" si="0"/>
        <v>238794859.49684998</v>
      </c>
      <c r="O24" s="22">
        <f t="shared" si="1"/>
        <v>236621116.99684998</v>
      </c>
      <c r="P24" s="19">
        <f t="shared" si="2"/>
        <v>2.4719803123571786</v>
      </c>
      <c r="Q24" s="23">
        <f t="shared" si="3"/>
        <v>2.7308449569502433</v>
      </c>
      <c r="R24" s="19">
        <f t="shared" si="4"/>
        <v>75990716.657597676</v>
      </c>
      <c r="S24" s="19">
        <f t="shared" si="5"/>
        <v>48163901.933387667</v>
      </c>
      <c r="T24" s="2"/>
    </row>
    <row r="25" spans="1:20" ht="17" x14ac:dyDescent="0.2">
      <c r="A25" s="2">
        <v>16</v>
      </c>
      <c r="B25" s="2" t="s">
        <v>67</v>
      </c>
      <c r="C25" s="2" t="s">
        <v>68</v>
      </c>
      <c r="D25" s="24" t="s">
        <v>218</v>
      </c>
      <c r="E25" s="19">
        <v>26338493.104209941</v>
      </c>
      <c r="F25" s="2">
        <v>354333</v>
      </c>
      <c r="G25" s="2">
        <v>774877.5</v>
      </c>
      <c r="H25" s="19">
        <f t="shared" si="7"/>
        <v>33.990525088430033</v>
      </c>
      <c r="I25" s="2" t="s">
        <v>69</v>
      </c>
      <c r="J25" s="2" t="s">
        <v>69</v>
      </c>
      <c r="K25" s="20">
        <v>1360642452</v>
      </c>
      <c r="L25" s="21">
        <v>3746576</v>
      </c>
      <c r="M25" s="21">
        <v>1383713</v>
      </c>
      <c r="N25" s="22">
        <f t="shared" si="0"/>
        <v>766041700.47599995</v>
      </c>
      <c r="O25" s="22">
        <f t="shared" si="1"/>
        <v>762582417.97599995</v>
      </c>
      <c r="P25" s="19">
        <f t="shared" si="2"/>
        <v>152.65586858027169</v>
      </c>
      <c r="Q25" s="23">
        <f t="shared" si="3"/>
        <v>4.4911300482449423</v>
      </c>
      <c r="R25" s="19">
        <f t="shared" si="4"/>
        <v>118289597.80580947</v>
      </c>
      <c r="S25" s="19">
        <f t="shared" si="5"/>
        <v>91951104.701599523</v>
      </c>
      <c r="T25" s="2"/>
    </row>
    <row r="26" spans="1:20" x14ac:dyDescent="0.2">
      <c r="A26" s="2">
        <v>17</v>
      </c>
      <c r="B26" s="2" t="s">
        <v>70</v>
      </c>
      <c r="C26" s="2" t="s">
        <v>71</v>
      </c>
      <c r="D26" s="2" t="s">
        <v>216</v>
      </c>
      <c r="E26" s="19"/>
      <c r="F26" s="2"/>
      <c r="G26" s="2"/>
      <c r="H26" s="19"/>
      <c r="I26" s="2"/>
      <c r="J26" s="2"/>
      <c r="K26" s="25"/>
      <c r="L26" s="26"/>
      <c r="M26" s="26"/>
      <c r="N26" s="22"/>
      <c r="O26" s="22"/>
      <c r="P26" s="19"/>
      <c r="Q26" s="23"/>
      <c r="R26" s="19"/>
      <c r="S26" s="19"/>
      <c r="T26" s="2"/>
    </row>
    <row r="27" spans="1:20" x14ac:dyDescent="0.2">
      <c r="A27" s="2"/>
      <c r="B27" s="2"/>
      <c r="C27" s="2" t="s">
        <v>72</v>
      </c>
      <c r="D27" s="2"/>
      <c r="E27" s="19">
        <v>889089.97903999896</v>
      </c>
      <c r="F27" s="2">
        <v>17886</v>
      </c>
      <c r="G27" s="2">
        <v>608428.5</v>
      </c>
      <c r="H27" s="19">
        <f>E27/G27</f>
        <v>1.4612891720884196</v>
      </c>
      <c r="I27" s="2" t="s">
        <v>73</v>
      </c>
      <c r="J27" s="2" t="s">
        <v>74</v>
      </c>
      <c r="K27" s="20">
        <v>172680049.56</v>
      </c>
      <c r="L27" s="21">
        <v>12929074.4</v>
      </c>
      <c r="M27" s="21">
        <v>431973</v>
      </c>
      <c r="N27" s="22">
        <f t="shared" si="0"/>
        <v>97218867.902279988</v>
      </c>
      <c r="O27" s="22">
        <f t="shared" si="1"/>
        <v>96138935.402279988</v>
      </c>
      <c r="P27" s="19">
        <f t="shared" si="2"/>
        <v>5.576903598892585</v>
      </c>
      <c r="Q27" s="23">
        <f t="shared" si="3"/>
        <v>3.8164271010934021</v>
      </c>
      <c r="R27" s="19">
        <f t="shared" si="4"/>
        <v>3393147.0913188173</v>
      </c>
      <c r="S27" s="19">
        <f t="shared" si="5"/>
        <v>2504057.1122788182</v>
      </c>
      <c r="T27" s="2"/>
    </row>
    <row r="28" spans="1:20" x14ac:dyDescent="0.2">
      <c r="A28" s="2"/>
      <c r="B28" s="2"/>
      <c r="C28" s="2" t="s">
        <v>75</v>
      </c>
      <c r="D28" s="2"/>
      <c r="E28" s="19">
        <v>16313862.6023599</v>
      </c>
      <c r="F28" s="2">
        <v>515130</v>
      </c>
      <c r="G28" s="2">
        <v>12147819</v>
      </c>
      <c r="H28" s="19">
        <f>E28/G28</f>
        <v>1.3429458079972956</v>
      </c>
      <c r="I28" s="2" t="s">
        <v>76</v>
      </c>
      <c r="J28" s="2" t="s">
        <v>77</v>
      </c>
      <c r="K28" s="20">
        <v>91546567.819999993</v>
      </c>
      <c r="L28" s="21">
        <v>3377325.5</v>
      </c>
      <c r="M28" s="21">
        <v>119871</v>
      </c>
      <c r="N28" s="22">
        <f t="shared" si="0"/>
        <v>51540717.682659991</v>
      </c>
      <c r="O28" s="22">
        <f t="shared" si="1"/>
        <v>51241040.182659991</v>
      </c>
      <c r="P28" s="19">
        <f t="shared" si="2"/>
        <v>11.379057226493268</v>
      </c>
      <c r="Q28" s="23">
        <f t="shared" si="3"/>
        <v>8.4732065573536399</v>
      </c>
      <c r="R28" s="19">
        <f t="shared" si="4"/>
        <v>138230727.57808223</v>
      </c>
      <c r="S28" s="19">
        <f t="shared" si="5"/>
        <v>121916864.97572233</v>
      </c>
      <c r="T28" s="2"/>
    </row>
    <row r="29" spans="1:20" x14ac:dyDescent="0.2">
      <c r="A29" s="2">
        <v>18</v>
      </c>
      <c r="B29" s="2" t="s">
        <v>78</v>
      </c>
      <c r="C29" s="2" t="s">
        <v>79</v>
      </c>
      <c r="D29" s="2" t="s">
        <v>220</v>
      </c>
      <c r="E29" s="19">
        <v>22410554.277499981</v>
      </c>
      <c r="F29" s="2">
        <v>477484</v>
      </c>
      <c r="G29" s="2">
        <v>28378318</v>
      </c>
      <c r="H29" s="19">
        <f>E29/G29</f>
        <v>0.78970692616454508</v>
      </c>
      <c r="I29" s="2" t="s">
        <v>80</v>
      </c>
      <c r="J29" s="2" t="s">
        <v>80</v>
      </c>
      <c r="K29" s="20">
        <v>637564815.62</v>
      </c>
      <c r="L29" s="21">
        <v>106147690</v>
      </c>
      <c r="M29" s="21">
        <v>1155893</v>
      </c>
      <c r="N29" s="22">
        <f t="shared" si="0"/>
        <v>358948991.19405997</v>
      </c>
      <c r="O29" s="22">
        <f t="shared" si="1"/>
        <v>356059258.69405997</v>
      </c>
      <c r="P29" s="19">
        <f t="shared" si="2"/>
        <v>2.5157819639838133</v>
      </c>
      <c r="Q29" s="23">
        <f t="shared" si="3"/>
        <v>3.1857159670644948</v>
      </c>
      <c r="R29" s="19">
        <f t="shared" si="4"/>
        <v>71393660.592597201</v>
      </c>
      <c r="S29" s="19">
        <f t="shared" si="5"/>
        <v>48983106.31509722</v>
      </c>
      <c r="T29" s="2"/>
    </row>
    <row r="30" spans="1:20" x14ac:dyDescent="0.2">
      <c r="A30" s="2">
        <v>19</v>
      </c>
      <c r="B30" s="2" t="s">
        <v>81</v>
      </c>
      <c r="C30" s="2" t="s">
        <v>225</v>
      </c>
      <c r="D30" s="2" t="s">
        <v>217</v>
      </c>
      <c r="E30" s="19">
        <v>19252622.699900098</v>
      </c>
      <c r="F30" s="2">
        <v>666562</v>
      </c>
      <c r="G30" s="2">
        <v>22626750</v>
      </c>
      <c r="H30" s="19">
        <f>E30/G30</f>
        <v>0.8508788358867313</v>
      </c>
      <c r="I30" s="2" t="s">
        <v>82</v>
      </c>
      <c r="J30" s="2" t="s">
        <v>82</v>
      </c>
      <c r="K30" s="20">
        <v>517467101.89999998</v>
      </c>
      <c r="L30" s="21">
        <v>47075572.740000002</v>
      </c>
      <c r="M30" s="21">
        <v>1303943</v>
      </c>
      <c r="N30" s="22">
        <f t="shared" si="0"/>
        <v>291333978.36969995</v>
      </c>
      <c r="O30" s="22">
        <f t="shared" si="1"/>
        <v>288074120.86969995</v>
      </c>
      <c r="P30" s="19">
        <f t="shared" si="2"/>
        <v>4.5895477861853617</v>
      </c>
      <c r="Q30" s="23">
        <f t="shared" si="3"/>
        <v>5.3938911071896971</v>
      </c>
      <c r="R30" s="19">
        <f t="shared" si="4"/>
        <v>103846550.37106964</v>
      </c>
      <c r="S30" s="19">
        <f t="shared" si="5"/>
        <v>84593927.671169549</v>
      </c>
      <c r="T30" s="2"/>
    </row>
    <row r="31" spans="1:20" x14ac:dyDescent="0.2">
      <c r="A31" s="2">
        <v>20</v>
      </c>
      <c r="B31" s="2" t="s">
        <v>83</v>
      </c>
      <c r="C31" s="2" t="s">
        <v>84</v>
      </c>
      <c r="D31" s="2" t="s">
        <v>216</v>
      </c>
      <c r="E31" s="19"/>
      <c r="F31" s="2"/>
      <c r="G31" s="2"/>
      <c r="H31" s="19"/>
      <c r="I31" s="2"/>
      <c r="J31" s="2"/>
      <c r="K31" s="25"/>
      <c r="L31" s="26"/>
      <c r="M31" s="26"/>
      <c r="N31" s="22"/>
      <c r="O31" s="22"/>
      <c r="P31" s="19"/>
      <c r="Q31" s="23"/>
      <c r="R31" s="19"/>
      <c r="S31" s="19"/>
      <c r="T31" s="2"/>
    </row>
    <row r="32" spans="1:20" x14ac:dyDescent="0.2">
      <c r="A32" s="2"/>
      <c r="B32" s="2"/>
      <c r="C32" s="2" t="s">
        <v>89</v>
      </c>
      <c r="D32" s="2"/>
      <c r="E32" s="19">
        <f>SUM(1692102.15849+279.112179999999)</f>
        <v>1692381.27067</v>
      </c>
      <c r="F32" s="2">
        <f>SUM(25024+11)</f>
        <v>25035</v>
      </c>
      <c r="G32" s="2">
        <v>928533</v>
      </c>
      <c r="H32" s="19">
        <f>E32/G32</f>
        <v>1.8226398745871175</v>
      </c>
      <c r="I32" s="2" t="s">
        <v>85</v>
      </c>
      <c r="J32" s="2" t="s">
        <v>85</v>
      </c>
      <c r="K32" s="20">
        <v>13744214.220000001</v>
      </c>
      <c r="L32" s="21">
        <v>474705</v>
      </c>
      <c r="M32" s="21">
        <v>14831</v>
      </c>
      <c r="N32" s="22">
        <f t="shared" si="0"/>
        <v>7737992.6058599995</v>
      </c>
      <c r="O32" s="22">
        <f t="shared" si="1"/>
        <v>7700915.1058599995</v>
      </c>
      <c r="P32" s="19">
        <f t="shared" si="2"/>
        <v>12.166895923563054</v>
      </c>
      <c r="Q32" s="23">
        <f t="shared" si="3"/>
        <v>6.6754250761243883</v>
      </c>
      <c r="R32" s="19">
        <f t="shared" si="4"/>
        <v>11297364.372593774</v>
      </c>
      <c r="S32" s="19">
        <f t="shared" si="5"/>
        <v>9604983.1019237731</v>
      </c>
      <c r="T32" s="2"/>
    </row>
    <row r="33" spans="1:20" x14ac:dyDescent="0.2">
      <c r="A33" s="2"/>
      <c r="B33" s="2"/>
      <c r="C33" s="2" t="s">
        <v>90</v>
      </c>
      <c r="D33" s="2"/>
      <c r="E33" s="19">
        <f>SUM(1408.76956+1121.14535+7618670.13601)</f>
        <v>7621200.0509199994</v>
      </c>
      <c r="F33" s="2">
        <f>SUM(16+9+122131)</f>
        <v>122156</v>
      </c>
      <c r="G33" s="2">
        <v>3976020</v>
      </c>
      <c r="H33" s="19">
        <f>E33/G33</f>
        <v>1.9167911758290952</v>
      </c>
      <c r="I33" s="2" t="s">
        <v>86</v>
      </c>
      <c r="J33" s="2" t="s">
        <v>86</v>
      </c>
      <c r="K33" s="20">
        <v>27912797.640000001</v>
      </c>
      <c r="L33" s="21">
        <v>788934</v>
      </c>
      <c r="M33" s="21">
        <v>23750</v>
      </c>
      <c r="N33" s="22">
        <f t="shared" si="0"/>
        <v>15714905.071319999</v>
      </c>
      <c r="O33" s="22">
        <f t="shared" si="1"/>
        <v>15655530.071319999</v>
      </c>
      <c r="P33" s="19">
        <f t="shared" si="2"/>
        <v>14.882927537018306</v>
      </c>
      <c r="Q33" s="23">
        <f t="shared" si="3"/>
        <v>7.7645012793742625</v>
      </c>
      <c r="R33" s="19">
        <f t="shared" si="4"/>
        <v>59174817.545735523</v>
      </c>
      <c r="S33" s="19">
        <f t="shared" si="5"/>
        <v>51553617.494815521</v>
      </c>
      <c r="T33" s="2"/>
    </row>
    <row r="34" spans="1:20" x14ac:dyDescent="0.2">
      <c r="A34" s="2"/>
      <c r="B34" s="2"/>
      <c r="C34" s="2" t="s">
        <v>91</v>
      </c>
      <c r="D34" s="2"/>
      <c r="E34" s="19">
        <f>SUM(5948.95171+96632.33753+3468142.23054999)</f>
        <v>3570723.51978999</v>
      </c>
      <c r="F34" s="2">
        <f>SUM(108+2008+61817)</f>
        <v>63933</v>
      </c>
      <c r="G34" s="2">
        <v>1968668</v>
      </c>
      <c r="H34" s="19">
        <f>E34/G34</f>
        <v>1.8137763806746441</v>
      </c>
      <c r="I34" s="2" t="s">
        <v>87</v>
      </c>
      <c r="J34" s="2" t="s">
        <v>87</v>
      </c>
      <c r="K34" s="20">
        <v>118623121.48999999</v>
      </c>
      <c r="L34" s="21">
        <v>4104312.2</v>
      </c>
      <c r="M34" s="21">
        <v>148524</v>
      </c>
      <c r="N34" s="22">
        <f t="shared" si="0"/>
        <v>66784817.398869991</v>
      </c>
      <c r="O34" s="22">
        <f t="shared" si="1"/>
        <v>66413507.398869991</v>
      </c>
      <c r="P34" s="19">
        <f t="shared" si="2"/>
        <v>12.136048166402276</v>
      </c>
      <c r="Q34" s="23">
        <f t="shared" si="3"/>
        <v>6.6910388158700167</v>
      </c>
      <c r="R34" s="19">
        <f t="shared" si="4"/>
        <v>23891849.671654835</v>
      </c>
      <c r="S34" s="19">
        <f t="shared" si="5"/>
        <v>20321126.151864845</v>
      </c>
      <c r="T34" s="2"/>
    </row>
    <row r="35" spans="1:20" x14ac:dyDescent="0.2">
      <c r="A35" s="2"/>
      <c r="B35" s="2"/>
      <c r="C35" s="2" t="s">
        <v>92</v>
      </c>
      <c r="D35" s="2"/>
      <c r="E35" s="19">
        <f>SUM(379.7579+1551.73301+6014393.98778)</f>
        <v>6016325.4786900003</v>
      </c>
      <c r="F35" s="2">
        <f>SUM(9+28+127484)</f>
        <v>127521</v>
      </c>
      <c r="G35" s="2">
        <v>3138399</v>
      </c>
      <c r="H35" s="19">
        <f>E35/G35</f>
        <v>1.9170046506801717</v>
      </c>
      <c r="I35" s="2" t="s">
        <v>88</v>
      </c>
      <c r="J35" s="2" t="s">
        <v>88</v>
      </c>
      <c r="K35" s="20">
        <v>313769283.5</v>
      </c>
      <c r="L35" s="21">
        <v>8847802</v>
      </c>
      <c r="M35" s="21">
        <v>309230</v>
      </c>
      <c r="N35" s="22">
        <f t="shared" si="0"/>
        <v>176652106.61049998</v>
      </c>
      <c r="O35" s="22">
        <f t="shared" si="1"/>
        <v>175879031.61049998</v>
      </c>
      <c r="P35" s="19">
        <f t="shared" si="2"/>
        <v>14.908705428520552</v>
      </c>
      <c r="Q35" s="23">
        <f t="shared" si="3"/>
        <v>7.777083599265552</v>
      </c>
      <c r="R35" s="19">
        <f t="shared" si="4"/>
        <v>46789466.20816347</v>
      </c>
      <c r="S35" s="19">
        <f t="shared" si="5"/>
        <v>40773140.729473472</v>
      </c>
      <c r="T35" s="2"/>
    </row>
    <row r="36" spans="1:20" x14ac:dyDescent="0.2">
      <c r="A36" s="2">
        <v>21</v>
      </c>
      <c r="B36" s="2" t="s">
        <v>93</v>
      </c>
      <c r="C36" s="2" t="s">
        <v>94</v>
      </c>
      <c r="D36" s="2" t="s">
        <v>216</v>
      </c>
      <c r="E36" s="19"/>
      <c r="F36" s="2"/>
      <c r="G36" s="2"/>
      <c r="H36" s="19"/>
      <c r="I36" s="2"/>
      <c r="J36" s="2"/>
      <c r="K36" s="25"/>
      <c r="L36" s="26"/>
      <c r="M36" s="26"/>
      <c r="N36" s="22"/>
      <c r="O36" s="22"/>
      <c r="P36" s="19"/>
      <c r="Q36" s="23"/>
      <c r="R36" s="19"/>
      <c r="S36" s="19"/>
      <c r="T36" s="2"/>
    </row>
    <row r="37" spans="1:20" x14ac:dyDescent="0.2">
      <c r="A37" s="2"/>
      <c r="B37" s="2"/>
      <c r="C37" s="2" t="s">
        <v>95</v>
      </c>
      <c r="D37" s="2"/>
      <c r="E37" s="19">
        <f>SUM(382226.95953+1620795.71609+41592.75116+8541.74099)</f>
        <v>2053157.1677699999</v>
      </c>
      <c r="F37" s="2">
        <f>SUM(9533+59564+204+1284)</f>
        <v>70585</v>
      </c>
      <c r="G37" s="2">
        <v>1675767</v>
      </c>
      <c r="H37" s="19">
        <f t="shared" ref="H37:H42" si="8">E37/G37</f>
        <v>1.225204439382086</v>
      </c>
      <c r="I37" s="2" t="s">
        <v>96</v>
      </c>
      <c r="J37" s="3" t="s">
        <v>226</v>
      </c>
      <c r="K37" s="20">
        <v>140364792.03999999</v>
      </c>
      <c r="L37" s="21">
        <v>17036419</v>
      </c>
      <c r="M37" s="21">
        <v>517033</v>
      </c>
      <c r="N37" s="22">
        <f t="shared" si="0"/>
        <v>79025377.918519989</v>
      </c>
      <c r="O37" s="22">
        <f t="shared" si="1"/>
        <v>77732795.418519989</v>
      </c>
      <c r="P37" s="19">
        <f t="shared" si="2"/>
        <v>3.4220569806301424</v>
      </c>
      <c r="Q37" s="23">
        <f t="shared" si="3"/>
        <v>2.793049772457572</v>
      </c>
      <c r="R37" s="19">
        <f t="shared" si="4"/>
        <v>5734570.1602596315</v>
      </c>
      <c r="S37" s="19">
        <f t="shared" si="5"/>
        <v>3681412.9924896313</v>
      </c>
      <c r="T37" s="2"/>
    </row>
    <row r="38" spans="1:20" x14ac:dyDescent="0.2">
      <c r="A38" s="2"/>
      <c r="B38" s="2"/>
      <c r="C38" s="2" t="s">
        <v>97</v>
      </c>
      <c r="D38" s="2"/>
      <c r="E38" s="19">
        <f>SUM(8655022.95834001+1402.3939+8781.96314)</f>
        <v>8665207.3153800089</v>
      </c>
      <c r="F38" s="2">
        <f>SUM(346136+54+367)</f>
        <v>346557</v>
      </c>
      <c r="G38" s="2">
        <v>6450834</v>
      </c>
      <c r="H38" s="19">
        <f t="shared" si="8"/>
        <v>1.3432693067873098</v>
      </c>
      <c r="I38" s="2" t="s">
        <v>98</v>
      </c>
      <c r="J38" s="3" t="s">
        <v>227</v>
      </c>
      <c r="K38" s="20">
        <v>52863655.43</v>
      </c>
      <c r="L38" s="21">
        <v>2787155</v>
      </c>
      <c r="M38" s="21">
        <v>110751</v>
      </c>
      <c r="N38" s="22">
        <f t="shared" si="0"/>
        <v>29762238.007089999</v>
      </c>
      <c r="O38" s="22">
        <f t="shared" si="1"/>
        <v>29485360.507089999</v>
      </c>
      <c r="P38" s="19">
        <f t="shared" si="2"/>
        <v>7.9342628523772447</v>
      </c>
      <c r="Q38" s="23">
        <f t="shared" si="3"/>
        <v>5.9066806725105483</v>
      </c>
      <c r="R38" s="19">
        <f t="shared" si="4"/>
        <v>51182612.573052108</v>
      </c>
      <c r="S38" s="19">
        <f t="shared" si="5"/>
        <v>42517405.257672101</v>
      </c>
      <c r="T38" s="2"/>
    </row>
    <row r="39" spans="1:20" ht="17" x14ac:dyDescent="0.2">
      <c r="A39" s="2">
        <v>22</v>
      </c>
      <c r="B39" s="2" t="s">
        <v>99</v>
      </c>
      <c r="C39" s="2" t="s">
        <v>100</v>
      </c>
      <c r="D39" s="24" t="s">
        <v>218</v>
      </c>
      <c r="E39" s="19">
        <v>16874789.647939969</v>
      </c>
      <c r="F39" s="2">
        <v>416674</v>
      </c>
      <c r="G39" s="2">
        <v>13902668</v>
      </c>
      <c r="H39" s="19">
        <f t="shared" si="8"/>
        <v>1.2137806677063689</v>
      </c>
      <c r="I39" s="2" t="s">
        <v>101</v>
      </c>
      <c r="J39" s="2" t="s">
        <v>101</v>
      </c>
      <c r="K39" s="20">
        <v>671727313.52999997</v>
      </c>
      <c r="L39" s="21">
        <v>43505156</v>
      </c>
      <c r="M39" s="21">
        <v>905120</v>
      </c>
      <c r="N39" s="22">
        <f t="shared" si="0"/>
        <v>378182477.51738995</v>
      </c>
      <c r="O39" s="22">
        <f t="shared" si="1"/>
        <v>375919677.51738995</v>
      </c>
      <c r="P39" s="19">
        <f t="shared" si="2"/>
        <v>6.4806056123104687</v>
      </c>
      <c r="Q39" s="23">
        <f t="shared" si="3"/>
        <v>5.3391900074966596</v>
      </c>
      <c r="R39" s="19">
        <f t="shared" si="4"/>
        <v>90097708.266889155</v>
      </c>
      <c r="S39" s="19">
        <f t="shared" si="5"/>
        <v>73222918.61894919</v>
      </c>
      <c r="T39" s="2"/>
    </row>
    <row r="40" spans="1:20" x14ac:dyDescent="0.2">
      <c r="A40" s="2">
        <v>23</v>
      </c>
      <c r="B40" s="2" t="s">
        <v>102</v>
      </c>
      <c r="C40" s="2" t="s">
        <v>103</v>
      </c>
      <c r="D40" s="2" t="s">
        <v>221</v>
      </c>
      <c r="E40" s="19">
        <v>15639166.379140001</v>
      </c>
      <c r="F40" s="2">
        <v>127723</v>
      </c>
      <c r="G40" s="2">
        <v>3896350</v>
      </c>
      <c r="H40" s="19">
        <f t="shared" si="8"/>
        <v>4.0137991656653025</v>
      </c>
      <c r="I40" s="2" t="s">
        <v>104</v>
      </c>
      <c r="J40" s="2" t="s">
        <v>104</v>
      </c>
      <c r="K40" s="20">
        <v>88130788.819999993</v>
      </c>
      <c r="L40" s="21">
        <v>4060093.3</v>
      </c>
      <c r="M40" s="21">
        <v>106828</v>
      </c>
      <c r="N40" s="22">
        <f t="shared" si="0"/>
        <v>49617634.105659992</v>
      </c>
      <c r="O40" s="22">
        <f t="shared" si="1"/>
        <v>49350564.105659992</v>
      </c>
      <c r="P40" s="19">
        <f t="shared" si="2"/>
        <v>9.1162740223839176</v>
      </c>
      <c r="Q40" s="23">
        <f t="shared" si="3"/>
        <v>2.2712332247128915</v>
      </c>
      <c r="R40" s="19">
        <f t="shared" si="4"/>
        <v>35520194.287115574</v>
      </c>
      <c r="S40" s="19">
        <f t="shared" si="5"/>
        <v>19881027.907975573</v>
      </c>
      <c r="T40" s="2"/>
    </row>
    <row r="41" spans="1:20" x14ac:dyDescent="0.2">
      <c r="A41" s="2">
        <v>24</v>
      </c>
      <c r="B41" s="2" t="s">
        <v>105</v>
      </c>
      <c r="C41" s="2" t="s">
        <v>106</v>
      </c>
      <c r="D41" s="2" t="s">
        <v>220</v>
      </c>
      <c r="E41" s="19">
        <v>15340857.77036999</v>
      </c>
      <c r="F41" s="2">
        <v>342365</v>
      </c>
      <c r="G41" s="2">
        <v>9440827</v>
      </c>
      <c r="H41" s="19">
        <f t="shared" si="8"/>
        <v>1.6249485103762615</v>
      </c>
      <c r="I41" s="2" t="s">
        <v>107</v>
      </c>
      <c r="J41" s="2" t="s">
        <v>108</v>
      </c>
      <c r="K41" s="20">
        <v>9832465.1999999993</v>
      </c>
      <c r="L41" s="21">
        <v>876240</v>
      </c>
      <c r="M41" s="21">
        <v>21091</v>
      </c>
      <c r="N41" s="22">
        <f t="shared" si="0"/>
        <v>5535677.9075999986</v>
      </c>
      <c r="O41" s="22">
        <f t="shared" si="1"/>
        <v>5482950.4075999986</v>
      </c>
      <c r="P41" s="19">
        <f t="shared" si="2"/>
        <v>4.6930210966173638</v>
      </c>
      <c r="Q41" s="23">
        <f t="shared" si="3"/>
        <v>2.8881044947883803</v>
      </c>
      <c r="R41" s="19">
        <f t="shared" si="4"/>
        <v>44306000.280514814</v>
      </c>
      <c r="S41" s="19">
        <f t="shared" si="5"/>
        <v>28965142.510144822</v>
      </c>
      <c r="T41" s="2"/>
    </row>
    <row r="42" spans="1:20" x14ac:dyDescent="0.2">
      <c r="A42" s="2">
        <v>25</v>
      </c>
      <c r="B42" s="2" t="s">
        <v>109</v>
      </c>
      <c r="C42" s="2" t="s">
        <v>110</v>
      </c>
      <c r="D42" s="2" t="s">
        <v>219</v>
      </c>
      <c r="E42" s="19">
        <v>14684837.712089971</v>
      </c>
      <c r="F42" s="2">
        <v>373458</v>
      </c>
      <c r="G42" s="2">
        <v>19353014</v>
      </c>
      <c r="H42" s="19">
        <f t="shared" si="8"/>
        <v>0.75878815114224429</v>
      </c>
      <c r="I42" s="2" t="s">
        <v>111</v>
      </c>
      <c r="J42" s="2" t="s">
        <v>111</v>
      </c>
      <c r="K42" s="20">
        <v>658259298.44000006</v>
      </c>
      <c r="L42" s="21">
        <v>95010410.5</v>
      </c>
      <c r="M42" s="21">
        <v>1157998</v>
      </c>
      <c r="N42" s="22">
        <f t="shared" si="0"/>
        <v>370599985.02171999</v>
      </c>
      <c r="O42" s="22">
        <f t="shared" si="1"/>
        <v>367704990.02171999</v>
      </c>
      <c r="P42" s="19">
        <f t="shared" si="2"/>
        <v>2.9026160508620262</v>
      </c>
      <c r="Q42" s="23">
        <f t="shared" si="3"/>
        <v>3.825331281850624</v>
      </c>
      <c r="R42" s="19">
        <f t="shared" si="4"/>
        <v>56174369.068957508</v>
      </c>
      <c r="S42" s="19">
        <f t="shared" si="5"/>
        <v>41489531.356867537</v>
      </c>
      <c r="T42" s="2"/>
    </row>
    <row r="43" spans="1:20" x14ac:dyDescent="0.2">
      <c r="A43" s="2">
        <v>26</v>
      </c>
      <c r="B43" s="2" t="s">
        <v>112</v>
      </c>
      <c r="C43" s="2" t="s">
        <v>113</v>
      </c>
      <c r="D43" s="2" t="s">
        <v>216</v>
      </c>
      <c r="E43" s="19"/>
      <c r="F43" s="2"/>
      <c r="G43" s="2"/>
      <c r="H43" s="19"/>
      <c r="I43" s="2"/>
      <c r="J43" s="2"/>
      <c r="K43" s="25"/>
      <c r="L43" s="26"/>
      <c r="M43" s="26"/>
      <c r="N43" s="22"/>
      <c r="O43" s="22"/>
      <c r="P43" s="19"/>
      <c r="Q43" s="23"/>
      <c r="R43" s="19"/>
      <c r="S43" s="19"/>
      <c r="T43" s="2"/>
    </row>
    <row r="44" spans="1:20" x14ac:dyDescent="0.2">
      <c r="A44" s="2"/>
      <c r="B44" s="2"/>
      <c r="C44" s="2" t="s">
        <v>114</v>
      </c>
      <c r="D44" s="2"/>
      <c r="E44" s="19">
        <f>SUM(1327576.05960999+6526799.76001)</f>
        <v>7854375.8196199909</v>
      </c>
      <c r="F44" s="2">
        <f>SUM(26695+136285)</f>
        <v>162980</v>
      </c>
      <c r="G44" s="2">
        <v>2723541</v>
      </c>
      <c r="H44" s="19">
        <f>E44/G44</f>
        <v>2.8838838187565345</v>
      </c>
      <c r="I44" s="2" t="s">
        <v>114</v>
      </c>
      <c r="J44" s="3" t="s">
        <v>115</v>
      </c>
      <c r="K44" s="20">
        <v>304449262.41000003</v>
      </c>
      <c r="L44" s="21">
        <v>9564673.25</v>
      </c>
      <c r="M44" s="21">
        <v>543339</v>
      </c>
      <c r="N44" s="22">
        <f t="shared" si="0"/>
        <v>171404934.73683</v>
      </c>
      <c r="O44" s="22">
        <f t="shared" si="1"/>
        <v>170046587.23683</v>
      </c>
      <c r="P44" s="19">
        <f t="shared" si="2"/>
        <v>13.33395685290373</v>
      </c>
      <c r="Q44" s="23">
        <f t="shared" si="3"/>
        <v>4.623610967328438</v>
      </c>
      <c r="R44" s="19">
        <f t="shared" si="4"/>
        <v>36315578.181114279</v>
      </c>
      <c r="S44" s="19">
        <f t="shared" si="5"/>
        <v>28461202.361494288</v>
      </c>
      <c r="T44" s="2"/>
    </row>
    <row r="45" spans="1:20" x14ac:dyDescent="0.2">
      <c r="A45" s="2"/>
      <c r="B45" s="2"/>
      <c r="C45" s="2" t="s">
        <v>116</v>
      </c>
      <c r="D45" s="2"/>
      <c r="E45" s="19">
        <f>SUM(741033.95181+3031870.69696999)</f>
        <v>3772904.6487799902</v>
      </c>
      <c r="F45" s="2">
        <f>SUM(7585+32424)</f>
        <v>40009</v>
      </c>
      <c r="G45" s="2">
        <v>654240</v>
      </c>
      <c r="H45" s="19">
        <f>E45/G45</f>
        <v>5.7668510772499237</v>
      </c>
      <c r="I45" s="2" t="s">
        <v>116</v>
      </c>
      <c r="J45" s="3" t="s">
        <v>117</v>
      </c>
      <c r="K45" s="20">
        <v>627964946.52999997</v>
      </c>
      <c r="L45" s="21">
        <v>9910356.3000000007</v>
      </c>
      <c r="M45" s="21">
        <v>646109</v>
      </c>
      <c r="N45" s="22">
        <f t="shared" si="0"/>
        <v>353544264.89638996</v>
      </c>
      <c r="O45" s="22">
        <f t="shared" si="1"/>
        <v>351928992.39638996</v>
      </c>
      <c r="P45" s="19">
        <f t="shared" si="2"/>
        <v>26.63342631760802</v>
      </c>
      <c r="Q45" s="23">
        <f t="shared" si="3"/>
        <v>4.6183655448770278</v>
      </c>
      <c r="R45" s="19">
        <f t="shared" si="4"/>
        <v>17424652.834031872</v>
      </c>
      <c r="S45" s="19">
        <f t="shared" si="5"/>
        <v>13651748.185251882</v>
      </c>
      <c r="T45" s="2"/>
    </row>
    <row r="46" spans="1:20" x14ac:dyDescent="0.2">
      <c r="A46" s="2">
        <v>27</v>
      </c>
      <c r="B46" s="2" t="s">
        <v>118</v>
      </c>
      <c r="C46" s="2" t="s">
        <v>119</v>
      </c>
      <c r="D46" s="2" t="s">
        <v>220</v>
      </c>
      <c r="E46" s="19">
        <v>12924518.01701</v>
      </c>
      <c r="F46" s="2">
        <v>124140</v>
      </c>
      <c r="G46" s="1">
        <v>1026156.5367999999</v>
      </c>
      <c r="H46" s="19">
        <f>E46/G46</f>
        <v>12.595074487674404</v>
      </c>
      <c r="I46" s="2" t="s">
        <v>120</v>
      </c>
      <c r="J46" s="2" t="s">
        <v>120</v>
      </c>
      <c r="K46" s="20">
        <v>5475577.4000000004</v>
      </c>
      <c r="L46" s="21">
        <v>32853.339999999997</v>
      </c>
      <c r="M46" s="21">
        <v>2041</v>
      </c>
      <c r="N46" s="22">
        <f t="shared" si="0"/>
        <v>3082750.0762</v>
      </c>
      <c r="O46" s="22">
        <f t="shared" si="1"/>
        <v>3077647.5762</v>
      </c>
      <c r="P46" s="19">
        <f t="shared" si="2"/>
        <v>70.258782886306236</v>
      </c>
      <c r="Q46" s="23">
        <f t="shared" si="3"/>
        <v>5.5782745036610777</v>
      </c>
      <c r="R46" s="19">
        <f t="shared" si="4"/>
        <v>72096509.326395109</v>
      </c>
      <c r="S46" s="19">
        <f t="shared" si="5"/>
        <v>59171991.309385106</v>
      </c>
      <c r="T46" s="2"/>
    </row>
    <row r="47" spans="1:20" ht="17" x14ac:dyDescent="0.2">
      <c r="A47" s="2">
        <v>28</v>
      </c>
      <c r="B47" s="2" t="s">
        <v>121</v>
      </c>
      <c r="C47" s="2" t="s">
        <v>122</v>
      </c>
      <c r="D47" s="24" t="s">
        <v>218</v>
      </c>
      <c r="E47" s="19"/>
      <c r="F47" s="2"/>
      <c r="G47" s="2"/>
      <c r="H47" s="19"/>
      <c r="I47" s="2"/>
      <c r="J47" s="2"/>
      <c r="K47" s="25"/>
      <c r="L47" s="26"/>
      <c r="M47" s="26"/>
      <c r="N47" s="22"/>
      <c r="O47" s="22"/>
      <c r="P47" s="19"/>
      <c r="Q47" s="23"/>
      <c r="R47" s="19"/>
      <c r="S47" s="19"/>
      <c r="T47" s="2"/>
    </row>
    <row r="48" spans="1:20" x14ac:dyDescent="0.2">
      <c r="A48" s="2"/>
      <c r="B48" s="2"/>
      <c r="C48" s="2" t="s">
        <v>123</v>
      </c>
      <c r="D48" s="2"/>
      <c r="E48" s="19">
        <f>SUM(45339.0050799999+3746686.94486999+3065407.76179999+32436.98496)</f>
        <v>6889870.6967099803</v>
      </c>
      <c r="F48" s="2">
        <f>SUM(598+50616+40898+393)</f>
        <v>92505</v>
      </c>
      <c r="G48" s="2">
        <v>404775</v>
      </c>
      <c r="H48" s="19">
        <f t="shared" ref="H48:H53" si="9">E48/G48</f>
        <v>17.02148279095789</v>
      </c>
      <c r="I48" s="2" t="s">
        <v>124</v>
      </c>
      <c r="J48" s="2" t="s">
        <v>207</v>
      </c>
      <c r="K48" s="20">
        <v>270982351.04000002</v>
      </c>
      <c r="L48" s="21">
        <v>1636500</v>
      </c>
      <c r="M48" s="21">
        <v>300273</v>
      </c>
      <c r="N48" s="22">
        <f t="shared" si="0"/>
        <v>152563063.63552001</v>
      </c>
      <c r="O48" s="22">
        <f t="shared" si="1"/>
        <v>151812381.13552001</v>
      </c>
      <c r="P48" s="19">
        <f t="shared" si="2"/>
        <v>69.574876780714945</v>
      </c>
      <c r="Q48" s="23">
        <f t="shared" si="3"/>
        <v>4.0874744953285935</v>
      </c>
      <c r="R48" s="19">
        <f t="shared" si="4"/>
        <v>28162170.748913892</v>
      </c>
      <c r="S48" s="19">
        <f t="shared" si="5"/>
        <v>21272300.052203912</v>
      </c>
      <c r="T48" s="2"/>
    </row>
    <row r="49" spans="1:20" x14ac:dyDescent="0.2">
      <c r="A49" s="2"/>
      <c r="B49" s="2"/>
      <c r="C49" s="2" t="s">
        <v>125</v>
      </c>
      <c r="D49" s="2"/>
      <c r="E49" s="19">
        <f>SUM(382704.94979+485055.14775+32275.11762+2928287.00605999+52217.41243+1630961.04186999+265569.547119999+220011.079909999)</f>
        <v>5997081.3025499787</v>
      </c>
      <c r="F49" s="2">
        <f>SUM(3812+5121+305+31287+520+17362+2813+2203)</f>
        <v>63423</v>
      </c>
      <c r="G49" s="2">
        <v>78923</v>
      </c>
      <c r="H49" s="19">
        <f t="shared" si="9"/>
        <v>75.986484327128707</v>
      </c>
      <c r="I49" s="2" t="s">
        <v>126</v>
      </c>
      <c r="J49" s="2" t="s">
        <v>126</v>
      </c>
      <c r="K49" s="20">
        <v>79570068.719999999</v>
      </c>
      <c r="L49" s="21">
        <v>239561</v>
      </c>
      <c r="M49" s="21">
        <v>73680</v>
      </c>
      <c r="N49" s="22">
        <f t="shared" si="0"/>
        <v>44797948.689359993</v>
      </c>
      <c r="O49" s="22">
        <f t="shared" si="1"/>
        <v>44613748.689359993</v>
      </c>
      <c r="P49" s="19">
        <f t="shared" si="2"/>
        <v>139.67345067444199</v>
      </c>
      <c r="Q49" s="23">
        <f t="shared" si="3"/>
        <v>1.8381354514723318</v>
      </c>
      <c r="R49" s="19">
        <f t="shared" si="4"/>
        <v>11023447.747578986</v>
      </c>
      <c r="S49" s="19">
        <f t="shared" si="5"/>
        <v>5026366.4450290073</v>
      </c>
      <c r="T49" s="2"/>
    </row>
    <row r="50" spans="1:20" x14ac:dyDescent="0.2">
      <c r="A50" s="2">
        <v>29</v>
      </c>
      <c r="B50" s="1" t="s">
        <v>230</v>
      </c>
      <c r="C50" s="2" t="s">
        <v>229</v>
      </c>
      <c r="D50" s="2" t="s">
        <v>228</v>
      </c>
      <c r="E50" s="11">
        <v>3876242.9440000011</v>
      </c>
      <c r="F50" s="1">
        <v>10078</v>
      </c>
      <c r="G50" s="1">
        <v>10105</v>
      </c>
      <c r="H50" s="19">
        <f t="shared" si="9"/>
        <v>383.59653082632371</v>
      </c>
      <c r="I50" s="1" t="s">
        <v>232</v>
      </c>
      <c r="J50" s="2" t="s">
        <v>231</v>
      </c>
      <c r="K50" s="5">
        <v>10231698.710000001</v>
      </c>
      <c r="L50" s="6">
        <v>4521</v>
      </c>
      <c r="M50" s="6">
        <v>4500</v>
      </c>
      <c r="N50" s="22">
        <f t="shared" si="0"/>
        <v>5760446.3737300001</v>
      </c>
      <c r="O50" s="22">
        <f t="shared" si="1"/>
        <v>5749196.3737300001</v>
      </c>
      <c r="P50" s="19">
        <f t="shared" si="2"/>
        <v>953.74856896648976</v>
      </c>
      <c r="Q50" s="23">
        <f t="shared" si="3"/>
        <v>2.4863326237908727</v>
      </c>
      <c r="R50" s="19">
        <f t="shared" si="4"/>
        <v>9637629.2894063797</v>
      </c>
      <c r="S50" s="19">
        <f t="shared" si="5"/>
        <v>5761386.3454063786</v>
      </c>
      <c r="T50" s="2"/>
    </row>
    <row r="51" spans="1:20" x14ac:dyDescent="0.2">
      <c r="A51" s="2">
        <v>30</v>
      </c>
      <c r="B51" s="2" t="s">
        <v>127</v>
      </c>
      <c r="C51" s="2" t="s">
        <v>128</v>
      </c>
      <c r="D51" s="2" t="s">
        <v>217</v>
      </c>
      <c r="E51" s="19">
        <v>10819755.83341</v>
      </c>
      <c r="F51" s="2">
        <v>364550</v>
      </c>
      <c r="G51" s="2">
        <v>24455640</v>
      </c>
      <c r="H51" s="19">
        <f t="shared" si="9"/>
        <v>0.44242374492795938</v>
      </c>
      <c r="I51" s="2" t="s">
        <v>129</v>
      </c>
      <c r="J51" s="2" t="s">
        <v>130</v>
      </c>
      <c r="K51" s="20">
        <v>37243492.039999999</v>
      </c>
      <c r="L51" s="21">
        <v>7049820</v>
      </c>
      <c r="M51" s="21">
        <v>82950</v>
      </c>
      <c r="N51" s="22">
        <f t="shared" si="0"/>
        <v>20968086.018519998</v>
      </c>
      <c r="O51" s="22">
        <f t="shared" si="1"/>
        <v>20760711.018519998</v>
      </c>
      <c r="P51" s="19">
        <f t="shared" si="2"/>
        <v>2.2086426694426238</v>
      </c>
      <c r="Q51" s="23">
        <f t="shared" si="3"/>
        <v>4.9921431540756496</v>
      </c>
      <c r="R51" s="19">
        <f t="shared" si="4"/>
        <v>54013770.012527809</v>
      </c>
      <c r="S51" s="19">
        <f t="shared" si="5"/>
        <v>43194014.179117806</v>
      </c>
      <c r="T51" s="2"/>
    </row>
    <row r="52" spans="1:20" x14ac:dyDescent="0.2">
      <c r="A52" s="2">
        <v>31</v>
      </c>
      <c r="B52" s="2" t="s">
        <v>131</v>
      </c>
      <c r="C52" s="2" t="s">
        <v>132</v>
      </c>
      <c r="D52" s="2" t="s">
        <v>219</v>
      </c>
      <c r="E52" s="19">
        <v>10672671.140310001</v>
      </c>
      <c r="F52" s="2">
        <v>325229</v>
      </c>
      <c r="G52" s="2">
        <v>8645567</v>
      </c>
      <c r="H52" s="19">
        <f t="shared" si="9"/>
        <v>1.234467460643125</v>
      </c>
      <c r="I52" s="2" t="s">
        <v>133</v>
      </c>
      <c r="J52" s="2" t="s">
        <v>134</v>
      </c>
      <c r="K52" s="20">
        <v>269111193.94999999</v>
      </c>
      <c r="L52" s="21">
        <v>36089295.285999998</v>
      </c>
      <c r="M52" s="21">
        <v>621519</v>
      </c>
      <c r="N52" s="22">
        <f t="shared" si="0"/>
        <v>151509602.19384998</v>
      </c>
      <c r="O52" s="22">
        <f t="shared" si="1"/>
        <v>149955804.69384998</v>
      </c>
      <c r="P52" s="19">
        <f t="shared" si="2"/>
        <v>3.1163493947197241</v>
      </c>
      <c r="Q52" s="23">
        <f t="shared" si="3"/>
        <v>2.5244483909654356</v>
      </c>
      <c r="R52" s="19">
        <f t="shared" si="4"/>
        <v>26942607.487458821</v>
      </c>
      <c r="S52" s="19">
        <f t="shared" si="5"/>
        <v>16269936.347148821</v>
      </c>
      <c r="T52" s="2"/>
    </row>
    <row r="53" spans="1:20" x14ac:dyDescent="0.2">
      <c r="A53" s="2">
        <v>32</v>
      </c>
      <c r="B53" s="2" t="s">
        <v>139</v>
      </c>
      <c r="C53" s="2" t="s">
        <v>140</v>
      </c>
      <c r="D53" s="2" t="s">
        <v>219</v>
      </c>
      <c r="E53" s="19">
        <v>10629313.96989999</v>
      </c>
      <c r="F53" s="2">
        <v>128337</v>
      </c>
      <c r="G53" s="2">
        <v>534223</v>
      </c>
      <c r="H53" s="19">
        <f t="shared" si="9"/>
        <v>19.896773388453866</v>
      </c>
      <c r="I53" s="2" t="s">
        <v>141</v>
      </c>
      <c r="J53" s="2" t="s">
        <v>142</v>
      </c>
      <c r="K53" s="20">
        <v>475879.56</v>
      </c>
      <c r="L53" s="21">
        <v>1302</v>
      </c>
      <c r="M53" s="21">
        <v>431</v>
      </c>
      <c r="N53" s="22">
        <f t="shared" si="0"/>
        <v>267920.19227999996</v>
      </c>
      <c r="O53" s="22">
        <f t="shared" si="1"/>
        <v>266842.69227999996</v>
      </c>
      <c r="P53" s="19">
        <f t="shared" si="2"/>
        <v>153.71122827188938</v>
      </c>
      <c r="Q53" s="23">
        <f t="shared" si="3"/>
        <v>7.7254349371586191</v>
      </c>
      <c r="R53" s="19">
        <f t="shared" si="4"/>
        <v>82116073.501093566</v>
      </c>
      <c r="S53" s="19">
        <f t="shared" si="5"/>
        <v>71486759.531193584</v>
      </c>
      <c r="T53" s="2"/>
    </row>
    <row r="54" spans="1:20" x14ac:dyDescent="0.2">
      <c r="A54" s="2">
        <v>33</v>
      </c>
      <c r="B54" s="2" t="s">
        <v>135</v>
      </c>
      <c r="C54" s="2" t="s">
        <v>136</v>
      </c>
      <c r="D54" s="2" t="s">
        <v>219</v>
      </c>
      <c r="E54" s="19"/>
      <c r="F54" s="2"/>
      <c r="G54" s="2"/>
      <c r="H54" s="19"/>
      <c r="I54" s="2"/>
      <c r="J54" s="2"/>
      <c r="K54" s="25"/>
      <c r="L54" s="26"/>
      <c r="M54" s="26"/>
      <c r="N54" s="22"/>
      <c r="O54" s="22"/>
      <c r="P54" s="19"/>
      <c r="Q54" s="23"/>
      <c r="R54" s="19"/>
      <c r="S54" s="19"/>
      <c r="T54" s="2"/>
    </row>
    <row r="55" spans="1:20" x14ac:dyDescent="0.2">
      <c r="A55" s="2"/>
      <c r="B55" s="2"/>
      <c r="C55" s="2" t="s">
        <v>137</v>
      </c>
      <c r="D55" s="2"/>
      <c r="E55" s="19">
        <f>SUM(196331.87492+1418755.8787)</f>
        <v>1615087.7536200001</v>
      </c>
      <c r="F55" s="2">
        <v>5328</v>
      </c>
      <c r="G55" s="2">
        <v>5518</v>
      </c>
      <c r="H55" s="19">
        <f t="shared" ref="H55:H73" si="10">E55/G55</f>
        <v>292.69440986226897</v>
      </c>
      <c r="I55" s="2" t="s">
        <v>138</v>
      </c>
      <c r="J55" s="2" t="s">
        <v>138</v>
      </c>
      <c r="K55" s="20">
        <v>23416164.43</v>
      </c>
      <c r="L55" s="21">
        <v>17505.849999999999</v>
      </c>
      <c r="M55" s="21">
        <v>10221</v>
      </c>
      <c r="N55" s="22">
        <f t="shared" si="0"/>
        <v>13183300.574089998</v>
      </c>
      <c r="O55" s="22">
        <f t="shared" si="1"/>
        <v>13157748.074089998</v>
      </c>
      <c r="P55" s="19">
        <f t="shared" si="2"/>
        <v>563.71504700243065</v>
      </c>
      <c r="Q55" s="23">
        <f t="shared" si="3"/>
        <v>1.9259508484213752</v>
      </c>
      <c r="R55" s="19">
        <f t="shared" si="4"/>
        <v>3110579.6293594125</v>
      </c>
      <c r="S55" s="19">
        <f t="shared" si="5"/>
        <v>1495491.8757394124</v>
      </c>
      <c r="T55" s="2"/>
    </row>
    <row r="56" spans="1:20" x14ac:dyDescent="0.2">
      <c r="A56" s="2"/>
      <c r="B56" s="2"/>
      <c r="C56" s="2" t="s">
        <v>143</v>
      </c>
      <c r="D56" s="2"/>
      <c r="E56" s="19">
        <f>SUM(560527.592579999+8438222.87031)</f>
        <v>8998750.4628899992</v>
      </c>
      <c r="F56" s="2">
        <v>51975</v>
      </c>
      <c r="G56" s="2">
        <v>52121</v>
      </c>
      <c r="H56" s="19">
        <f t="shared" si="10"/>
        <v>172.6511475775599</v>
      </c>
      <c r="I56" s="2" t="s">
        <v>144</v>
      </c>
      <c r="J56" s="2" t="s">
        <v>144</v>
      </c>
      <c r="K56" s="20">
        <v>303140910.86000001</v>
      </c>
      <c r="L56" s="21">
        <v>258088.666</v>
      </c>
      <c r="M56" s="21">
        <v>254983</v>
      </c>
      <c r="N56" s="22">
        <f t="shared" si="0"/>
        <v>170668332.81417999</v>
      </c>
      <c r="O56" s="22">
        <f t="shared" si="1"/>
        <v>170030875.31417999</v>
      </c>
      <c r="P56" s="19">
        <f t="shared" si="2"/>
        <v>494.10599257247122</v>
      </c>
      <c r="Q56" s="23">
        <f t="shared" si="3"/>
        <v>2.8618749397567975</v>
      </c>
      <c r="R56" s="19">
        <f t="shared" si="4"/>
        <v>25753298.438869774</v>
      </c>
      <c r="S56" s="19">
        <f t="shared" si="5"/>
        <v>16754547.975979775</v>
      </c>
      <c r="T56" s="2"/>
    </row>
    <row r="57" spans="1:20" x14ac:dyDescent="0.2">
      <c r="A57" s="2">
        <v>34</v>
      </c>
      <c r="B57" s="2" t="s">
        <v>145</v>
      </c>
      <c r="C57" s="2" t="s">
        <v>146</v>
      </c>
      <c r="D57" s="2" t="s">
        <v>219</v>
      </c>
      <c r="E57" s="19">
        <v>10521955.596989989</v>
      </c>
      <c r="F57" s="2">
        <v>135716</v>
      </c>
      <c r="G57" s="2">
        <v>135909</v>
      </c>
      <c r="H57" s="19">
        <f t="shared" si="10"/>
        <v>77.419123067567185</v>
      </c>
      <c r="I57" s="2" t="s">
        <v>147</v>
      </c>
      <c r="J57" s="2" t="s">
        <v>147</v>
      </c>
      <c r="K57" s="20">
        <v>174522.27</v>
      </c>
      <c r="L57" s="21">
        <v>189</v>
      </c>
      <c r="M57" s="21">
        <v>189</v>
      </c>
      <c r="N57" s="22">
        <f t="shared" si="0"/>
        <v>98256.038009999989</v>
      </c>
      <c r="O57" s="22">
        <f t="shared" si="1"/>
        <v>97783.538009999989</v>
      </c>
      <c r="P57" s="19">
        <f t="shared" si="2"/>
        <v>388.02991273809516</v>
      </c>
      <c r="Q57" s="23">
        <f t="shared" si="3"/>
        <v>5.0120680442149137</v>
      </c>
      <c r="R57" s="19">
        <f t="shared" si="4"/>
        <v>52736757.410321772</v>
      </c>
      <c r="S57" s="19">
        <f t="shared" si="5"/>
        <v>42214801.813331783</v>
      </c>
      <c r="T57" s="2"/>
    </row>
    <row r="58" spans="1:20" x14ac:dyDescent="0.2">
      <c r="A58" s="2">
        <v>35</v>
      </c>
      <c r="B58" s="2" t="s">
        <v>148</v>
      </c>
      <c r="C58" s="2" t="s">
        <v>149</v>
      </c>
      <c r="D58" s="2" t="s">
        <v>219</v>
      </c>
      <c r="E58" s="19">
        <v>9542945.3790499866</v>
      </c>
      <c r="F58" s="2">
        <v>59977</v>
      </c>
      <c r="G58" s="2">
        <v>2276583</v>
      </c>
      <c r="H58" s="19">
        <f t="shared" si="10"/>
        <v>4.1917845205072632</v>
      </c>
      <c r="I58" s="2" t="s">
        <v>150</v>
      </c>
      <c r="J58" s="2" t="s">
        <v>151</v>
      </c>
      <c r="K58" s="20">
        <v>633453580.70000005</v>
      </c>
      <c r="L58" s="21">
        <v>17427398</v>
      </c>
      <c r="M58" s="21">
        <v>326738</v>
      </c>
      <c r="N58" s="22">
        <f t="shared" si="0"/>
        <v>356634365.93409997</v>
      </c>
      <c r="O58" s="22">
        <f t="shared" si="1"/>
        <v>355817520.93409997</v>
      </c>
      <c r="P58" s="19">
        <f t="shared" si="2"/>
        <v>15.312850529985887</v>
      </c>
      <c r="Q58" s="23">
        <f t="shared" si="3"/>
        <v>3.6530624260554365</v>
      </c>
      <c r="R58" s="19">
        <f t="shared" si="4"/>
        <v>34860975.198106863</v>
      </c>
      <c r="S58" s="19">
        <f t="shared" si="5"/>
        <v>25318029.819056876</v>
      </c>
      <c r="T58" s="2"/>
    </row>
    <row r="59" spans="1:20" x14ac:dyDescent="0.2">
      <c r="A59" s="2">
        <v>36</v>
      </c>
      <c r="B59" s="2" t="s">
        <v>152</v>
      </c>
      <c r="C59" s="2" t="s">
        <v>153</v>
      </c>
      <c r="D59" s="2" t="s">
        <v>219</v>
      </c>
      <c r="E59" s="19">
        <v>9218592.510950001</v>
      </c>
      <c r="F59" s="2">
        <v>110492</v>
      </c>
      <c r="G59" s="2">
        <v>6073553</v>
      </c>
      <c r="H59" s="19">
        <f t="shared" si="10"/>
        <v>1.5178253175612366</v>
      </c>
      <c r="I59" s="2" t="s">
        <v>154</v>
      </c>
      <c r="J59" s="2" t="s">
        <v>154</v>
      </c>
      <c r="K59" s="20">
        <v>476575743.07999998</v>
      </c>
      <c r="L59" s="21">
        <v>61501574.284999996</v>
      </c>
      <c r="M59" s="21">
        <v>766812</v>
      </c>
      <c r="N59" s="22">
        <f t="shared" si="0"/>
        <v>268312143.35403997</v>
      </c>
      <c r="O59" s="22">
        <f t="shared" si="1"/>
        <v>266395113.35403997</v>
      </c>
      <c r="P59" s="19">
        <f t="shared" si="2"/>
        <v>3.2486377355101226</v>
      </c>
      <c r="Q59" s="23">
        <f t="shared" si="3"/>
        <v>2.1403238554024555</v>
      </c>
      <c r="R59" s="19">
        <f t="shared" si="4"/>
        <v>19730773.46442071</v>
      </c>
      <c r="S59" s="19">
        <f t="shared" si="5"/>
        <v>10512180.953470709</v>
      </c>
      <c r="T59" s="2"/>
    </row>
    <row r="60" spans="1:20" ht="17" x14ac:dyDescent="0.2">
      <c r="A60" s="2">
        <v>37</v>
      </c>
      <c r="B60" s="2" t="s">
        <v>155</v>
      </c>
      <c r="C60" s="2" t="s">
        <v>156</v>
      </c>
      <c r="D60" s="24" t="s">
        <v>218</v>
      </c>
      <c r="E60" s="19">
        <v>7928820.272460008</v>
      </c>
      <c r="F60" s="2">
        <v>257161</v>
      </c>
      <c r="G60" s="2">
        <v>7563043</v>
      </c>
      <c r="H60" s="19">
        <f t="shared" si="10"/>
        <v>1.0483637700407109</v>
      </c>
      <c r="I60" s="2" t="s">
        <v>157</v>
      </c>
      <c r="J60" s="2" t="s">
        <v>157</v>
      </c>
      <c r="K60" s="20">
        <v>221543818.72999999</v>
      </c>
      <c r="L60" s="21">
        <v>16242280</v>
      </c>
      <c r="M60" s="21">
        <v>346484</v>
      </c>
      <c r="N60" s="22">
        <f t="shared" si="0"/>
        <v>124729169.94498998</v>
      </c>
      <c r="O60" s="22">
        <f t="shared" si="1"/>
        <v>123862959.94498998</v>
      </c>
      <c r="P60" s="19">
        <f t="shared" si="2"/>
        <v>5.7194691852832538</v>
      </c>
      <c r="Q60" s="23">
        <f t="shared" si="3"/>
        <v>5.4556150724868626</v>
      </c>
      <c r="R60" s="19">
        <f t="shared" si="4"/>
        <v>43256591.385472216</v>
      </c>
      <c r="S60" s="19">
        <f t="shared" si="5"/>
        <v>35327771.11301221</v>
      </c>
      <c r="T60" s="2"/>
    </row>
    <row r="61" spans="1:20" x14ac:dyDescent="0.2">
      <c r="A61" s="2">
        <v>38</v>
      </c>
      <c r="B61" s="2" t="s">
        <v>158</v>
      </c>
      <c r="C61" s="2" t="s">
        <v>159</v>
      </c>
      <c r="D61" s="2" t="s">
        <v>219</v>
      </c>
      <c r="E61" s="19">
        <v>7928330.2214300027</v>
      </c>
      <c r="F61" s="2">
        <v>50639</v>
      </c>
      <c r="G61" s="2">
        <v>1566095</v>
      </c>
      <c r="H61" s="19">
        <f t="shared" si="10"/>
        <v>5.0624835794954981</v>
      </c>
      <c r="I61" s="2" t="s">
        <v>160</v>
      </c>
      <c r="J61" s="2" t="s">
        <v>161</v>
      </c>
      <c r="K61" s="20">
        <v>309218698.44999999</v>
      </c>
      <c r="L61" s="21">
        <v>8759640.1889999993</v>
      </c>
      <c r="M61" s="21">
        <v>245098</v>
      </c>
      <c r="N61" s="22">
        <f t="shared" si="0"/>
        <v>174090127.22734997</v>
      </c>
      <c r="O61" s="22">
        <f t="shared" si="1"/>
        <v>173477382.22734997</v>
      </c>
      <c r="P61" s="19">
        <f t="shared" si="2"/>
        <v>14.853125683620757</v>
      </c>
      <c r="Q61" s="23">
        <f t="shared" si="3"/>
        <v>2.9339602687858881</v>
      </c>
      <c r="R61" s="19">
        <f t="shared" si="4"/>
        <v>23261405.867490049</v>
      </c>
      <c r="S61" s="19">
        <f t="shared" si="5"/>
        <v>15333075.646060046</v>
      </c>
      <c r="T61" s="2"/>
    </row>
    <row r="62" spans="1:20" x14ac:dyDescent="0.2">
      <c r="A62" s="2">
        <v>39</v>
      </c>
      <c r="B62" s="2" t="s">
        <v>162</v>
      </c>
      <c r="C62" s="2" t="s">
        <v>163</v>
      </c>
      <c r="D62" s="2" t="s">
        <v>217</v>
      </c>
      <c r="E62" s="19">
        <v>7757752.0129600037</v>
      </c>
      <c r="F62" s="2">
        <v>233455</v>
      </c>
      <c r="G62" s="2">
        <v>7714960</v>
      </c>
      <c r="H62" s="19">
        <f t="shared" si="10"/>
        <v>1.0055466279747405</v>
      </c>
      <c r="I62" s="28" t="s">
        <v>164</v>
      </c>
      <c r="J62" s="2" t="s">
        <v>165</v>
      </c>
      <c r="K62" s="20">
        <v>2503796.65</v>
      </c>
      <c r="L62" s="21">
        <v>404186</v>
      </c>
      <c r="M62" s="21">
        <v>5808</v>
      </c>
      <c r="N62" s="22">
        <f t="shared" si="0"/>
        <v>1409637.5139499998</v>
      </c>
      <c r="O62" s="22">
        <f t="shared" si="1"/>
        <v>1395117.5139499998</v>
      </c>
      <c r="P62" s="19">
        <f t="shared" si="2"/>
        <v>2.588754027755785</v>
      </c>
      <c r="Q62" s="23">
        <f t="shared" si="3"/>
        <v>2.5744743761607194</v>
      </c>
      <c r="R62" s="19">
        <f t="shared" si="4"/>
        <v>19972133.773974773</v>
      </c>
      <c r="S62" s="19">
        <f t="shared" si="5"/>
        <v>12214381.761014769</v>
      </c>
      <c r="T62" s="2"/>
    </row>
    <row r="63" spans="1:20" x14ac:dyDescent="0.2">
      <c r="A63" s="2">
        <v>40</v>
      </c>
      <c r="B63" s="2" t="s">
        <v>166</v>
      </c>
      <c r="C63" s="2" t="s">
        <v>167</v>
      </c>
      <c r="D63" s="2" t="s">
        <v>219</v>
      </c>
      <c r="E63" s="19">
        <v>6785766.394960002</v>
      </c>
      <c r="F63" s="2">
        <v>106950</v>
      </c>
      <c r="G63" s="2">
        <v>3067187</v>
      </c>
      <c r="H63" s="19">
        <f t="shared" si="10"/>
        <v>2.2123745291565209</v>
      </c>
      <c r="I63" s="2" t="s">
        <v>168</v>
      </c>
      <c r="J63" s="2" t="s">
        <v>169</v>
      </c>
      <c r="K63" s="20">
        <v>71786953.530000001</v>
      </c>
      <c r="L63" s="21">
        <v>7102317</v>
      </c>
      <c r="M63" s="21">
        <v>217344</v>
      </c>
      <c r="N63" s="22">
        <f t="shared" si="0"/>
        <v>40416054.837389998</v>
      </c>
      <c r="O63" s="22">
        <f t="shared" si="1"/>
        <v>39872694.837389998</v>
      </c>
      <c r="P63" s="19">
        <f t="shared" si="2"/>
        <v>4.2105303280665307</v>
      </c>
      <c r="Q63" s="23">
        <f t="shared" si="3"/>
        <v>1.9031724839427693</v>
      </c>
      <c r="R63" s="19">
        <f t="shared" si="4"/>
        <v>12914483.885351399</v>
      </c>
      <c r="S63" s="19">
        <f t="shared" si="5"/>
        <v>6128717.4903913969</v>
      </c>
      <c r="T63" s="2"/>
    </row>
    <row r="64" spans="1:20" x14ac:dyDescent="0.2">
      <c r="A64" s="2">
        <v>41</v>
      </c>
      <c r="B64" s="2" t="s">
        <v>170</v>
      </c>
      <c r="C64" s="2" t="s">
        <v>171</v>
      </c>
      <c r="D64" s="2" t="s">
        <v>219</v>
      </c>
      <c r="E64" s="19">
        <v>6557794.2191900034</v>
      </c>
      <c r="F64" s="2">
        <v>148513</v>
      </c>
      <c r="G64" s="2">
        <v>9342781</v>
      </c>
      <c r="H64" s="19">
        <f t="shared" si="10"/>
        <v>0.70191030049725056</v>
      </c>
      <c r="I64" s="2" t="s">
        <v>172</v>
      </c>
      <c r="J64" s="2" t="s">
        <v>173</v>
      </c>
      <c r="K64" s="20">
        <v>51415137.32</v>
      </c>
      <c r="L64" s="21">
        <v>7276750</v>
      </c>
      <c r="M64" s="21">
        <v>85243</v>
      </c>
      <c r="N64" s="22">
        <f t="shared" si="0"/>
        <v>28946722.311159998</v>
      </c>
      <c r="O64" s="22">
        <f t="shared" si="1"/>
        <v>28733614.811159998</v>
      </c>
      <c r="P64" s="19">
        <f t="shared" si="2"/>
        <v>2.9615159388971724</v>
      </c>
      <c r="Q64" s="23">
        <f t="shared" si="3"/>
        <v>4.2192227935665878</v>
      </c>
      <c r="R64" s="19">
        <f t="shared" si="4"/>
        <v>27668794.845125664</v>
      </c>
      <c r="S64" s="19">
        <f t="shared" si="5"/>
        <v>21111000.625935659</v>
      </c>
      <c r="T64" s="2"/>
    </row>
    <row r="65" spans="1:20" ht="17" x14ac:dyDescent="0.2">
      <c r="A65" s="2">
        <v>42</v>
      </c>
      <c r="B65" s="2" t="s">
        <v>174</v>
      </c>
      <c r="C65" s="2" t="s">
        <v>175</v>
      </c>
      <c r="D65" s="24" t="s">
        <v>209</v>
      </c>
      <c r="E65" s="19">
        <v>6108735.1365900049</v>
      </c>
      <c r="F65" s="2">
        <v>240618</v>
      </c>
      <c r="G65" s="2">
        <v>7140566</v>
      </c>
      <c r="H65" s="19">
        <f t="shared" si="10"/>
        <v>0.85549732844567294</v>
      </c>
      <c r="I65" s="2" t="s">
        <v>176</v>
      </c>
      <c r="J65" s="2" t="s">
        <v>176</v>
      </c>
      <c r="K65" s="20">
        <v>145383941.69</v>
      </c>
      <c r="L65" s="21">
        <v>13861156.5</v>
      </c>
      <c r="M65" s="21">
        <v>330416</v>
      </c>
      <c r="N65" s="22">
        <f t="shared" si="0"/>
        <v>81851159.171469986</v>
      </c>
      <c r="O65" s="22">
        <f t="shared" si="1"/>
        <v>81025119.171469986</v>
      </c>
      <c r="P65" s="19">
        <f t="shared" si="2"/>
        <v>4.3841103286441134</v>
      </c>
      <c r="Q65" s="23">
        <f t="shared" si="3"/>
        <v>5.1246335702876715</v>
      </c>
      <c r="R65" s="19">
        <f t="shared" si="4"/>
        <v>31305029.152964983</v>
      </c>
      <c r="S65" s="19">
        <f t="shared" si="5"/>
        <v>25196294.016374979</v>
      </c>
      <c r="T65" s="2"/>
    </row>
    <row r="66" spans="1:20" x14ac:dyDescent="0.2">
      <c r="A66" s="2">
        <v>43</v>
      </c>
      <c r="B66" s="2" t="s">
        <v>177</v>
      </c>
      <c r="C66" s="2" t="s">
        <v>178</v>
      </c>
      <c r="D66" s="2" t="s">
        <v>221</v>
      </c>
      <c r="E66" s="19">
        <v>5876885.5464899996</v>
      </c>
      <c r="F66" s="2">
        <v>11263</v>
      </c>
      <c r="G66" s="2">
        <v>390689</v>
      </c>
      <c r="H66" s="19">
        <f t="shared" si="10"/>
        <v>15.042362458349222</v>
      </c>
      <c r="I66" s="2" t="s">
        <v>179</v>
      </c>
      <c r="J66" s="2" t="s">
        <v>180</v>
      </c>
      <c r="K66" s="20">
        <v>91377703.299999997</v>
      </c>
      <c r="L66" s="21">
        <v>260042</v>
      </c>
      <c r="M66" s="21">
        <v>4136</v>
      </c>
      <c r="N66" s="22">
        <f t="shared" si="0"/>
        <v>51445646.957899995</v>
      </c>
      <c r="O66" s="22">
        <f t="shared" si="1"/>
        <v>51435306.957899995</v>
      </c>
      <c r="P66" s="19">
        <f t="shared" si="2"/>
        <v>148.34711399860407</v>
      </c>
      <c r="Q66" s="23">
        <f t="shared" si="3"/>
        <v>9.8619558203947157</v>
      </c>
      <c r="R66" s="19">
        <f t="shared" si="4"/>
        <v>57957585.621000625</v>
      </c>
      <c r="S66" s="19">
        <f t="shared" si="5"/>
        <v>52080700.074510626</v>
      </c>
      <c r="T66" s="2"/>
    </row>
    <row r="67" spans="1:20" ht="17" x14ac:dyDescent="0.2">
      <c r="A67" s="2">
        <v>44</v>
      </c>
      <c r="B67" s="2" t="s">
        <v>181</v>
      </c>
      <c r="C67" s="2" t="s">
        <v>182</v>
      </c>
      <c r="D67" s="24" t="s">
        <v>218</v>
      </c>
      <c r="E67" s="19">
        <v>5806505.947910008</v>
      </c>
      <c r="F67" s="2">
        <v>161103</v>
      </c>
      <c r="G67" s="2">
        <v>10527022</v>
      </c>
      <c r="H67" s="19">
        <f t="shared" si="10"/>
        <v>0.55158105947817038</v>
      </c>
      <c r="I67" s="2" t="s">
        <v>183</v>
      </c>
      <c r="J67" s="2" t="s">
        <v>183</v>
      </c>
      <c r="K67" s="20">
        <v>692159591.60000002</v>
      </c>
      <c r="L67" s="21">
        <v>97354713</v>
      </c>
      <c r="M67" s="21">
        <v>1047444</v>
      </c>
      <c r="N67" s="22">
        <f t="shared" ref="N67:N73" si="11">K67*0.563</f>
        <v>389685850.07079995</v>
      </c>
      <c r="O67" s="22">
        <f t="shared" ref="O67:O72" si="12">N67-(2.5)*M67</f>
        <v>387067240.07079995</v>
      </c>
      <c r="P67" s="19">
        <f t="shared" ref="P67:P73" si="13">(O67/L67)*0.75</f>
        <v>2.9818836819240584</v>
      </c>
      <c r="Q67" s="23">
        <f t="shared" ref="Q67:Q73" si="14">P67/H67</f>
        <v>5.4060661269716253</v>
      </c>
      <c r="R67" s="19">
        <f t="shared" ref="R67:R73" si="15">P67*G67</f>
        <v>31390355.121055566</v>
      </c>
      <c r="S67" s="19">
        <f t="shared" ref="S67:S73" si="16">R67-E67</f>
        <v>25583849.173145559</v>
      </c>
      <c r="T67" s="2"/>
    </row>
    <row r="68" spans="1:20" x14ac:dyDescent="0.2">
      <c r="A68" s="2">
        <v>45</v>
      </c>
      <c r="B68" s="2" t="s">
        <v>184</v>
      </c>
      <c r="C68" s="2" t="s">
        <v>185</v>
      </c>
      <c r="D68" s="2" t="s">
        <v>219</v>
      </c>
      <c r="E68" s="19">
        <v>5604961.7016500011</v>
      </c>
      <c r="F68" s="2">
        <v>42673</v>
      </c>
      <c r="G68" s="2">
        <v>1209900</v>
      </c>
      <c r="H68" s="19">
        <f t="shared" si="10"/>
        <v>4.6325826114968187</v>
      </c>
      <c r="I68" s="2" t="s">
        <v>186</v>
      </c>
      <c r="J68" s="2" t="s">
        <v>186</v>
      </c>
      <c r="K68" s="20">
        <v>32971637.289999999</v>
      </c>
      <c r="L68" s="21">
        <v>1414352</v>
      </c>
      <c r="M68" s="21">
        <v>33399</v>
      </c>
      <c r="N68" s="22">
        <f t="shared" si="11"/>
        <v>18563031.794269998</v>
      </c>
      <c r="O68" s="22">
        <f t="shared" si="12"/>
        <v>18479534.294269998</v>
      </c>
      <c r="P68" s="19">
        <f t="shared" si="13"/>
        <v>9.7992937548096215</v>
      </c>
      <c r="Q68" s="23">
        <f t="shared" si="14"/>
        <v>2.1152982205844362</v>
      </c>
      <c r="R68" s="19">
        <f t="shared" si="15"/>
        <v>11856165.51394416</v>
      </c>
      <c r="S68" s="19">
        <f t="shared" si="16"/>
        <v>6251203.8122941591</v>
      </c>
      <c r="T68" s="2"/>
    </row>
    <row r="69" spans="1:20" x14ac:dyDescent="0.2">
      <c r="A69" s="2">
        <v>46</v>
      </c>
      <c r="B69" s="2" t="s">
        <v>187</v>
      </c>
      <c r="C69" s="2" t="s">
        <v>188</v>
      </c>
      <c r="D69" s="2" t="s">
        <v>219</v>
      </c>
      <c r="E69" s="19">
        <v>5581802.1415000018</v>
      </c>
      <c r="F69" s="2">
        <v>10318</v>
      </c>
      <c r="G69" s="2">
        <v>905677.5</v>
      </c>
      <c r="H69" s="19">
        <f t="shared" si="10"/>
        <v>6.1631233430222148</v>
      </c>
      <c r="I69" s="2" t="s">
        <v>189</v>
      </c>
      <c r="J69" s="2" t="s">
        <v>189</v>
      </c>
      <c r="K69" s="20">
        <v>2962732.94</v>
      </c>
      <c r="L69" s="21">
        <v>63237.5</v>
      </c>
      <c r="M69" s="21">
        <v>664</v>
      </c>
      <c r="N69" s="22">
        <f t="shared" si="11"/>
        <v>1668018.6452199998</v>
      </c>
      <c r="O69" s="22">
        <f t="shared" si="12"/>
        <v>1666358.6452199998</v>
      </c>
      <c r="P69" s="19">
        <f t="shared" si="13"/>
        <v>19.76309917240561</v>
      </c>
      <c r="Q69" s="23">
        <f t="shared" si="14"/>
        <v>3.2066694227012444</v>
      </c>
      <c r="R69" s="19">
        <f t="shared" si="15"/>
        <v>17898994.250716381</v>
      </c>
      <c r="S69" s="19">
        <f t="shared" si="16"/>
        <v>12317192.109216379</v>
      </c>
      <c r="T69" s="2"/>
    </row>
    <row r="70" spans="1:20" x14ac:dyDescent="0.2">
      <c r="A70" s="2">
        <v>47</v>
      </c>
      <c r="B70" s="2" t="s">
        <v>190</v>
      </c>
      <c r="C70" s="2" t="s">
        <v>191</v>
      </c>
      <c r="D70" s="2" t="s">
        <v>217</v>
      </c>
      <c r="E70" s="19">
        <v>5214477.7387300143</v>
      </c>
      <c r="F70" s="2">
        <v>156972</v>
      </c>
      <c r="G70" s="2">
        <v>5185620</v>
      </c>
      <c r="H70" s="19">
        <f t="shared" si="10"/>
        <v>1.0055649543796141</v>
      </c>
      <c r="I70" s="2" t="s">
        <v>192</v>
      </c>
      <c r="J70" s="2" t="s">
        <v>192</v>
      </c>
      <c r="K70" s="20">
        <v>168436709.84999999</v>
      </c>
      <c r="L70" s="21">
        <v>54787500</v>
      </c>
      <c r="M70" s="21">
        <v>354582</v>
      </c>
      <c r="N70" s="22">
        <f t="shared" si="11"/>
        <v>94829867.645549983</v>
      </c>
      <c r="O70" s="22">
        <f t="shared" si="12"/>
        <v>93943412.645549983</v>
      </c>
      <c r="P70" s="19">
        <f t="shared" si="13"/>
        <v>1.286015231287474</v>
      </c>
      <c r="Q70" s="23">
        <f t="shared" si="14"/>
        <v>1.2788982210312654</v>
      </c>
      <c r="R70" s="19">
        <f t="shared" si="15"/>
        <v>6668786.3036689507</v>
      </c>
      <c r="S70" s="19">
        <f t="shared" si="16"/>
        <v>1454308.5649389364</v>
      </c>
      <c r="T70" s="2"/>
    </row>
    <row r="71" spans="1:20" x14ac:dyDescent="0.2">
      <c r="A71" s="2">
        <v>48</v>
      </c>
      <c r="B71" s="2" t="s">
        <v>193</v>
      </c>
      <c r="C71" s="2" t="s">
        <v>194</v>
      </c>
      <c r="D71" s="2" t="s">
        <v>219</v>
      </c>
      <c r="E71" s="19">
        <v>4258713.4738799985</v>
      </c>
      <c r="F71" s="2">
        <v>5619</v>
      </c>
      <c r="G71" s="2">
        <v>3043.5</v>
      </c>
      <c r="H71" s="19">
        <f t="shared" si="10"/>
        <v>1399.2815751207486</v>
      </c>
      <c r="I71" s="2" t="s">
        <v>210</v>
      </c>
      <c r="J71" s="2" t="s">
        <v>195</v>
      </c>
      <c r="K71" s="20">
        <v>29858545.010000002</v>
      </c>
      <c r="L71" s="21">
        <v>1795.6</v>
      </c>
      <c r="M71" s="21">
        <v>3865</v>
      </c>
      <c r="N71" s="22">
        <f t="shared" si="11"/>
        <v>16810360.840629999</v>
      </c>
      <c r="O71" s="22">
        <f t="shared" si="12"/>
        <v>16800698.340629999</v>
      </c>
      <c r="P71" s="19">
        <f t="shared" si="13"/>
        <v>7017.4447290446078</v>
      </c>
      <c r="Q71" s="23">
        <f t="shared" si="14"/>
        <v>5.0150340387631056</v>
      </c>
      <c r="R71" s="19">
        <f t="shared" si="15"/>
        <v>21357593.032847263</v>
      </c>
      <c r="S71" s="19">
        <f t="shared" si="16"/>
        <v>17098879.558967263</v>
      </c>
      <c r="T71" s="2"/>
    </row>
    <row r="72" spans="1:20" ht="17" x14ac:dyDescent="0.2">
      <c r="A72" s="2">
        <v>49</v>
      </c>
      <c r="B72" s="2" t="s">
        <v>196</v>
      </c>
      <c r="C72" s="2" t="s">
        <v>197</v>
      </c>
      <c r="D72" s="24" t="s">
        <v>218</v>
      </c>
      <c r="E72" s="19">
        <v>3628735.9111900041</v>
      </c>
      <c r="F72" s="2">
        <v>58679</v>
      </c>
      <c r="G72" s="2">
        <v>400302</v>
      </c>
      <c r="H72" s="19">
        <f t="shared" si="10"/>
        <v>9.0649957062168163</v>
      </c>
      <c r="I72" s="2" t="s">
        <v>198</v>
      </c>
      <c r="J72" s="2" t="s">
        <v>199</v>
      </c>
      <c r="K72" s="20">
        <v>63298.03</v>
      </c>
      <c r="L72" s="21">
        <v>636</v>
      </c>
      <c r="M72" s="21">
        <v>70</v>
      </c>
      <c r="N72" s="22">
        <f t="shared" si="11"/>
        <v>35636.790889999997</v>
      </c>
      <c r="O72" s="22">
        <f t="shared" si="12"/>
        <v>35461.790889999997</v>
      </c>
      <c r="P72" s="19">
        <f t="shared" si="13"/>
        <v>41.818149634433958</v>
      </c>
      <c r="Q72" s="23">
        <f t="shared" si="14"/>
        <v>4.6131461050505385</v>
      </c>
      <c r="R72" s="19">
        <f t="shared" si="15"/>
        <v>16739888.934963182</v>
      </c>
      <c r="S72" s="19">
        <f t="shared" si="16"/>
        <v>13111153.023773178</v>
      </c>
      <c r="T72" s="2"/>
    </row>
    <row r="73" spans="1:20" x14ac:dyDescent="0.2">
      <c r="A73" s="2">
        <v>50</v>
      </c>
      <c r="B73" s="2" t="s">
        <v>211</v>
      </c>
      <c r="C73" s="2" t="s">
        <v>212</v>
      </c>
      <c r="D73" s="2" t="s">
        <v>217</v>
      </c>
      <c r="E73" s="19">
        <v>16544366.82968004</v>
      </c>
      <c r="F73" s="2">
        <v>483246</v>
      </c>
      <c r="G73" s="2">
        <v>16452750</v>
      </c>
      <c r="H73" s="19">
        <f t="shared" si="10"/>
        <v>1.0055684812374857</v>
      </c>
      <c r="I73" s="2" t="s">
        <v>213</v>
      </c>
      <c r="J73" s="2" t="s">
        <v>213</v>
      </c>
      <c r="K73" s="20">
        <v>666541776</v>
      </c>
      <c r="L73" s="21">
        <v>99404830</v>
      </c>
      <c r="M73" s="21">
        <v>1353820</v>
      </c>
      <c r="N73" s="22">
        <f t="shared" si="11"/>
        <v>375263019.88799995</v>
      </c>
      <c r="O73" s="22">
        <f>N73-(2.5)*M73</f>
        <v>371878469.88799995</v>
      </c>
      <c r="P73" s="19">
        <f t="shared" si="13"/>
        <v>2.8057877309985839</v>
      </c>
      <c r="Q73" s="23">
        <f t="shared" si="14"/>
        <v>2.7902502746960498</v>
      </c>
      <c r="R73" s="19">
        <f t="shared" si="15"/>
        <v>46162924.091186948</v>
      </c>
      <c r="S73" s="19">
        <f t="shared" si="16"/>
        <v>29618557.261506908</v>
      </c>
      <c r="T73" s="2"/>
    </row>
    <row r="74" spans="1:20" x14ac:dyDescent="0.2">
      <c r="A74" s="2"/>
      <c r="B74" s="2"/>
      <c r="C74" s="2"/>
      <c r="D74" s="2"/>
      <c r="E74" s="19">
        <f>SUM(E2:E73)</f>
        <v>1387112168.0260191</v>
      </c>
      <c r="F74" s="2"/>
      <c r="G74" s="2"/>
      <c r="H74" s="22"/>
      <c r="I74" s="2"/>
      <c r="J74" s="2"/>
      <c r="K74" s="20"/>
      <c r="L74" s="21"/>
      <c r="M74" s="21"/>
      <c r="N74" s="22"/>
      <c r="O74" s="22"/>
      <c r="P74" s="22"/>
      <c r="Q74" s="23"/>
      <c r="R74" s="19">
        <f>SUM(R2:R73)</f>
        <v>6419608333.0152597</v>
      </c>
      <c r="S74" s="19">
        <f>SUM(S2:S73)</f>
        <v>5032496164.9892464</v>
      </c>
      <c r="T74" s="12">
        <f>R74/E74</f>
        <v>4.6280383670420244</v>
      </c>
    </row>
    <row r="75" spans="1:20" x14ac:dyDescent="0.2">
      <c r="K75" s="5"/>
      <c r="L75" s="6"/>
      <c r="M75" s="6"/>
      <c r="N75" s="7"/>
      <c r="O75" s="7"/>
      <c r="P75" s="7"/>
      <c r="S75" s="7"/>
    </row>
    <row r="76" spans="1:20" x14ac:dyDescent="0.2">
      <c r="S76" s="7"/>
      <c r="T76" s="12"/>
    </row>
    <row r="78" spans="1:20" x14ac:dyDescent="0.2">
      <c r="A78" s="9"/>
    </row>
    <row r="90" spans="6:7" x14ac:dyDescent="0.2">
      <c r="F90" s="4"/>
      <c r="G90" s="4"/>
    </row>
    <row r="91" spans="6:7" x14ac:dyDescent="0.2">
      <c r="F91" s="4"/>
      <c r="G91" s="4"/>
    </row>
    <row r="92" spans="6:7" x14ac:dyDescent="0.2">
      <c r="F92" s="8"/>
      <c r="G92" s="8"/>
    </row>
    <row r="93" spans="6:7" x14ac:dyDescent="0.2">
      <c r="F93" s="8"/>
      <c r="G93" s="8"/>
    </row>
    <row r="94" spans="6:7" x14ac:dyDescent="0.2">
      <c r="F94" s="4"/>
      <c r="G94" s="4"/>
    </row>
    <row r="95" spans="6:7" x14ac:dyDescent="0.2">
      <c r="F95" s="4"/>
      <c r="G95" s="4"/>
    </row>
    <row r="96" spans="6:7" x14ac:dyDescent="0.2">
      <c r="F96" s="4"/>
      <c r="G96" s="4"/>
    </row>
    <row r="97" spans="6:7" x14ac:dyDescent="0.2">
      <c r="F97" s="6"/>
      <c r="G97" s="6"/>
    </row>
    <row r="98" spans="6:7" x14ac:dyDescent="0.2">
      <c r="F98" s="4"/>
      <c r="G98" s="4"/>
    </row>
    <row r="99" spans="6:7" x14ac:dyDescent="0.2">
      <c r="F99" s="4"/>
      <c r="G99" s="4"/>
    </row>
    <row r="100" spans="6:7" x14ac:dyDescent="0.2">
      <c r="F100" s="4"/>
      <c r="G100" s="4"/>
    </row>
    <row r="101" spans="6:7" x14ac:dyDescent="0.2">
      <c r="F101" s="4"/>
      <c r="G101" s="4"/>
    </row>
    <row r="102" spans="6:7" x14ac:dyDescent="0.2">
      <c r="F102" s="4"/>
      <c r="G102" s="4"/>
    </row>
    <row r="103" spans="6:7" x14ac:dyDescent="0.2">
      <c r="F103" s="4"/>
      <c r="G103" s="4"/>
    </row>
    <row r="104" spans="6:7" x14ac:dyDescent="0.2">
      <c r="F104" s="4"/>
      <c r="G104" s="4"/>
    </row>
    <row r="105" spans="6:7" x14ac:dyDescent="0.2">
      <c r="F105" s="4"/>
      <c r="G105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2020-01-06T15:08:00Z</dcterms:created>
  <dcterms:modified xsi:type="dcterms:W3CDTF">2020-02-18T10:44:03Z</dcterms:modified>
</cp:coreProperties>
</file>