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332" documentId="11_F25DC773A252ABDACC1048CA799F592E5BDE58E6" xr6:coauthVersionLast="47" xr6:coauthVersionMax="47" xr10:uidLastSave="{436AD0B3-981A-45A0-8049-405E01293421}"/>
  <bookViews>
    <workbookView xWindow="-96" yWindow="-96" windowWidth="23232" windowHeight="12552" firstSheet="2" activeTab="4" xr2:uid="{00000000-000D-0000-FFFF-FFFF00000000}"/>
  </bookViews>
  <sheets>
    <sheet name="PO_main" sheetId="1" r:id="rId1"/>
    <sheet name="PO_reduced" sheetId="2" r:id="rId2"/>
    <sheet name="NPO_0to1" sheetId="3" r:id="rId3"/>
    <sheet name="NPO_1to2" sheetId="4" r:id="rId4"/>
    <sheet name="NPO_2to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D15" i="5"/>
  <c r="B15" i="5"/>
  <c r="C14" i="5"/>
  <c r="D14" i="5"/>
  <c r="B14" i="5"/>
  <c r="C12" i="5"/>
  <c r="D12" i="5"/>
  <c r="B12" i="5"/>
  <c r="C11" i="5"/>
  <c r="D11" i="5"/>
  <c r="B11" i="5"/>
  <c r="C9" i="5"/>
  <c r="D9" i="5"/>
  <c r="B9" i="5"/>
  <c r="C8" i="5"/>
  <c r="D8" i="5"/>
  <c r="B8" i="5"/>
  <c r="C7" i="5"/>
  <c r="D7" i="5"/>
  <c r="B7" i="5"/>
  <c r="C4" i="5"/>
  <c r="D4" i="5"/>
  <c r="B4" i="5"/>
  <c r="C3" i="5"/>
  <c r="D3" i="5"/>
  <c r="B3" i="5"/>
  <c r="C2" i="5"/>
  <c r="D2" i="5"/>
  <c r="B2" i="5"/>
  <c r="C16" i="4"/>
  <c r="D16" i="4"/>
  <c r="B16" i="4"/>
  <c r="C14" i="4"/>
  <c r="D14" i="4"/>
  <c r="B14" i="4"/>
  <c r="C12" i="4"/>
  <c r="D12" i="4"/>
  <c r="B12" i="4"/>
  <c r="C11" i="4"/>
  <c r="D11" i="4"/>
  <c r="B11" i="4"/>
  <c r="C10" i="4"/>
  <c r="D10" i="4"/>
  <c r="B10" i="4"/>
  <c r="C7" i="4"/>
  <c r="D7" i="4"/>
  <c r="B7" i="4"/>
  <c r="C6" i="4"/>
  <c r="D6" i="4"/>
  <c r="B6" i="4"/>
  <c r="C5" i="4"/>
  <c r="D5" i="4"/>
  <c r="B5" i="4"/>
  <c r="C4" i="4"/>
  <c r="D4" i="4"/>
  <c r="B4" i="4"/>
  <c r="C2" i="4"/>
  <c r="D2" i="4"/>
  <c r="B2" i="4"/>
  <c r="C15" i="3"/>
  <c r="D15" i="3"/>
  <c r="B15" i="3"/>
  <c r="C12" i="3"/>
  <c r="D12" i="3"/>
  <c r="B12" i="3"/>
  <c r="C11" i="3"/>
  <c r="D11" i="3"/>
  <c r="B11" i="3"/>
  <c r="C8" i="3"/>
  <c r="D8" i="3"/>
  <c r="B8" i="3"/>
  <c r="C7" i="3"/>
  <c r="D7" i="3"/>
  <c r="B7" i="3"/>
  <c r="C6" i="3"/>
  <c r="D6" i="3"/>
  <c r="B6" i="3"/>
  <c r="C5" i="3"/>
  <c r="D5" i="3"/>
  <c r="B5" i="3"/>
  <c r="C4" i="3"/>
  <c r="D4" i="3"/>
  <c r="B4" i="3"/>
  <c r="C3" i="3"/>
  <c r="D3" i="3"/>
  <c r="B3" i="3"/>
  <c r="C15" i="2"/>
  <c r="D15" i="2"/>
  <c r="B15" i="2"/>
  <c r="C13" i="2"/>
  <c r="D13" i="2"/>
  <c r="B13" i="2"/>
  <c r="C9" i="2"/>
  <c r="D9" i="2"/>
  <c r="B9" i="2"/>
  <c r="C8" i="2"/>
  <c r="D8" i="2"/>
  <c r="B8" i="2"/>
  <c r="C3" i="2"/>
  <c r="D3" i="2"/>
  <c r="B3" i="2"/>
  <c r="C15" i="1"/>
  <c r="D15" i="1"/>
  <c r="B15" i="1"/>
  <c r="C13" i="1"/>
  <c r="D13" i="1"/>
  <c r="B13" i="1"/>
  <c r="C9" i="1"/>
  <c r="D9" i="1"/>
  <c r="B9" i="1"/>
  <c r="C8" i="1"/>
  <c r="D8" i="1"/>
  <c r="B8" i="1"/>
  <c r="C3" i="1"/>
  <c r="D3" i="1"/>
  <c r="B3" i="1"/>
</calcChain>
</file>

<file path=xl/sharedStrings.xml><?xml version="1.0" encoding="utf-8"?>
<sst xmlns="http://schemas.openxmlformats.org/spreadsheetml/2006/main" count="110" uniqueCount="67">
  <si>
    <t>Comparison</t>
  </si>
  <si>
    <t>Odds_Ratio</t>
  </si>
  <si>
    <t>OR_LowerCI</t>
  </si>
  <si>
    <t>OR_UpperCI</t>
  </si>
  <si>
    <t>Significant</t>
  </si>
  <si>
    <t>RML vs LUS</t>
  </si>
  <si>
    <t>RML vs LLL</t>
  </si>
  <si>
    <t>RUL vs LUS</t>
  </si>
  <si>
    <t>RLL vs LUS</t>
  </si>
  <si>
    <t>RML vs RLL</t>
  </si>
  <si>
    <t>LLS vs LLL</t>
  </si>
  <si>
    <t>RML vs LLS</t>
  </si>
  <si>
    <t>RUL vs LLL</t>
  </si>
  <si>
    <t>RLL vs LLL</t>
  </si>
  <si>
    <t>RUL vs RLL</t>
  </si>
  <si>
    <t>LLS 0|1 vs LUS 0|1</t>
  </si>
  <si>
    <t>LLL 0|1 vs LUS 0|1</t>
  </si>
  <si>
    <t>LLS 0|1 vs RLL 0|1</t>
  </si>
  <si>
    <t>LLS 0|1 vs RUL 0|1</t>
  </si>
  <si>
    <t>RML 0|1 vs RUL 0|1</t>
  </si>
  <si>
    <t>LLS 0|1 vs RML 0|1</t>
  </si>
  <si>
    <t>LLS 1|2 vs LUS 1|2</t>
  </si>
  <si>
    <t>RML 1|2 vs RUL 1|2</t>
  </si>
  <si>
    <t>LLL 1|2 vs LUS 1|2</t>
  </si>
  <si>
    <t>LLS 1|2 vs RLL 1|2</t>
  </si>
  <si>
    <t>LLS 1|2 vs RUL 1|2</t>
  </si>
  <si>
    <t>RML 2|3 vs RUL 2|3</t>
  </si>
  <si>
    <t>LLS 2|3 vs LUS 2|3</t>
  </si>
  <si>
    <t>LLL 2|3 vs LUS 2|3</t>
  </si>
  <si>
    <t>LLS 2|3 vs RLL 2|3</t>
  </si>
  <si>
    <t>LLS 2|3 vs RUL 2|3</t>
  </si>
  <si>
    <t>p</t>
  </si>
  <si>
    <t>FDR_p</t>
  </si>
  <si>
    <t>LLS vs LUS</t>
  </si>
  <si>
    <t>RML vs RUL</t>
  </si>
  <si>
    <t>LLL vs LUS</t>
  </si>
  <si>
    <t>LLS vs RLL</t>
  </si>
  <si>
    <t>LLS vs RUL</t>
  </si>
  <si>
    <t xml:space="preserve">RML 0|1 vs LUS 0|1 </t>
  </si>
  <si>
    <t xml:space="preserve">RUL 0|1 vs LUS 0|1 </t>
  </si>
  <si>
    <t xml:space="preserve">RLL 0|1 vs LUS 0|1 </t>
  </si>
  <si>
    <t xml:space="preserve">LLS 0|1 vs LLL 0|1 </t>
  </si>
  <si>
    <t>RML 0|1 vs LLL 0|1</t>
  </si>
  <si>
    <t xml:space="preserve">RUL 0|1 vs LLL 0|1 </t>
  </si>
  <si>
    <t xml:space="preserve"> RML 0|1 vs RLL 0|1</t>
  </si>
  <si>
    <t xml:space="preserve">RLL 0|1 vs LLL 0|1 </t>
  </si>
  <si>
    <t xml:space="preserve">RUL 0|1 vs RLL 0|1 </t>
  </si>
  <si>
    <t xml:space="preserve">RML 1|2 vs LUS 1|2 </t>
  </si>
  <si>
    <t xml:space="preserve">RML 1|2 LLL 1|2 </t>
  </si>
  <si>
    <t xml:space="preserve">RUL 1|2 vs LUS 1|2 </t>
  </si>
  <si>
    <t xml:space="preserve">RLL 1|2 vs LUS 1|2 </t>
  </si>
  <si>
    <t xml:space="preserve">RML 1|2 vs RLL 1|2 </t>
  </si>
  <si>
    <t xml:space="preserve">RML 1|2 vs LLS 1|2 </t>
  </si>
  <si>
    <t xml:space="preserve">LLS 1|2 vs LLL 1|2 </t>
  </si>
  <si>
    <t>RUL 1|2 vs LLL 1|2</t>
  </si>
  <si>
    <t>RLL 1|2 vs LLL 1|2</t>
  </si>
  <si>
    <t>RUL 1|2 vs RLL 1|2</t>
  </si>
  <si>
    <t>RML 2|3 vs LUS 2|3</t>
  </si>
  <si>
    <t>RML 2|3 vs LLL 2|3</t>
  </si>
  <si>
    <t>RML 2|3 vs RLL 2|3</t>
  </si>
  <si>
    <t>RUL 2|3 vs LUS 2|3</t>
  </si>
  <si>
    <t>RML 2|3 vs LLS 2|3</t>
  </si>
  <si>
    <t>RLL 2|3 vs LUS 2|3</t>
  </si>
  <si>
    <t>LLS 2|3 vs LLL 2|3</t>
  </si>
  <si>
    <t>RUL 2|3 vs LLL 2|3</t>
  </si>
  <si>
    <t>RUL 2|3 vs RLL 2|3</t>
  </si>
  <si>
    <t>RLL 2|3 vs LLL 2|3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</si>
</sst>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19" sqref="D19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32</v>
      </c>
    </row>
    <row r="2" spans="1:7" x14ac:dyDescent="0.55000000000000004">
      <c r="A2" t="s">
        <v>5</v>
      </c>
      <c r="B2">
        <v>22.58</v>
      </c>
      <c r="C2">
        <v>15.5379</v>
      </c>
      <c r="D2">
        <v>32.813800000000001</v>
      </c>
      <c r="E2">
        <v>1</v>
      </c>
      <c r="F2">
        <v>0</v>
      </c>
      <c r="G2">
        <v>0</v>
      </c>
    </row>
    <row r="3" spans="1:7" x14ac:dyDescent="0.55000000000000004">
      <c r="A3" t="s">
        <v>33</v>
      </c>
      <c r="B3">
        <f>1/0.1059</f>
        <v>9.4428706326723333</v>
      </c>
      <c r="C3">
        <f>1/0.1507</f>
        <v>6.6357000663570007</v>
      </c>
      <c r="D3">
        <f>1/0.0744</f>
        <v>13.440860215053764</v>
      </c>
      <c r="E3">
        <v>1</v>
      </c>
      <c r="F3">
        <v>0</v>
      </c>
      <c r="G3">
        <v>0</v>
      </c>
    </row>
    <row r="4" spans="1:7" x14ac:dyDescent="0.55000000000000004">
      <c r="A4" t="s">
        <v>6</v>
      </c>
      <c r="B4">
        <v>6.694</v>
      </c>
      <c r="C4">
        <v>4.7735000000000003</v>
      </c>
      <c r="D4">
        <v>9.3872999999999998</v>
      </c>
      <c r="E4">
        <v>1</v>
      </c>
      <c r="F4">
        <v>0</v>
      </c>
      <c r="G4">
        <v>0</v>
      </c>
    </row>
    <row r="5" spans="1:7" x14ac:dyDescent="0.55000000000000004">
      <c r="A5" t="s">
        <v>7</v>
      </c>
      <c r="B5">
        <v>6.9326999999999996</v>
      </c>
      <c r="C5">
        <v>4.8868999999999998</v>
      </c>
      <c r="D5">
        <v>9.8348999999999993</v>
      </c>
      <c r="E5">
        <v>1</v>
      </c>
      <c r="F5">
        <v>0</v>
      </c>
      <c r="G5">
        <v>0</v>
      </c>
    </row>
    <row r="6" spans="1:7" x14ac:dyDescent="0.55000000000000004">
      <c r="A6" t="s">
        <v>8</v>
      </c>
      <c r="B6">
        <v>5.3803000000000001</v>
      </c>
      <c r="C6">
        <v>3.8052999999999999</v>
      </c>
      <c r="D6">
        <v>7.6071999999999997</v>
      </c>
      <c r="E6">
        <v>1</v>
      </c>
      <c r="F6">
        <v>0</v>
      </c>
      <c r="G6">
        <v>0</v>
      </c>
    </row>
    <row r="7" spans="1:7" x14ac:dyDescent="0.55000000000000004">
      <c r="A7" t="s">
        <v>9</v>
      </c>
      <c r="B7">
        <v>4.1967999999999996</v>
      </c>
      <c r="C7">
        <v>3.0196999999999998</v>
      </c>
      <c r="D7">
        <v>5.8329000000000004</v>
      </c>
      <c r="E7">
        <v>1</v>
      </c>
      <c r="F7">
        <v>0</v>
      </c>
      <c r="G7">
        <v>0</v>
      </c>
    </row>
    <row r="8" spans="1:7" x14ac:dyDescent="0.55000000000000004">
      <c r="A8" t="s">
        <v>34</v>
      </c>
      <c r="B8">
        <f>1/0.307</f>
        <v>3.2573289902280131</v>
      </c>
      <c r="C8">
        <f>1/0.4259</f>
        <v>2.3479690068091101</v>
      </c>
      <c r="D8">
        <f>1/0.2213</f>
        <v>4.5187528242205151</v>
      </c>
      <c r="E8">
        <v>1</v>
      </c>
      <c r="F8">
        <v>0</v>
      </c>
      <c r="G8">
        <v>0</v>
      </c>
    </row>
    <row r="9" spans="1:7" x14ac:dyDescent="0.55000000000000004">
      <c r="A9" t="s">
        <v>35</v>
      </c>
      <c r="B9">
        <f>1/0.2965</f>
        <v>3.3726812816188874</v>
      </c>
      <c r="C9">
        <f>1/0.4182</f>
        <v>2.3912003825920611</v>
      </c>
      <c r="D9">
        <f>1/0.2102</f>
        <v>4.7573739295908659</v>
      </c>
      <c r="E9">
        <v>1</v>
      </c>
      <c r="F9">
        <v>0</v>
      </c>
      <c r="G9">
        <v>0</v>
      </c>
    </row>
    <row r="10" spans="1:7" x14ac:dyDescent="0.55000000000000004">
      <c r="A10" t="s">
        <v>10</v>
      </c>
      <c r="B10">
        <v>2.8001</v>
      </c>
      <c r="C10">
        <v>2.0255999999999998</v>
      </c>
      <c r="D10">
        <v>3.8706999999999998</v>
      </c>
      <c r="E10">
        <v>1</v>
      </c>
      <c r="F10">
        <v>0</v>
      </c>
      <c r="G10">
        <v>0</v>
      </c>
    </row>
    <row r="11" spans="1:7" x14ac:dyDescent="0.55000000000000004">
      <c r="A11" t="s">
        <v>11</v>
      </c>
      <c r="B11">
        <v>2.3906999999999998</v>
      </c>
      <c r="C11">
        <v>1.7304999999999999</v>
      </c>
      <c r="D11">
        <v>3.3027000000000002</v>
      </c>
      <c r="E11">
        <v>1</v>
      </c>
      <c r="F11">
        <v>0</v>
      </c>
      <c r="G11">
        <v>0</v>
      </c>
    </row>
    <row r="12" spans="1:7" x14ac:dyDescent="0.55000000000000004">
      <c r="A12" t="s">
        <v>12</v>
      </c>
      <c r="B12">
        <v>2.0552999999999999</v>
      </c>
      <c r="C12">
        <v>1.4869000000000001</v>
      </c>
      <c r="D12">
        <v>2.8408000000000002</v>
      </c>
      <c r="E12">
        <v>1</v>
      </c>
      <c r="F12">
        <v>1.0000000000000001E-5</v>
      </c>
      <c r="G12">
        <v>2.0000000000000002E-5</v>
      </c>
    </row>
    <row r="13" spans="1:7" x14ac:dyDescent="0.55000000000000004">
      <c r="A13" t="s">
        <v>36</v>
      </c>
      <c r="B13">
        <f>1/0.5696</f>
        <v>1.75561797752809</v>
      </c>
      <c r="C13">
        <f>1/0.7826</f>
        <v>1.2777919754663942</v>
      </c>
      <c r="D13">
        <f>1/0.4146</f>
        <v>2.4119633381572601</v>
      </c>
      <c r="E13">
        <v>1</v>
      </c>
      <c r="F13">
        <v>5.1999999999999995E-4</v>
      </c>
      <c r="G13">
        <v>6.6E-4</v>
      </c>
    </row>
    <row r="14" spans="1:7" x14ac:dyDescent="0.55000000000000004">
      <c r="A14" t="s">
        <v>13</v>
      </c>
      <c r="B14">
        <v>1.595</v>
      </c>
      <c r="C14">
        <v>1.1558999999999999</v>
      </c>
      <c r="D14">
        <v>2.2010000000000001</v>
      </c>
      <c r="E14">
        <v>1</v>
      </c>
      <c r="F14">
        <v>4.5100000000000001E-3</v>
      </c>
      <c r="G14">
        <v>5.2100000000000002E-3</v>
      </c>
    </row>
    <row r="15" spans="1:7" x14ac:dyDescent="0.55000000000000004">
      <c r="A15" t="s">
        <v>37</v>
      </c>
      <c r="B15">
        <f>1/0.734</f>
        <v>1.3623978201634879</v>
      </c>
      <c r="C15">
        <f>1/1.0081</f>
        <v>0.99196508282908447</v>
      </c>
      <c r="D15">
        <f>1/0.5344</f>
        <v>1.8712574850299402</v>
      </c>
      <c r="E15">
        <v>0</v>
      </c>
      <c r="F15">
        <v>5.6140000000000002E-2</v>
      </c>
      <c r="G15">
        <v>6.0150000000000002E-2</v>
      </c>
    </row>
    <row r="16" spans="1:7" x14ac:dyDescent="0.55000000000000004">
      <c r="A16" t="s">
        <v>14</v>
      </c>
      <c r="B16">
        <v>1.2885</v>
      </c>
      <c r="C16">
        <v>0.93710000000000004</v>
      </c>
      <c r="D16">
        <v>1.7719</v>
      </c>
      <c r="E16">
        <v>0</v>
      </c>
      <c r="F16">
        <v>0.1187</v>
      </c>
      <c r="G16">
        <v>0.1187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2B40-21B4-431D-AC21-5F70B9A713D1}">
  <dimension ref="A1:G16"/>
  <sheetViews>
    <sheetView workbookViewId="0">
      <selection activeCell="E19" sqref="E19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32</v>
      </c>
    </row>
    <row r="2" spans="1:7" x14ac:dyDescent="0.55000000000000004">
      <c r="A2" t="s">
        <v>5</v>
      </c>
      <c r="B2">
        <v>17.753</v>
      </c>
      <c r="C2">
        <v>12.4519</v>
      </c>
      <c r="D2">
        <v>25.3108</v>
      </c>
      <c r="E2">
        <v>1</v>
      </c>
      <c r="F2">
        <v>0</v>
      </c>
      <c r="G2">
        <v>0</v>
      </c>
    </row>
    <row r="3" spans="1:7" x14ac:dyDescent="0.55000000000000004">
      <c r="A3" t="s">
        <v>33</v>
      </c>
      <c r="B3">
        <f>1/0.1271</f>
        <v>7.8678206136900082</v>
      </c>
      <c r="C3">
        <f>1/0.1781</f>
        <v>5.6148231330713081</v>
      </c>
      <c r="D3">
        <f>1/0.0907</f>
        <v>11.025358324145534</v>
      </c>
      <c r="E3">
        <v>1</v>
      </c>
      <c r="F3">
        <v>0</v>
      </c>
      <c r="G3">
        <v>0</v>
      </c>
    </row>
    <row r="4" spans="1:7" x14ac:dyDescent="0.55000000000000004">
      <c r="A4" t="s">
        <v>6</v>
      </c>
      <c r="B4">
        <v>5.8818999999999999</v>
      </c>
      <c r="C4">
        <v>4.2359999999999998</v>
      </c>
      <c r="D4">
        <v>8.1672999999999991</v>
      </c>
      <c r="E4">
        <v>1</v>
      </c>
      <c r="F4">
        <v>0</v>
      </c>
      <c r="G4">
        <v>0</v>
      </c>
    </row>
    <row r="5" spans="1:7" x14ac:dyDescent="0.55000000000000004">
      <c r="A5" t="s">
        <v>7</v>
      </c>
      <c r="B5">
        <v>5.9345999999999997</v>
      </c>
      <c r="C5">
        <v>4.2427999999999999</v>
      </c>
      <c r="D5">
        <v>8.3010000000000002</v>
      </c>
      <c r="E5">
        <v>1</v>
      </c>
      <c r="F5">
        <v>0</v>
      </c>
      <c r="G5">
        <v>0</v>
      </c>
    </row>
    <row r="6" spans="1:7" x14ac:dyDescent="0.55000000000000004">
      <c r="A6" t="s">
        <v>8</v>
      </c>
      <c r="B6">
        <v>4.6741000000000001</v>
      </c>
      <c r="C6">
        <v>3.3489</v>
      </c>
      <c r="D6">
        <v>6.5237999999999996</v>
      </c>
      <c r="E6">
        <v>1</v>
      </c>
      <c r="F6">
        <v>0</v>
      </c>
      <c r="G6">
        <v>0</v>
      </c>
    </row>
    <row r="7" spans="1:7" x14ac:dyDescent="0.55000000000000004">
      <c r="A7" t="s">
        <v>9</v>
      </c>
      <c r="B7">
        <v>3.7980999999999998</v>
      </c>
      <c r="C7">
        <v>2.7559999999999998</v>
      </c>
      <c r="D7">
        <v>5.2343000000000002</v>
      </c>
      <c r="E7">
        <v>1</v>
      </c>
      <c r="F7">
        <v>0</v>
      </c>
      <c r="G7">
        <v>0</v>
      </c>
    </row>
    <row r="8" spans="1:7" x14ac:dyDescent="0.55000000000000004">
      <c r="A8" t="s">
        <v>34</v>
      </c>
      <c r="B8">
        <f>1/0.3343</f>
        <v>2.9913251570445709</v>
      </c>
      <c r="C8">
        <f>1/0.4599</f>
        <v>2.174385736029572</v>
      </c>
      <c r="D8">
        <f>1/0.243</f>
        <v>4.1152263374485596</v>
      </c>
      <c r="E8">
        <v>1</v>
      </c>
      <c r="F8">
        <v>0</v>
      </c>
      <c r="G8">
        <v>0</v>
      </c>
    </row>
    <row r="9" spans="1:7" x14ac:dyDescent="0.55000000000000004">
      <c r="A9" t="s">
        <v>35</v>
      </c>
      <c r="B9">
        <f>1/0.3313</f>
        <v>3.0184123151222457</v>
      </c>
      <c r="C9">
        <f>1/0.462</f>
        <v>2.1645021645021645</v>
      </c>
      <c r="D9">
        <f>1/0.2376</f>
        <v>4.2087542087542085</v>
      </c>
      <c r="E9">
        <v>1</v>
      </c>
      <c r="F9">
        <v>0</v>
      </c>
      <c r="G9">
        <v>0</v>
      </c>
    </row>
    <row r="10" spans="1:7" x14ac:dyDescent="0.55000000000000004">
      <c r="A10" t="s">
        <v>10</v>
      </c>
      <c r="B10">
        <v>2.6071</v>
      </c>
      <c r="C10">
        <v>1.8998999999999999</v>
      </c>
      <c r="D10">
        <v>3.5775000000000001</v>
      </c>
      <c r="E10">
        <v>1</v>
      </c>
      <c r="F10">
        <v>0</v>
      </c>
      <c r="G10">
        <v>0</v>
      </c>
    </row>
    <row r="11" spans="1:7" x14ac:dyDescent="0.55000000000000004">
      <c r="A11" t="s">
        <v>11</v>
      </c>
      <c r="B11">
        <v>2.2561</v>
      </c>
      <c r="C11">
        <v>1.6460999999999999</v>
      </c>
      <c r="D11">
        <v>3.0922000000000001</v>
      </c>
      <c r="E11">
        <v>1</v>
      </c>
      <c r="F11">
        <v>0</v>
      </c>
      <c r="G11">
        <v>0</v>
      </c>
    </row>
    <row r="12" spans="1:7" x14ac:dyDescent="0.55000000000000004">
      <c r="A12" t="s">
        <v>12</v>
      </c>
      <c r="B12">
        <v>1.9662999999999999</v>
      </c>
      <c r="C12">
        <v>1.4323999999999999</v>
      </c>
      <c r="D12">
        <v>2.6989999999999998</v>
      </c>
      <c r="E12">
        <v>1</v>
      </c>
      <c r="F12">
        <v>3.0000000000000001E-5</v>
      </c>
      <c r="G12">
        <v>4.0000000000000003E-5</v>
      </c>
    </row>
    <row r="13" spans="1:7" x14ac:dyDescent="0.55000000000000004">
      <c r="A13" t="s">
        <v>36</v>
      </c>
      <c r="B13">
        <f>1/0.594</f>
        <v>1.6835016835016836</v>
      </c>
      <c r="C13">
        <f>1/0.8108</f>
        <v>1.2333497779970399</v>
      </c>
      <c r="D13">
        <f>1/0.4352</f>
        <v>2.2977941176470589</v>
      </c>
      <c r="E13">
        <v>1</v>
      </c>
      <c r="F13">
        <v>1.0499999999999999E-3</v>
      </c>
      <c r="G13">
        <v>1.31E-3</v>
      </c>
    </row>
    <row r="14" spans="1:7" x14ac:dyDescent="0.55000000000000004">
      <c r="A14" t="s">
        <v>13</v>
      </c>
      <c r="B14">
        <v>1.5486</v>
      </c>
      <c r="C14">
        <v>1.1292</v>
      </c>
      <c r="D14">
        <v>2.1238999999999999</v>
      </c>
      <c r="E14">
        <v>1</v>
      </c>
      <c r="F14">
        <v>6.6800000000000002E-3</v>
      </c>
      <c r="G14">
        <v>7.7000000000000002E-3</v>
      </c>
    </row>
    <row r="15" spans="1:7" x14ac:dyDescent="0.55000000000000004">
      <c r="A15" t="s">
        <v>37</v>
      </c>
      <c r="B15">
        <f>1/0.7542</f>
        <v>1.3259082471492973</v>
      </c>
      <c r="C15">
        <f>1/1.0288</f>
        <v>0.97200622083981347</v>
      </c>
      <c r="D15">
        <f>1/0.5529</f>
        <v>1.8086453246518359</v>
      </c>
      <c r="E15">
        <v>0</v>
      </c>
      <c r="F15">
        <v>7.4969999999999995E-2</v>
      </c>
      <c r="G15">
        <v>8.0320000000000003E-2</v>
      </c>
    </row>
    <row r="16" spans="1:7" x14ac:dyDescent="0.55000000000000004">
      <c r="A16" t="s">
        <v>14</v>
      </c>
      <c r="B16">
        <v>1.2697000000000001</v>
      </c>
      <c r="C16">
        <v>0.92920000000000003</v>
      </c>
      <c r="D16">
        <v>1.7349000000000001</v>
      </c>
      <c r="E16">
        <v>0</v>
      </c>
      <c r="F16">
        <v>0.13378000000000001</v>
      </c>
      <c r="G16">
        <v>0.13378000000000001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0F44-69D6-4A33-92C8-706A248F148F}">
  <dimension ref="A1:G16"/>
  <sheetViews>
    <sheetView workbookViewId="0">
      <selection activeCell="C20" sqref="C20"/>
    </sheetView>
  </sheetViews>
  <sheetFormatPr defaultRowHeight="14.4" x14ac:dyDescent="0.55000000000000004"/>
  <cols>
    <col min="1" max="1" width="16.683593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32</v>
      </c>
    </row>
    <row r="2" spans="1:7" x14ac:dyDescent="0.55000000000000004">
      <c r="A2" t="s">
        <v>15</v>
      </c>
      <c r="B2">
        <v>9.1938960801984724</v>
      </c>
      <c r="C2">
        <v>5.6409317387180069</v>
      </c>
      <c r="D2">
        <v>14.98470980482014</v>
      </c>
      <c r="E2">
        <v>1</v>
      </c>
      <c r="F2">
        <v>5.5138090618800753E-19</v>
      </c>
      <c r="G2">
        <v>1.240607038923017E-17</v>
      </c>
    </row>
    <row r="3" spans="1:7" x14ac:dyDescent="0.55000000000000004">
      <c r="A3" t="s">
        <v>38</v>
      </c>
      <c r="B3">
        <f>1/0.117410022321703</f>
        <v>8.5171604623326278</v>
      </c>
      <c r="C3">
        <f>1/0.190649469128008</f>
        <v>5.2452283479927697</v>
      </c>
      <c r="D3">
        <f>1/0.0723060672795639</f>
        <v>13.83009804880694</v>
      </c>
      <c r="E3">
        <v>1</v>
      </c>
      <c r="F3">
        <v>4.6880825018661943E-18</v>
      </c>
      <c r="G3">
        <v>7.0321237527992915E-17</v>
      </c>
    </row>
    <row r="4" spans="1:7" x14ac:dyDescent="0.55000000000000004">
      <c r="A4" t="s">
        <v>39</v>
      </c>
      <c r="B4">
        <f>1/0.182606073649894</f>
        <v>5.4762691076599932</v>
      </c>
      <c r="C4">
        <f>1/0.288520460979915</f>
        <v>3.4659586935486484</v>
      </c>
      <c r="D4">
        <f>1/0.115572316849139</f>
        <v>8.6525910984837182</v>
      </c>
      <c r="E4">
        <v>1</v>
      </c>
      <c r="F4">
        <v>3.1981058748191518E-13</v>
      </c>
      <c r="G4">
        <v>1.7989345545857731E-12</v>
      </c>
    </row>
    <row r="5" spans="1:7" x14ac:dyDescent="0.55000000000000004">
      <c r="A5" t="s">
        <v>40</v>
      </c>
      <c r="B5">
        <f>1/0.257152890050881</f>
        <v>3.8887371625577969</v>
      </c>
      <c r="C5">
        <f>1/0.399326798607907</f>
        <v>2.5042146018902303</v>
      </c>
      <c r="D5">
        <f>1/0.165597723699106</f>
        <v>6.038730350044049</v>
      </c>
      <c r="E5">
        <v>1</v>
      </c>
      <c r="F5">
        <v>1.466228909480954E-9</v>
      </c>
      <c r="G5">
        <v>4.7128786376173543E-9</v>
      </c>
    </row>
    <row r="6" spans="1:7" x14ac:dyDescent="0.55000000000000004">
      <c r="A6" t="s">
        <v>41</v>
      </c>
      <c r="B6">
        <f>1/0.231573550837699</f>
        <v>4.3182824479850099</v>
      </c>
      <c r="C6">
        <f>1/0.377364408471684</f>
        <v>2.6499584421593276</v>
      </c>
      <c r="D6">
        <f>1/0.142107491442464</f>
        <v>7.036926694359928</v>
      </c>
      <c r="E6">
        <v>1</v>
      </c>
      <c r="F6">
        <v>4.3179433976533328E-9</v>
      </c>
      <c r="G6">
        <v>1.21442158059E-8</v>
      </c>
    </row>
    <row r="7" spans="1:7" x14ac:dyDescent="0.55000000000000004">
      <c r="A7" t="s">
        <v>42</v>
      </c>
      <c r="B7">
        <f>1/0.249973353295409</f>
        <v>4.0004263927212991</v>
      </c>
      <c r="C7">
        <f>1/0.406080421996714</f>
        <v>2.4625663928414947</v>
      </c>
      <c r="D7">
        <f>1/0.153877591661529</f>
        <v>6.4986720236667859</v>
      </c>
      <c r="E7">
        <v>1</v>
      </c>
      <c r="F7">
        <v>2.1385971300401262E-8</v>
      </c>
      <c r="G7">
        <v>5.660992403047392E-8</v>
      </c>
    </row>
    <row r="8" spans="1:7" x14ac:dyDescent="0.55000000000000004">
      <c r="A8" t="s">
        <v>43</v>
      </c>
      <c r="B8">
        <f>1/0.388779864442072</f>
        <v>2.5721496699297282</v>
      </c>
      <c r="C8">
        <f>1/0.615943138273195</f>
        <v>1.6235264878565148</v>
      </c>
      <c r="D8">
        <f>1/0.245395676327115</f>
        <v>4.0750514229394552</v>
      </c>
      <c r="E8">
        <v>1</v>
      </c>
      <c r="F8">
        <v>5.7190758452245148E-5</v>
      </c>
      <c r="G8">
        <v>1.072326720979597E-4</v>
      </c>
    </row>
    <row r="9" spans="1:7" x14ac:dyDescent="0.55000000000000004">
      <c r="A9" t="s">
        <v>16</v>
      </c>
      <c r="B9">
        <v>2.1290631613243591</v>
      </c>
      <c r="C9">
        <v>1.3983974147242679</v>
      </c>
      <c r="D9">
        <v>3.2415033789248389</v>
      </c>
      <c r="E9">
        <v>1</v>
      </c>
      <c r="F9">
        <v>4.2593241862904561E-4</v>
      </c>
      <c r="G9">
        <v>7.3719072455027132E-4</v>
      </c>
    </row>
    <row r="10" spans="1:7" x14ac:dyDescent="0.55000000000000004">
      <c r="A10" t="s">
        <v>17</v>
      </c>
      <c r="B10">
        <v>2.3642369478505061</v>
      </c>
      <c r="C10">
        <v>1.438466257904343</v>
      </c>
      <c r="D10">
        <v>3.8858167960955958</v>
      </c>
      <c r="E10">
        <v>1</v>
      </c>
      <c r="F10">
        <v>6.8850375090250004E-4</v>
      </c>
      <c r="G10">
        <v>1.1475062515041671E-3</v>
      </c>
    </row>
    <row r="11" spans="1:7" x14ac:dyDescent="0.55000000000000004">
      <c r="A11" t="s">
        <v>44</v>
      </c>
      <c r="B11">
        <f>1/0.456576717059148</f>
        <v>2.1902124279159274</v>
      </c>
      <c r="C11">
        <f>1/0.74881040143248</f>
        <v>1.3354515349773353</v>
      </c>
      <c r="D11">
        <f>1/0.278391296597535</f>
        <v>3.5920663189614044</v>
      </c>
      <c r="E11">
        <v>1</v>
      </c>
      <c r="F11">
        <v>1.8966213538508081E-3</v>
      </c>
      <c r="G11">
        <v>3.048141461545942E-3</v>
      </c>
    </row>
    <row r="12" spans="1:7" x14ac:dyDescent="0.55000000000000004">
      <c r="A12" t="s">
        <v>45</v>
      </c>
      <c r="B12">
        <f>1/0.547494745035425</f>
        <v>1.8265015492254566</v>
      </c>
      <c r="C12">
        <f>1/0.85297126060411</f>
        <v>1.1723724422927897</v>
      </c>
      <c r="D12">
        <f>1/0.351419220888062</f>
        <v>2.8456041689265805</v>
      </c>
      <c r="E12">
        <v>1</v>
      </c>
      <c r="F12">
        <v>7.7455324223777884E-3</v>
      </c>
      <c r="G12">
        <v>1.1618298633566679E-2</v>
      </c>
    </row>
    <row r="13" spans="1:7" x14ac:dyDescent="0.55000000000000004">
      <c r="A13" t="s">
        <v>18</v>
      </c>
      <c r="B13">
        <v>1.6788612647501939</v>
      </c>
      <c r="C13">
        <v>1.00955987756037</v>
      </c>
      <c r="D13">
        <v>2.7918850668766559</v>
      </c>
      <c r="E13">
        <v>0</v>
      </c>
      <c r="F13">
        <v>4.5865468688936352E-2</v>
      </c>
      <c r="G13">
        <v>6.2543820939458664E-2</v>
      </c>
    </row>
    <row r="14" spans="1:7" x14ac:dyDescent="0.55000000000000004">
      <c r="A14" t="s">
        <v>19</v>
      </c>
      <c r="B14">
        <v>1.555285230672673</v>
      </c>
      <c r="C14">
        <v>0.93688662941212686</v>
      </c>
      <c r="D14">
        <v>2.5818621728718192</v>
      </c>
      <c r="E14">
        <v>0</v>
      </c>
      <c r="F14">
        <v>8.7661051941045315E-2</v>
      </c>
      <c r="G14">
        <v>0.112707066781344</v>
      </c>
    </row>
    <row r="15" spans="1:7" x14ac:dyDescent="0.55000000000000004">
      <c r="A15" t="s">
        <v>46</v>
      </c>
      <c r="B15">
        <f>1/0.710107024711108</f>
        <v>1.408238427731128</v>
      </c>
      <c r="C15">
        <f>1/1.13816105093299</f>
        <v>0.87861028031161792</v>
      </c>
      <c r="D15">
        <f>1/0.44304097924517</f>
        <v>2.2571275499249475</v>
      </c>
      <c r="E15">
        <v>0</v>
      </c>
      <c r="F15">
        <v>0.15494019435718229</v>
      </c>
      <c r="G15">
        <v>0.1834818091071895</v>
      </c>
    </row>
    <row r="16" spans="1:7" x14ac:dyDescent="0.55000000000000004">
      <c r="A16" t="s">
        <v>20</v>
      </c>
      <c r="B16">
        <v>1.0794555439995239</v>
      </c>
      <c r="C16">
        <v>0.63722475474447815</v>
      </c>
      <c r="D16">
        <v>1.8285922867804361</v>
      </c>
      <c r="E16">
        <v>0</v>
      </c>
      <c r="F16">
        <v>0.77617908143236725</v>
      </c>
      <c r="G16">
        <v>0.77617908143236725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870D-A04B-4C56-89A3-29E9C9F43EB5}">
  <dimension ref="A1:G16"/>
  <sheetViews>
    <sheetView workbookViewId="0">
      <selection activeCell="C19" sqref="C19"/>
    </sheetView>
  </sheetViews>
  <sheetFormatPr defaultRowHeight="14.4" x14ac:dyDescent="0.55000000000000004"/>
  <cols>
    <col min="1" max="1" width="16.417968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32</v>
      </c>
    </row>
    <row r="2" spans="1:7" x14ac:dyDescent="0.55000000000000004">
      <c r="A2" s="1" t="s">
        <v>47</v>
      </c>
      <c r="B2">
        <f>1/0.0375724483271829</f>
        <v>26.615247196348406</v>
      </c>
      <c r="C2">
        <f>1/0.0624623188769589</f>
        <v>16.009652186782326</v>
      </c>
      <c r="D2">
        <f>1/0.0226006478574648</f>
        <v>44.2465192284171</v>
      </c>
      <c r="E2">
        <v>1</v>
      </c>
      <c r="F2">
        <v>1.0723472744928381E-36</v>
      </c>
      <c r="G2">
        <v>4.8255627352177709E-35</v>
      </c>
    </row>
    <row r="3" spans="1:7" x14ac:dyDescent="0.55000000000000004">
      <c r="A3" s="1" t="s">
        <v>21</v>
      </c>
      <c r="B3">
        <v>8.8936670204629653</v>
      </c>
      <c r="C3">
        <v>5.3814384108609161</v>
      </c>
      <c r="D3">
        <v>14.69817305931347</v>
      </c>
      <c r="E3">
        <v>1</v>
      </c>
      <c r="F3">
        <v>1.5185327277040689E-17</v>
      </c>
      <c r="G3">
        <v>1.708349318667078E-16</v>
      </c>
    </row>
    <row r="4" spans="1:7" x14ac:dyDescent="0.55000000000000004">
      <c r="A4" s="1" t="s">
        <v>48</v>
      </c>
      <c r="B4">
        <f>1/0.17362931609263</f>
        <v>5.7593960657341254</v>
      </c>
      <c r="C4">
        <f>1/0.264254385976585</f>
        <v>3.7842323649780698</v>
      </c>
      <c r="D4">
        <f>1/0.114083780654698</f>
        <v>8.7654879095104725</v>
      </c>
      <c r="E4">
        <v>1</v>
      </c>
      <c r="F4">
        <v>3.0684642337873652E-16</v>
      </c>
      <c r="G4">
        <v>2.3013481753405242E-15</v>
      </c>
    </row>
    <row r="5" spans="1:7" x14ac:dyDescent="0.55000000000000004">
      <c r="A5" s="1" t="s">
        <v>49</v>
      </c>
      <c r="B5">
        <f>1/0.136826433946953</f>
        <v>7.30852928892158</v>
      </c>
      <c r="C5">
        <f>1/0.226372031174904</f>
        <v>4.4175068572290206</v>
      </c>
      <c r="D5">
        <f>1/0.0827022354726096</f>
        <v>12.091571579479165</v>
      </c>
      <c r="E5">
        <v>1</v>
      </c>
      <c r="F5">
        <v>9.6932714320242111E-15</v>
      </c>
      <c r="G5">
        <v>6.2313887777298504E-14</v>
      </c>
    </row>
    <row r="6" spans="1:7" x14ac:dyDescent="0.55000000000000004">
      <c r="A6" s="1" t="s">
        <v>50</v>
      </c>
      <c r="B6">
        <f>1/0.158876157049763</f>
        <v>6.294210651676206</v>
      </c>
      <c r="C6">
        <f>1/0.263182766724855</f>
        <v>3.7996408824345709</v>
      </c>
      <c r="D6">
        <f>1/0.0959091417459327</f>
        <v>10.426534757750639</v>
      </c>
      <c r="E6">
        <v>1</v>
      </c>
      <c r="F6">
        <v>9.083282903094881E-13</v>
      </c>
      <c r="G6">
        <v>4.5416414515474413E-12</v>
      </c>
    </row>
    <row r="7" spans="1:7" x14ac:dyDescent="0.55000000000000004">
      <c r="A7" s="1" t="s">
        <v>51</v>
      </c>
      <c r="B7">
        <f>1/0.236488904470508</f>
        <v>4.2285281934853218</v>
      </c>
      <c r="C7">
        <f>1/0.357411830975415</f>
        <v>2.7978928321172059</v>
      </c>
      <c r="D7">
        <f>1/0.156477757843188</f>
        <v>6.3906846173124245</v>
      </c>
      <c r="E7">
        <v>1</v>
      </c>
      <c r="F7">
        <v>7.7671057937702193E-12</v>
      </c>
      <c r="G7">
        <v>3.1774523701787261E-11</v>
      </c>
    </row>
    <row r="8" spans="1:7" x14ac:dyDescent="0.55000000000000004">
      <c r="A8" s="1" t="s">
        <v>22</v>
      </c>
      <c r="B8">
        <v>3.6416693624929901</v>
      </c>
      <c r="C8">
        <v>2.4162506844201759</v>
      </c>
      <c r="D8">
        <v>5.4885678175824308</v>
      </c>
      <c r="E8">
        <v>1</v>
      </c>
      <c r="F8">
        <v>6.6163674638753486E-10</v>
      </c>
      <c r="G8">
        <v>2.2902810451876212E-9</v>
      </c>
    </row>
    <row r="9" spans="1:7" x14ac:dyDescent="0.55000000000000004">
      <c r="A9" s="1" t="s">
        <v>23</v>
      </c>
      <c r="B9">
        <v>4.6211871683382828</v>
      </c>
      <c r="C9">
        <v>2.7861839881641739</v>
      </c>
      <c r="D9">
        <v>7.6647381994631001</v>
      </c>
      <c r="E9">
        <v>1</v>
      </c>
      <c r="F9">
        <v>3.045129069824976E-9</v>
      </c>
      <c r="G9">
        <v>9.1353872094749285E-9</v>
      </c>
    </row>
    <row r="10" spans="1:7" x14ac:dyDescent="0.55000000000000004">
      <c r="A10" s="1" t="s">
        <v>52</v>
      </c>
      <c r="B10">
        <f>1/0.334156844565515</f>
        <v>2.9926066643951068</v>
      </c>
      <c r="C10">
        <f>1/0.502510139768065</f>
        <v>1.9900095955507542</v>
      </c>
      <c r="D10">
        <f>1/0.222206057019106</f>
        <v>4.5003273691770547</v>
      </c>
      <c r="E10">
        <v>1</v>
      </c>
      <c r="F10">
        <v>1.3971096320871921E-7</v>
      </c>
      <c r="G10">
        <v>3.1434966721961829E-7</v>
      </c>
    </row>
    <row r="11" spans="1:7" x14ac:dyDescent="0.55000000000000004">
      <c r="A11" s="1" t="s">
        <v>53</v>
      </c>
      <c r="B11">
        <f>1/0.519604248473171</f>
        <v>1.9245416159287496</v>
      </c>
      <c r="C11">
        <f>1/0.791484119445251</f>
        <v>1.2634492283950021</v>
      </c>
      <c r="D11">
        <f>1/0.341116856798849</f>
        <v>2.9315467121276964</v>
      </c>
      <c r="E11">
        <v>1</v>
      </c>
      <c r="F11">
        <v>2.2957505128390959E-3</v>
      </c>
      <c r="G11">
        <v>3.5623714854399759E-3</v>
      </c>
    </row>
    <row r="12" spans="1:7" x14ac:dyDescent="0.55000000000000004">
      <c r="A12" s="1" t="s">
        <v>54</v>
      </c>
      <c r="B12">
        <f>1/0.632300560845144</f>
        <v>1.5815263530106356</v>
      </c>
      <c r="C12">
        <f>1/0.965013313921543</f>
        <v>1.0362551330367464</v>
      </c>
      <c r="D12">
        <f>1/0.414298946426337</f>
        <v>2.4137160102042441</v>
      </c>
      <c r="E12">
        <v>1</v>
      </c>
      <c r="F12">
        <v>3.3581184732226148E-2</v>
      </c>
      <c r="G12">
        <v>4.7223541029693027E-2</v>
      </c>
    </row>
    <row r="13" spans="1:7" x14ac:dyDescent="0.55000000000000004">
      <c r="A13" s="1" t="s">
        <v>24</v>
      </c>
      <c r="B13">
        <v>1.4129916382913701</v>
      </c>
      <c r="C13">
        <v>0.93193337544362509</v>
      </c>
      <c r="D13">
        <v>2.1423692106004042</v>
      </c>
      <c r="E13">
        <v>0</v>
      </c>
      <c r="F13">
        <v>0.1035254745455902</v>
      </c>
      <c r="G13">
        <v>0.12940684318198781</v>
      </c>
    </row>
    <row r="14" spans="1:7" x14ac:dyDescent="0.55000000000000004">
      <c r="A14" s="1" t="s">
        <v>55</v>
      </c>
      <c r="B14">
        <f>1/0.734196458313262</f>
        <v>1.3620332659972145</v>
      </c>
      <c r="C14">
        <f>1/1.12256635208186</f>
        <v>0.89081593987334995</v>
      </c>
      <c r="D14">
        <f>1/0.480189378917378</f>
        <v>2.0825117003932343</v>
      </c>
      <c r="E14">
        <v>0</v>
      </c>
      <c r="F14">
        <v>0.15379155088230881</v>
      </c>
      <c r="G14">
        <v>0.1834818091071895</v>
      </c>
    </row>
    <row r="15" spans="1:7" x14ac:dyDescent="0.55000000000000004">
      <c r="A15" s="1" t="s">
        <v>25</v>
      </c>
      <c r="B15">
        <v>1.216888743121568</v>
      </c>
      <c r="C15">
        <v>0.80432400139225302</v>
      </c>
      <c r="D15">
        <v>1.8410717702974819</v>
      </c>
      <c r="E15">
        <v>0</v>
      </c>
      <c r="F15">
        <v>0.35278532685668818</v>
      </c>
      <c r="G15">
        <v>0.39688349271377432</v>
      </c>
    </row>
    <row r="16" spans="1:7" x14ac:dyDescent="0.55000000000000004">
      <c r="A16" s="1" t="s">
        <v>56</v>
      </c>
      <c r="B16">
        <f>1/0.861214397979782</f>
        <v>1.1611510471094981</v>
      </c>
      <c r="C16">
        <f>1/1.30785706028974</f>
        <v>0.76460955127501629</v>
      </c>
      <c r="D16">
        <f>1/0.567103441046811</f>
        <v>1.7633467329242603</v>
      </c>
      <c r="E16">
        <v>0</v>
      </c>
      <c r="F16">
        <v>0.48335872778390998</v>
      </c>
      <c r="G16">
        <v>0.50584052907618493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4DB1-8425-4E08-AF9B-1B47E390517C}">
  <dimension ref="A1:G16"/>
  <sheetViews>
    <sheetView tabSelected="1" workbookViewId="0">
      <selection activeCell="F20" sqref="F20"/>
    </sheetView>
  </sheetViews>
  <sheetFormatPr defaultRowHeight="14.4" x14ac:dyDescent="0.55000000000000004"/>
  <cols>
    <col min="1" max="1" width="19.156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32</v>
      </c>
    </row>
    <row r="2" spans="1:7" x14ac:dyDescent="0.55000000000000004">
      <c r="A2" s="1" t="s">
        <v>57</v>
      </c>
      <c r="B2">
        <f>1/0.0205182681554821</f>
        <v>48.737056774102967</v>
      </c>
      <c r="C2">
        <f>1/0.0516870352629027</f>
        <v>19.347211441197313</v>
      </c>
      <c r="D2">
        <f>1/0.00814516301735797</f>
        <v>122.77225119606851</v>
      </c>
      <c r="E2">
        <v>1</v>
      </c>
      <c r="F2">
        <v>1.654632662836382E-16</v>
      </c>
      <c r="G2">
        <v>1.4891693965527439E-15</v>
      </c>
    </row>
    <row r="3" spans="1:7" x14ac:dyDescent="0.55000000000000004">
      <c r="A3" s="1" t="s">
        <v>58</v>
      </c>
      <c r="B3">
        <f>1/0.143683175124506</f>
        <v>6.9597571123652324</v>
      </c>
      <c r="C3">
        <f>1/0.249016754240604</f>
        <v>4.0157940498806113</v>
      </c>
      <c r="D3">
        <f>1/0.0829054851221456</f>
        <v>12.061928092293153</v>
      </c>
      <c r="E3">
        <v>1</v>
      </c>
      <c r="F3">
        <v>4.6792664905898973E-12</v>
      </c>
      <c r="G3">
        <v>2.105669920765453E-11</v>
      </c>
    </row>
    <row r="4" spans="1:7" x14ac:dyDescent="0.55000000000000004">
      <c r="A4" s="1" t="s">
        <v>59</v>
      </c>
      <c r="B4">
        <f>1/0.187544055383634</f>
        <v>5.3320804967901152</v>
      </c>
      <c r="C4">
        <f>1/0.318085883003158</f>
        <v>3.1438050332779839</v>
      </c>
      <c r="D4">
        <f>1/0.110576339879222</f>
        <v>9.0435259576529567</v>
      </c>
      <c r="E4">
        <v>1</v>
      </c>
      <c r="F4">
        <v>5.3187535007057556E-10</v>
      </c>
      <c r="G4">
        <v>1.994532562764658E-9</v>
      </c>
    </row>
    <row r="5" spans="1:7" x14ac:dyDescent="0.55000000000000004">
      <c r="A5" s="1" t="s">
        <v>26</v>
      </c>
      <c r="B5">
        <v>4.1218284822905966</v>
      </c>
      <c r="C5">
        <v>2.4831388888964119</v>
      </c>
      <c r="D5">
        <v>6.8419330523121404</v>
      </c>
      <c r="E5">
        <v>1</v>
      </c>
      <c r="F5">
        <v>4.3118760042956991E-8</v>
      </c>
      <c r="G5">
        <v>1.0779690010739251E-7</v>
      </c>
    </row>
    <row r="6" spans="1:7" x14ac:dyDescent="0.55000000000000004">
      <c r="A6" s="1" t="s">
        <v>27</v>
      </c>
      <c r="B6">
        <v>13.376150689858781</v>
      </c>
      <c r="C6">
        <v>5.2290205964159506</v>
      </c>
      <c r="D6">
        <v>34.217001822567859</v>
      </c>
      <c r="E6">
        <v>1</v>
      </c>
      <c r="F6">
        <v>6.2362899134984869E-8</v>
      </c>
      <c r="G6">
        <v>1.477016032144378E-7</v>
      </c>
    </row>
    <row r="7" spans="1:7" x14ac:dyDescent="0.55000000000000004">
      <c r="A7" s="1" t="s">
        <v>60</v>
      </c>
      <c r="B7">
        <f>1/0.0845727820905424</f>
        <v>11.824135085557602</v>
      </c>
      <c r="C7">
        <f>1/0.217294518626776</f>
        <v>4.602048898056168</v>
      </c>
      <c r="D7">
        <f>1/0.0329164100214583</f>
        <v>30.379983702599926</v>
      </c>
      <c r="E7">
        <v>1</v>
      </c>
      <c r="F7">
        <v>2.8890869930053169E-7</v>
      </c>
      <c r="G7">
        <v>6.1909006992971078E-7</v>
      </c>
    </row>
    <row r="8" spans="1:7" x14ac:dyDescent="0.55000000000000004">
      <c r="A8" s="1" t="s">
        <v>61</v>
      </c>
      <c r="B8">
        <f>1/0.27445544674266</f>
        <v>3.6435786276729956</v>
      </c>
      <c r="C8">
        <f>1/0.450953996476636</f>
        <v>2.2175210948636312</v>
      </c>
      <c r="D8">
        <f>1/0.167036533294401</f>
        <v>5.9867142850570625</v>
      </c>
      <c r="E8">
        <v>1</v>
      </c>
      <c r="F8">
        <v>3.3381974356982159E-7</v>
      </c>
      <c r="G8">
        <v>6.828131118473623E-7</v>
      </c>
    </row>
    <row r="9" spans="1:7" x14ac:dyDescent="0.55000000000000004">
      <c r="A9" s="1" t="s">
        <v>62</v>
      </c>
      <c r="B9">
        <f>1/0.109405057459756</f>
        <v>9.1403452748776637</v>
      </c>
      <c r="C9">
        <f>1/0.284153160044855</f>
        <v>3.5192288547561636</v>
      </c>
      <c r="D9">
        <f>1/0.0421232922269209</f>
        <v>23.739834830880156</v>
      </c>
      <c r="E9">
        <v>1</v>
      </c>
      <c r="F9">
        <v>5.526273725514123E-6</v>
      </c>
      <c r="G9">
        <v>1.081227468035372E-5</v>
      </c>
    </row>
    <row r="10" spans="1:7" x14ac:dyDescent="0.55000000000000004">
      <c r="A10" s="1" t="s">
        <v>28</v>
      </c>
      <c r="B10">
        <v>7.0026950635264074</v>
      </c>
      <c r="C10">
        <v>2.6692771863323261</v>
      </c>
      <c r="D10">
        <v>18.371167447063289</v>
      </c>
      <c r="E10">
        <v>1</v>
      </c>
      <c r="F10">
        <v>7.6494587013114308E-5</v>
      </c>
      <c r="G10">
        <v>1.3769025662360579E-4</v>
      </c>
    </row>
    <row r="11" spans="1:7" x14ac:dyDescent="0.55000000000000004">
      <c r="A11" s="1" t="s">
        <v>63</v>
      </c>
      <c r="B11">
        <f>1/0.523520946039846</f>
        <v>1.9101432474946063</v>
      </c>
      <c r="C11">
        <f>1/0.939563963594483</f>
        <v>1.0643234933940073</v>
      </c>
      <c r="D11">
        <f>1/0.291703589709775</f>
        <v>3.4281374493708876</v>
      </c>
      <c r="E11">
        <v>1</v>
      </c>
      <c r="F11">
        <v>3.0091700030513788E-2</v>
      </c>
      <c r="G11">
        <v>4.3681500044294212E-2</v>
      </c>
    </row>
    <row r="12" spans="1:7" x14ac:dyDescent="0.55000000000000004">
      <c r="A12" s="1" t="s">
        <v>64</v>
      </c>
      <c r="B12">
        <f>1/0.592237403654136</f>
        <v>1.6885120626119647</v>
      </c>
      <c r="C12">
        <f>1/1.0717514449135</f>
        <v>0.93305215938450081</v>
      </c>
      <c r="D12">
        <f>1/0.327263512404502</f>
        <v>3.0556415918557605</v>
      </c>
      <c r="E12">
        <v>0</v>
      </c>
      <c r="F12">
        <v>8.3453556213173824E-2</v>
      </c>
      <c r="G12">
        <v>0.1104532361644948</v>
      </c>
    </row>
    <row r="13" spans="1:7" x14ac:dyDescent="0.55000000000000004">
      <c r="A13" s="1" t="s">
        <v>29</v>
      </c>
      <c r="B13">
        <v>1.4634185348143509</v>
      </c>
      <c r="C13">
        <v>0.83140238910132758</v>
      </c>
      <c r="D13">
        <v>2.5758812292481572</v>
      </c>
      <c r="E13">
        <v>0</v>
      </c>
      <c r="F13">
        <v>0.1868611371004939</v>
      </c>
      <c r="G13">
        <v>0.2156090043467237</v>
      </c>
    </row>
    <row r="14" spans="1:7" x14ac:dyDescent="0.55000000000000004">
      <c r="A14" s="1" t="s">
        <v>65</v>
      </c>
      <c r="B14">
        <f>1/0.77302442916455</f>
        <v>1.293620178447342</v>
      </c>
      <c r="C14">
        <f>1/1.37161269045341</f>
        <v>0.72906878666267871</v>
      </c>
      <c r="D14">
        <f>1/0.435667278557799</f>
        <v>2.2953295994831802</v>
      </c>
      <c r="E14">
        <v>0</v>
      </c>
      <c r="F14">
        <v>0.37889502497830252</v>
      </c>
      <c r="G14">
        <v>0.41586039326886859</v>
      </c>
    </row>
    <row r="15" spans="1:7" x14ac:dyDescent="0.55000000000000004">
      <c r="A15" s="1" t="s">
        <v>66</v>
      </c>
      <c r="B15">
        <f>1/0.766130255798254</f>
        <v>1.3052610733380712</v>
      </c>
      <c r="C15">
        <f>1/1.40813741459458</f>
        <v>0.71015796443979318</v>
      </c>
      <c r="D15">
        <f>1/0.41683117199076</f>
        <v>2.39905282329069</v>
      </c>
      <c r="E15">
        <v>0</v>
      </c>
      <c r="F15">
        <v>0.39098247987190599</v>
      </c>
      <c r="G15">
        <v>0.41890979986275639</v>
      </c>
    </row>
    <row r="16" spans="1:7" x14ac:dyDescent="0.55000000000000004">
      <c r="A16" s="1" t="s">
        <v>30</v>
      </c>
      <c r="B16">
        <v>1.131258277503685</v>
      </c>
      <c r="C16">
        <v>0.65453744621278931</v>
      </c>
      <c r="D16">
        <v>1.9551903375816351</v>
      </c>
      <c r="E16">
        <v>0</v>
      </c>
      <c r="F16">
        <v>0.65864791379157706</v>
      </c>
      <c r="G16">
        <v>0.67361718455956743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PO_main</vt:lpstr>
      <vt:lpstr>PO_reduced</vt:lpstr>
      <vt:lpstr>NPO_0to1</vt:lpstr>
      <vt:lpstr>NPO_1to2</vt:lpstr>
      <vt:lpstr>NPO_2to3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2025-06-08T01:22:44Z</dcterms:modified>
</cp:coreProperties>
</file>