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rahul/Desktop/Project/LSMLIB/lsmpqs-1.0/data/"/>
    </mc:Choice>
  </mc:AlternateContent>
  <bookViews>
    <workbookView xWindow="0" yWindow="460" windowWidth="25600" windowHeight="14260" tabRatio="992"/>
  </bookViews>
  <sheets>
    <sheet name="ExpData" sheetId="1" r:id="rId1"/>
    <sheet name="CalcValues_Blunt" sheetId="2" r:id="rId2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5" i="2" l="1"/>
  <c r="M75" i="2"/>
  <c r="K74" i="2"/>
  <c r="M74" i="2"/>
  <c r="K73" i="2"/>
  <c r="M73" i="2"/>
  <c r="K72" i="2"/>
  <c r="M72" i="2"/>
  <c r="K71" i="2"/>
  <c r="M71" i="2"/>
  <c r="K70" i="2"/>
  <c r="M70" i="2"/>
  <c r="K69" i="2"/>
  <c r="M69" i="2"/>
  <c r="K68" i="2"/>
  <c r="M68" i="2"/>
  <c r="K67" i="2"/>
  <c r="M67" i="2"/>
  <c r="R66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N66" i="2"/>
  <c r="P66" i="2"/>
  <c r="K66" i="2"/>
  <c r="M66" i="2"/>
  <c r="J66" i="2"/>
  <c r="I66" i="2"/>
  <c r="R65" i="2"/>
  <c r="N65" i="2"/>
  <c r="P65" i="2"/>
  <c r="K65" i="2"/>
  <c r="M65" i="2"/>
  <c r="J65" i="2"/>
  <c r="I65" i="2"/>
  <c r="R64" i="2"/>
  <c r="N64" i="2"/>
  <c r="P64" i="2"/>
  <c r="K64" i="2"/>
  <c r="M64" i="2"/>
  <c r="J64" i="2"/>
  <c r="I64" i="2"/>
  <c r="R63" i="2"/>
  <c r="N63" i="2"/>
  <c r="P63" i="2"/>
  <c r="K63" i="2"/>
  <c r="M63" i="2"/>
  <c r="J63" i="2"/>
  <c r="I63" i="2"/>
  <c r="R62" i="2"/>
  <c r="N62" i="2"/>
  <c r="P62" i="2"/>
  <c r="K62" i="2"/>
  <c r="M62" i="2"/>
  <c r="J62" i="2"/>
  <c r="I62" i="2"/>
  <c r="R61" i="2"/>
  <c r="N61" i="2"/>
  <c r="P61" i="2"/>
  <c r="K61" i="2"/>
  <c r="M61" i="2"/>
  <c r="J61" i="2"/>
  <c r="I61" i="2"/>
  <c r="R60" i="2"/>
  <c r="N60" i="2"/>
  <c r="P60" i="2"/>
  <c r="K60" i="2"/>
  <c r="M60" i="2"/>
  <c r="J60" i="2"/>
  <c r="I60" i="2"/>
  <c r="R59" i="2"/>
  <c r="N59" i="2"/>
  <c r="P59" i="2"/>
  <c r="K59" i="2"/>
  <c r="M59" i="2"/>
  <c r="J59" i="2"/>
  <c r="I59" i="2"/>
  <c r="R58" i="2"/>
  <c r="N58" i="2"/>
  <c r="P58" i="2"/>
  <c r="K58" i="2"/>
  <c r="M58" i="2"/>
  <c r="J58" i="2"/>
  <c r="I58" i="2"/>
  <c r="R57" i="2"/>
  <c r="N57" i="2"/>
  <c r="P57" i="2"/>
  <c r="K57" i="2"/>
  <c r="M57" i="2"/>
  <c r="J57" i="2"/>
  <c r="I57" i="2"/>
  <c r="R56" i="2"/>
  <c r="N56" i="2"/>
  <c r="P56" i="2"/>
  <c r="K56" i="2"/>
  <c r="M56" i="2"/>
  <c r="J56" i="2"/>
  <c r="I56" i="2"/>
  <c r="R55" i="2"/>
  <c r="N55" i="2"/>
  <c r="P55" i="2"/>
  <c r="K55" i="2"/>
  <c r="M55" i="2"/>
  <c r="J55" i="2"/>
  <c r="I55" i="2"/>
  <c r="R54" i="2"/>
  <c r="N54" i="2"/>
  <c r="P54" i="2"/>
  <c r="K54" i="2"/>
  <c r="M54" i="2"/>
  <c r="J54" i="2"/>
  <c r="I54" i="2"/>
  <c r="R53" i="2"/>
  <c r="N53" i="2"/>
  <c r="P53" i="2"/>
  <c r="K53" i="2"/>
  <c r="M53" i="2"/>
  <c r="J53" i="2"/>
  <c r="I53" i="2"/>
  <c r="R52" i="2"/>
  <c r="N52" i="2"/>
  <c r="P52" i="2"/>
  <c r="K52" i="2"/>
  <c r="M52" i="2"/>
  <c r="J52" i="2"/>
  <c r="I52" i="2"/>
  <c r="R51" i="2"/>
  <c r="N51" i="2"/>
  <c r="P51" i="2"/>
  <c r="K51" i="2"/>
  <c r="M51" i="2"/>
  <c r="J51" i="2"/>
  <c r="I51" i="2"/>
  <c r="R50" i="2"/>
  <c r="N50" i="2"/>
  <c r="P50" i="2"/>
  <c r="K50" i="2"/>
  <c r="M50" i="2"/>
  <c r="J50" i="2"/>
  <c r="I50" i="2"/>
  <c r="R49" i="2"/>
  <c r="N49" i="2"/>
  <c r="P49" i="2"/>
  <c r="K49" i="2"/>
  <c r="M49" i="2"/>
  <c r="J49" i="2"/>
  <c r="I49" i="2"/>
  <c r="R48" i="2"/>
  <c r="N48" i="2"/>
  <c r="P48" i="2"/>
  <c r="K48" i="2"/>
  <c r="M48" i="2"/>
  <c r="J48" i="2"/>
  <c r="I48" i="2"/>
  <c r="R47" i="2"/>
  <c r="N47" i="2"/>
  <c r="P47" i="2"/>
  <c r="K47" i="2"/>
  <c r="M47" i="2"/>
  <c r="J47" i="2"/>
  <c r="I47" i="2"/>
  <c r="R46" i="2"/>
  <c r="N46" i="2"/>
  <c r="P46" i="2"/>
  <c r="K46" i="2"/>
  <c r="M46" i="2"/>
  <c r="J46" i="2"/>
  <c r="I46" i="2"/>
  <c r="R45" i="2"/>
  <c r="N45" i="2"/>
  <c r="P45" i="2"/>
  <c r="K45" i="2"/>
  <c r="M45" i="2"/>
  <c r="J45" i="2"/>
  <c r="I45" i="2"/>
  <c r="R44" i="2"/>
  <c r="N44" i="2"/>
  <c r="P44" i="2"/>
  <c r="K44" i="2"/>
  <c r="M44" i="2"/>
  <c r="J44" i="2"/>
  <c r="I44" i="2"/>
  <c r="L22" i="2"/>
  <c r="N22" i="2"/>
  <c r="O22" i="2"/>
  <c r="K22" i="2"/>
  <c r="M22" i="2"/>
  <c r="H22" i="2"/>
  <c r="J22" i="2"/>
  <c r="I22" i="2"/>
  <c r="N21" i="2"/>
  <c r="O21" i="2"/>
  <c r="K21" i="2"/>
  <c r="M21" i="2"/>
  <c r="J21" i="2"/>
  <c r="I21" i="2"/>
  <c r="N20" i="2"/>
  <c r="O20" i="2"/>
  <c r="K20" i="2"/>
  <c r="M20" i="2"/>
  <c r="J20" i="2"/>
  <c r="I20" i="2"/>
  <c r="N19" i="2"/>
  <c r="O19" i="2"/>
  <c r="K19" i="2"/>
  <c r="M19" i="2"/>
  <c r="J19" i="2"/>
  <c r="I19" i="2"/>
  <c r="N18" i="2"/>
  <c r="O18" i="2"/>
  <c r="K18" i="2"/>
  <c r="M18" i="2"/>
  <c r="J18" i="2"/>
  <c r="I18" i="2"/>
  <c r="N17" i="2"/>
  <c r="O17" i="2"/>
  <c r="K17" i="2"/>
  <c r="M17" i="2"/>
  <c r="H17" i="2"/>
  <c r="J17" i="2"/>
  <c r="I17" i="2"/>
  <c r="N16" i="2"/>
  <c r="O16" i="2"/>
  <c r="K16" i="2"/>
  <c r="M16" i="2"/>
  <c r="J16" i="2"/>
  <c r="I16" i="2"/>
  <c r="N15" i="2"/>
  <c r="O15" i="2"/>
  <c r="K15" i="2"/>
  <c r="M15" i="2"/>
  <c r="J15" i="2"/>
  <c r="I15" i="2"/>
  <c r="N14" i="2"/>
  <c r="O14" i="2"/>
  <c r="K14" i="2"/>
  <c r="M14" i="2"/>
  <c r="J14" i="2"/>
  <c r="I14" i="2"/>
  <c r="N13" i="2"/>
  <c r="O13" i="2"/>
  <c r="K13" i="2"/>
  <c r="M13" i="2"/>
  <c r="J13" i="2"/>
  <c r="I13" i="2"/>
  <c r="N12" i="2"/>
  <c r="O12" i="2"/>
  <c r="K12" i="2"/>
  <c r="M12" i="2"/>
  <c r="J12" i="2"/>
  <c r="I12" i="2"/>
  <c r="J9" i="2"/>
  <c r="I9" i="2"/>
  <c r="B9" i="2"/>
  <c r="K8" i="2"/>
  <c r="I8" i="2"/>
  <c r="B6" i="2"/>
  <c r="S4" i="2"/>
  <c r="B3" i="2"/>
  <c r="S5" i="2"/>
  <c r="R4" i="2"/>
  <c r="R5" i="2"/>
  <c r="Q4" i="2"/>
  <c r="Q5" i="2"/>
  <c r="P4" i="2"/>
  <c r="P5" i="2"/>
  <c r="O4" i="2"/>
  <c r="O5" i="2"/>
  <c r="N4" i="2"/>
  <c r="N5" i="2"/>
  <c r="H3" i="2"/>
  <c r="H4" i="2"/>
  <c r="H5" i="2"/>
  <c r="G4" i="2"/>
  <c r="G5" i="2"/>
  <c r="F4" i="2"/>
  <c r="F5" i="2"/>
  <c r="E4" i="2"/>
  <c r="E5" i="2"/>
  <c r="S1" i="2"/>
  <c r="R1" i="2"/>
  <c r="Q1" i="2"/>
  <c r="P1" i="2"/>
  <c r="N1" i="2"/>
</calcChain>
</file>

<file path=xl/sharedStrings.xml><?xml version="1.0" encoding="utf-8"?>
<sst xmlns="http://schemas.openxmlformats.org/spreadsheetml/2006/main" count="98" uniqueCount="69">
  <si>
    <t>From Blunt:</t>
  </si>
  <si>
    <t>Oak (1991) Data:</t>
  </si>
  <si>
    <t>kr-S curves:</t>
  </si>
  <si>
    <t>Pc-S curves</t>
  </si>
  <si>
    <t>Primary Oil flooding:</t>
  </si>
  <si>
    <t>Oil-Water</t>
  </si>
  <si>
    <t>Oil/gas</t>
  </si>
  <si>
    <t>Water/gas</t>
  </si>
  <si>
    <t>Sandstone Berea</t>
  </si>
  <si>
    <t>Sw</t>
  </si>
  <si>
    <t>kr_w</t>
  </si>
  <si>
    <t>kr_nw</t>
  </si>
  <si>
    <t>Pc (psi)</t>
  </si>
  <si>
    <t>Pc(psi)</t>
  </si>
  <si>
    <t>x: 400</t>
  </si>
  <si>
    <t>y: 400</t>
  </si>
  <si>
    <t>z: 400</t>
  </si>
  <si>
    <t>Porosity(%)</t>
  </si>
  <si>
    <t xml:space="preserve">Kx (mD) </t>
  </si>
  <si>
    <t>Ky (mD)</t>
  </si>
  <si>
    <t>Kz (mD)</t>
  </si>
  <si>
    <t xml:space="preserve">Avg. K (mD) </t>
  </si>
  <si>
    <t xml:space="preserve">Network K (mD) </t>
  </si>
  <si>
    <t>FFx</t>
  </si>
  <si>
    <t>FFy</t>
  </si>
  <si>
    <t>FFz</t>
  </si>
  <si>
    <t>Avg. FF</t>
  </si>
  <si>
    <t>Network FF</t>
  </si>
  <si>
    <t>Pc(psig)</t>
  </si>
  <si>
    <t>Conversion factors:</t>
  </si>
  <si>
    <t>From LB:</t>
  </si>
  <si>
    <t>eps</t>
  </si>
  <si>
    <t>1 Darcy</t>
  </si>
  <si>
    <t>m2</t>
  </si>
  <si>
    <t>k_x</t>
  </si>
  <si>
    <t>k_z</t>
  </si>
  <si>
    <t>interp k_x</t>
  </si>
  <si>
    <t>interp k_z</t>
  </si>
  <si>
    <t>b</t>
  </si>
  <si>
    <t>1mD</t>
  </si>
  <si>
    <t>(lu^2)</t>
  </si>
  <si>
    <t>dx</t>
  </si>
  <si>
    <t>1MPa</t>
  </si>
  <si>
    <t>psig</t>
  </si>
  <si>
    <t>Surf Tension</t>
  </si>
  <si>
    <t>Resolution</t>
  </si>
  <si>
    <t>µm</t>
  </si>
  <si>
    <t>mD</t>
  </si>
  <si>
    <t>Resolution_interp</t>
  </si>
  <si>
    <t>data_step</t>
  </si>
  <si>
    <t>k_w</t>
  </si>
  <si>
    <t>k_nw</t>
  </si>
  <si>
    <t>a</t>
  </si>
  <si>
    <t>k_w (lu^2)</t>
  </si>
  <si>
    <t>k_nw (lu^2)</t>
  </si>
  <si>
    <t>Sw (%)</t>
  </si>
  <si>
    <t xml:space="preserve">a </t>
  </si>
  <si>
    <t>Pc (Mpa)</t>
  </si>
  <si>
    <t>Interpolated kr:</t>
  </si>
  <si>
    <t>Snw (%)</t>
  </si>
  <si>
    <t>*curvature calc could be wrong</t>
  </si>
  <si>
    <t>check curvatures from near interface</t>
  </si>
  <si>
    <t>*resolution could be inadequate for level set</t>
  </si>
  <si>
    <t>take 400^3 sample from Blunt and simulate</t>
  </si>
  <si>
    <t>it shouldn’t get easier for fluid to get in at lower perms</t>
  </si>
  <si>
    <t>*look for some other dataset, with higher permeability</t>
  </si>
  <si>
    <t>*higher order accuracy</t>
  </si>
  <si>
    <t>*contact angle</t>
  </si>
  <si>
    <t>*simulate with modified geometry matching Oak's perm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</si>
</sst>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kr-Sw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332551594747"/>
          <c:y val="0.143944042213769"/>
          <c:w val="0.831203095684803"/>
          <c:h val="0.680083445821573"/>
        </c:manualLayout>
      </c:layout>
      <c:scatterChart>
        <c:scatterStyle val="lineMarker"/>
        <c:varyColors val="0"/>
        <c:ser>
          <c:idx val="0"/>
          <c:order val="0"/>
          <c:tx>
            <c:v>krw_exp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ExpData!$E$4:$E$54</c:f>
              <c:numCache>
                <c:formatCode>0.0000</c:formatCode>
                <c:ptCount val="51"/>
                <c:pt idx="0">
                  <c:v>0.244664908978434</c:v>
                </c:pt>
                <c:pt idx="1">
                  <c:v>0.264579494592958</c:v>
                </c:pt>
                <c:pt idx="2">
                  <c:v>0.28022997707507</c:v>
                </c:pt>
                <c:pt idx="3">
                  <c:v>0.301563725019931</c:v>
                </c:pt>
                <c:pt idx="4">
                  <c:v>0.320052532162717</c:v>
                </c:pt>
                <c:pt idx="5">
                  <c:v>0.328584046498241</c:v>
                </c:pt>
                <c:pt idx="6">
                  <c:v>0.349927718655203</c:v>
                </c:pt>
                <c:pt idx="7">
                  <c:v>0.362729952264539</c:v>
                </c:pt>
                <c:pt idx="8">
                  <c:v>0.376954656274913</c:v>
                </c:pt>
                <c:pt idx="9">
                  <c:v>0.391179360285288</c:v>
                </c:pt>
                <c:pt idx="10">
                  <c:v>0.402555815422887</c:v>
                </c:pt>
                <c:pt idx="11">
                  <c:v>0.413935578631186</c:v>
                </c:pt>
                <c:pt idx="12">
                  <c:v>0.429582753042597</c:v>
                </c:pt>
                <c:pt idx="13">
                  <c:v>0.445226619383309</c:v>
                </c:pt>
                <c:pt idx="14">
                  <c:v>0.462292956125058</c:v>
                </c:pt>
                <c:pt idx="15">
                  <c:v>0.479362600937507</c:v>
                </c:pt>
                <c:pt idx="16">
                  <c:v>0.490739056075106</c:v>
                </c:pt>
                <c:pt idx="17">
                  <c:v>0.507798776675455</c:v>
                </c:pt>
                <c:pt idx="18">
                  <c:v>0.522023480685829</c:v>
                </c:pt>
                <c:pt idx="19">
                  <c:v>0.540505671687215</c:v>
                </c:pt>
                <c:pt idx="20">
                  <c:v>0.554727067626889</c:v>
                </c:pt>
                <c:pt idx="21">
                  <c:v>0.586004876096211</c:v>
                </c:pt>
                <c:pt idx="22">
                  <c:v>0.617262836141333</c:v>
                </c:pt>
                <c:pt idx="23">
                  <c:v>0.63007168589207</c:v>
                </c:pt>
                <c:pt idx="24">
                  <c:v>0.658461548640217</c:v>
                </c:pt>
                <c:pt idx="25">
                  <c:v>0.665587132928204</c:v>
                </c:pt>
                <c:pt idx="26">
                  <c:v>0.699617256219999</c:v>
                </c:pt>
                <c:pt idx="27">
                  <c:v>0.713871732866674</c:v>
                </c:pt>
                <c:pt idx="28">
                  <c:v>0.739357109540145</c:v>
                </c:pt>
                <c:pt idx="29">
                  <c:v>0.750743488889844</c:v>
                </c:pt>
                <c:pt idx="30">
                  <c:v>0.752199039997882</c:v>
                </c:pt>
                <c:pt idx="31">
                  <c:v>0.791922352964527</c:v>
                </c:pt>
                <c:pt idx="32">
                  <c:v>0.781915439096764</c:v>
                </c:pt>
                <c:pt idx="33">
                  <c:v>0.784743839545338</c:v>
                </c:pt>
                <c:pt idx="34">
                  <c:v>0.83729915875762</c:v>
                </c:pt>
                <c:pt idx="35">
                  <c:v>0.83156627223437</c:v>
                </c:pt>
                <c:pt idx="36">
                  <c:v>0.821562666437307</c:v>
                </c:pt>
                <c:pt idx="37">
                  <c:v>0.871273044847514</c:v>
                </c:pt>
                <c:pt idx="38">
                  <c:v>0.875477602707324</c:v>
                </c:pt>
                <c:pt idx="39">
                  <c:v>0.851292297818988</c:v>
                </c:pt>
                <c:pt idx="40">
                  <c:v>0.881064934119771</c:v>
                </c:pt>
                <c:pt idx="41">
                  <c:v>0.912352666801194</c:v>
                </c:pt>
                <c:pt idx="42">
                  <c:v>0.915174451108368</c:v>
                </c:pt>
                <c:pt idx="43">
                  <c:v>0.940639979357638</c:v>
                </c:pt>
                <c:pt idx="44">
                  <c:v>0.927725271344499</c:v>
                </c:pt>
                <c:pt idx="45">
                  <c:v>0.977528275734308</c:v>
                </c:pt>
                <c:pt idx="46">
                  <c:v>0.957511139928082</c:v>
                </c:pt>
                <c:pt idx="47">
                  <c:v>0.954623194206906</c:v>
                </c:pt>
                <c:pt idx="48">
                  <c:v>0.985877846181328</c:v>
                </c:pt>
                <c:pt idx="49">
                  <c:v>0.971577056544852</c:v>
                </c:pt>
                <c:pt idx="50">
                  <c:v>0.99431011839585</c:v>
                </c:pt>
              </c:numCache>
            </c:numRef>
          </c:xVal>
          <c:yVal>
            <c:numRef>
              <c:f>ExpData!$F$4:$F$54</c:f>
              <c:numCache>
                <c:formatCode>0.0000</c:formatCode>
                <c:ptCount val="51"/>
                <c:pt idx="0">
                  <c:v>0.000568988160414951</c:v>
                </c:pt>
                <c:pt idx="1">
                  <c:v>0.000615301150216129</c:v>
                </c:pt>
                <c:pt idx="2">
                  <c:v>-0.00167388377424404</c:v>
                </c:pt>
                <c:pt idx="3">
                  <c:v>0.000701310988418413</c:v>
                </c:pt>
                <c:pt idx="4">
                  <c:v>0.00306988960968057</c:v>
                </c:pt>
                <c:pt idx="5">
                  <c:v>0.00541531173604226</c:v>
                </c:pt>
                <c:pt idx="6">
                  <c:v>0.000813785392221433</c:v>
                </c:pt>
                <c:pt idx="7">
                  <c:v>0.000843558028522206</c:v>
                </c:pt>
                <c:pt idx="8">
                  <c:v>0.000876638735523016</c:v>
                </c:pt>
                <c:pt idx="9">
                  <c:v>0.000909719442523826</c:v>
                </c:pt>
                <c:pt idx="10">
                  <c:v>0.00326175771028558</c:v>
                </c:pt>
                <c:pt idx="11">
                  <c:v>0.00328822227588632</c:v>
                </c:pt>
                <c:pt idx="12">
                  <c:v>0.00332461105358738</c:v>
                </c:pt>
                <c:pt idx="13">
                  <c:v>0.00568657353344947</c:v>
                </c:pt>
                <c:pt idx="14">
                  <c:v>0.00805184408401182</c:v>
                </c:pt>
                <c:pt idx="15">
                  <c:v>0.00809154093241293</c:v>
                </c:pt>
                <c:pt idx="16">
                  <c:v>0.0104435792001744</c:v>
                </c:pt>
                <c:pt idx="17">
                  <c:v>0.017459997155059</c:v>
                </c:pt>
                <c:pt idx="18">
                  <c:v>0.0174930778620598</c:v>
                </c:pt>
                <c:pt idx="19">
                  <c:v>0.0245128038876445</c:v>
                </c:pt>
                <c:pt idx="20">
                  <c:v>0.0268714582968068</c:v>
                </c:pt>
                <c:pt idx="21">
                  <c:v>0.0385721043630145</c:v>
                </c:pt>
                <c:pt idx="22">
                  <c:v>0.0642261926421892</c:v>
                </c:pt>
                <c:pt idx="23">
                  <c:v>0.0596048178741674</c:v>
                </c:pt>
                <c:pt idx="24">
                  <c:v>0.10153130592707</c:v>
                </c:pt>
                <c:pt idx="25">
                  <c:v>0.092245551471926</c:v>
                </c:pt>
                <c:pt idx="26">
                  <c:v>0.169068877340046</c:v>
                </c:pt>
                <c:pt idx="27">
                  <c:v>0.148171794727596</c:v>
                </c:pt>
                <c:pt idx="28">
                  <c:v>0.231951993278</c:v>
                </c:pt>
                <c:pt idx="29">
                  <c:v>0.227327310439278</c:v>
                </c:pt>
                <c:pt idx="30">
                  <c:v>0.204074881488366</c:v>
                </c:pt>
                <c:pt idx="31">
                  <c:v>0.278585865937126</c:v>
                </c:pt>
                <c:pt idx="32">
                  <c:v>0.313446314974643</c:v>
                </c:pt>
                <c:pt idx="33">
                  <c:v>0.325080799626849</c:v>
                </c:pt>
                <c:pt idx="34">
                  <c:v>0.378691393392459</c:v>
                </c:pt>
                <c:pt idx="35">
                  <c:v>0.408910619237754</c:v>
                </c:pt>
                <c:pt idx="36">
                  <c:v>0.44144549457311</c:v>
                </c:pt>
                <c:pt idx="37">
                  <c:v>0.495049472197319</c:v>
                </c:pt>
                <c:pt idx="38">
                  <c:v>0.539245296750482</c:v>
                </c:pt>
                <c:pt idx="39">
                  <c:v>0.541514633250741</c:v>
                </c:pt>
                <c:pt idx="40">
                  <c:v>0.611351313800278</c:v>
                </c:pt>
                <c:pt idx="41">
                  <c:v>0.616075238760002</c:v>
                </c:pt>
                <c:pt idx="42">
                  <c:v>0.63236087081653</c:v>
                </c:pt>
                <c:pt idx="43">
                  <c:v>0.730094511579901</c:v>
                </c:pt>
                <c:pt idx="44">
                  <c:v>0.80913424481708</c:v>
                </c:pt>
                <c:pt idx="45">
                  <c:v>0.797622158780777</c:v>
                </c:pt>
                <c:pt idx="46">
                  <c:v>0.869668630557972</c:v>
                </c:pt>
                <c:pt idx="47">
                  <c:v>0.899894472544667</c:v>
                </c:pt>
                <c:pt idx="48">
                  <c:v>0.927874134526003</c:v>
                </c:pt>
                <c:pt idx="49">
                  <c:v>0.981329248968708</c:v>
                </c:pt>
                <c:pt idx="50">
                  <c:v>0.999986767717199</c:v>
                </c:pt>
              </c:numCache>
            </c:numRef>
          </c:yVal>
          <c:smooth val="1"/>
        </c:ser>
        <c:ser>
          <c:idx val="1"/>
          <c:order val="1"/>
          <c:tx>
            <c:v>krnw_exp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ExpData!$G$4:$G$59</c:f>
              <c:numCache>
                <c:formatCode>0.0000</c:formatCode>
                <c:ptCount val="56"/>
                <c:pt idx="0">
                  <c:v>0.278876976158734</c:v>
                </c:pt>
                <c:pt idx="1">
                  <c:v>0.239087501778088</c:v>
                </c:pt>
                <c:pt idx="2">
                  <c:v>0.241962215216463</c:v>
                </c:pt>
                <c:pt idx="3">
                  <c:v>0.264711817420961</c:v>
                </c:pt>
                <c:pt idx="4">
                  <c:v>0.264731665845162</c:v>
                </c:pt>
                <c:pt idx="5">
                  <c:v>0.301798598039637</c:v>
                </c:pt>
                <c:pt idx="6">
                  <c:v>0.297554343331425</c:v>
                </c:pt>
                <c:pt idx="7">
                  <c:v>0.35020559659401</c:v>
                </c:pt>
                <c:pt idx="8">
                  <c:v>0.330330707827887</c:v>
                </c:pt>
                <c:pt idx="9">
                  <c:v>0.318977409185189</c:v>
                </c:pt>
                <c:pt idx="10">
                  <c:v>0.374486835532648</c:v>
                </c:pt>
                <c:pt idx="11">
                  <c:v>0.357460195639301</c:v>
                </c:pt>
                <c:pt idx="12">
                  <c:v>0.353212632860389</c:v>
                </c:pt>
                <c:pt idx="13">
                  <c:v>0.401649404051063</c:v>
                </c:pt>
                <c:pt idx="14">
                  <c:v>0.378916342200065</c:v>
                </c:pt>
                <c:pt idx="15">
                  <c:v>0.390309337691165</c:v>
                </c:pt>
                <c:pt idx="16">
                  <c:v>0.428785508003877</c:v>
                </c:pt>
                <c:pt idx="17">
                  <c:v>0.410349629992292</c:v>
                </c:pt>
                <c:pt idx="18">
                  <c:v>0.418894376610616</c:v>
                </c:pt>
                <c:pt idx="19">
                  <c:v>0.460212179654703</c:v>
                </c:pt>
                <c:pt idx="20">
                  <c:v>0.443172307478555</c:v>
                </c:pt>
                <c:pt idx="21">
                  <c:v>0.444611318233093</c:v>
                </c:pt>
                <c:pt idx="22">
                  <c:v>0.49163885130553</c:v>
                </c:pt>
                <c:pt idx="23">
                  <c:v>0.478839925766893</c:v>
                </c:pt>
                <c:pt idx="24">
                  <c:v>0.478866390332494</c:v>
                </c:pt>
                <c:pt idx="25">
                  <c:v>0.523015901895855</c:v>
                </c:pt>
                <c:pt idx="26">
                  <c:v>0.508797814026881</c:v>
                </c:pt>
                <c:pt idx="27">
                  <c:v>0.508827586663182</c:v>
                </c:pt>
                <c:pt idx="28">
                  <c:v>0.538749086145469</c:v>
                </c:pt>
                <c:pt idx="29">
                  <c:v>0.547300448905193</c:v>
                </c:pt>
                <c:pt idx="30">
                  <c:v>0.558680212113493</c:v>
                </c:pt>
                <c:pt idx="31">
                  <c:v>0.584360764958268</c:v>
                </c:pt>
                <c:pt idx="32">
                  <c:v>0.584330992321968</c:v>
                </c:pt>
                <c:pt idx="33">
                  <c:v>0.615684886417392</c:v>
                </c:pt>
                <c:pt idx="34">
                  <c:v>0.625662027648854</c:v>
                </c:pt>
                <c:pt idx="35">
                  <c:v>0.656986149107978</c:v>
                </c:pt>
                <c:pt idx="36">
                  <c:v>0.668372528457678</c:v>
                </c:pt>
                <c:pt idx="37">
                  <c:v>0.701119120317839</c:v>
                </c:pt>
                <c:pt idx="38">
                  <c:v>0.711096261549301</c:v>
                </c:pt>
                <c:pt idx="39">
                  <c:v>0.736730501404276</c:v>
                </c:pt>
                <c:pt idx="40">
                  <c:v>0.75095851348535</c:v>
                </c:pt>
                <c:pt idx="41">
                  <c:v>0.780863472614136</c:v>
                </c:pt>
                <c:pt idx="42">
                  <c:v>0.792239927751735</c:v>
                </c:pt>
                <c:pt idx="43">
                  <c:v>0.817870859536009</c:v>
                </c:pt>
                <c:pt idx="44">
                  <c:v>0.829250622744309</c:v>
                </c:pt>
                <c:pt idx="45">
                  <c:v>0.840630385952608</c:v>
                </c:pt>
                <c:pt idx="46">
                  <c:v>0.852023381443707</c:v>
                </c:pt>
                <c:pt idx="47">
                  <c:v>0.873360437459269</c:v>
                </c:pt>
                <c:pt idx="48">
                  <c:v>0.883334270620031</c:v>
                </c:pt>
                <c:pt idx="49">
                  <c:v>0.914625311372154</c:v>
                </c:pt>
                <c:pt idx="50">
                  <c:v>0.930275793854266</c:v>
                </c:pt>
                <c:pt idx="51">
                  <c:v>0.947348746737415</c:v>
                </c:pt>
                <c:pt idx="52">
                  <c:v>0.960157596488151</c:v>
                </c:pt>
                <c:pt idx="53">
                  <c:v>0.970114889295413</c:v>
                </c:pt>
                <c:pt idx="54">
                  <c:v>0.984339593305787</c:v>
                </c:pt>
                <c:pt idx="55">
                  <c:v>0.995719356514087</c:v>
                </c:pt>
              </c:numCache>
            </c:numRef>
          </c:xVal>
          <c:yVal>
            <c:numRef>
              <c:f>ExpData!$H$4:$H$59</c:f>
              <c:numCache>
                <c:formatCode>0.0000</c:formatCode>
                <c:ptCount val="56"/>
                <c:pt idx="0">
                  <c:v>0.949485760409671</c:v>
                </c:pt>
                <c:pt idx="1">
                  <c:v>0.921486250004135</c:v>
                </c:pt>
                <c:pt idx="2">
                  <c:v>0.900562702826084</c:v>
                </c:pt>
                <c:pt idx="3">
                  <c:v>0.907592353063769</c:v>
                </c:pt>
                <c:pt idx="4">
                  <c:v>0.893638910850802</c:v>
                </c:pt>
                <c:pt idx="5">
                  <c:v>0.835585578134975</c:v>
                </c:pt>
                <c:pt idx="6">
                  <c:v>0.819296638007747</c:v>
                </c:pt>
                <c:pt idx="7">
                  <c:v>0.805465594410683</c:v>
                </c:pt>
                <c:pt idx="8">
                  <c:v>0.777512396994948</c:v>
                </c:pt>
                <c:pt idx="9">
                  <c:v>0.758881342812058</c:v>
                </c:pt>
                <c:pt idx="10">
                  <c:v>0.73575462054775</c:v>
                </c:pt>
                <c:pt idx="11">
                  <c:v>0.705482465571254</c:v>
                </c:pt>
                <c:pt idx="12">
                  <c:v>0.691519099146186</c:v>
                </c:pt>
                <c:pt idx="13">
                  <c:v>0.640468952102444</c:v>
                </c:pt>
                <c:pt idx="14">
                  <c:v>0.621811433353953</c:v>
                </c:pt>
                <c:pt idx="15">
                  <c:v>0.612535603110909</c:v>
                </c:pt>
                <c:pt idx="16">
                  <c:v>0.563787873274427</c:v>
                </c:pt>
                <c:pt idx="17">
                  <c:v>0.524210115418586</c:v>
                </c:pt>
                <c:pt idx="18">
                  <c:v>0.517253242736303</c:v>
                </c:pt>
                <c:pt idx="19">
                  <c:v>0.470837702743382</c:v>
                </c:pt>
                <c:pt idx="20">
                  <c:v>0.449867842575531</c:v>
                </c:pt>
                <c:pt idx="21">
                  <c:v>0.438243282135425</c:v>
                </c:pt>
                <c:pt idx="22">
                  <c:v>0.377887532212338</c:v>
                </c:pt>
                <c:pt idx="23">
                  <c:v>0.375532185873876</c:v>
                </c:pt>
                <c:pt idx="24">
                  <c:v>0.356927596256587</c:v>
                </c:pt>
                <c:pt idx="25">
                  <c:v>0.319820967213711</c:v>
                </c:pt>
                <c:pt idx="26">
                  <c:v>0.315136739102387</c:v>
                </c:pt>
                <c:pt idx="27">
                  <c:v>0.294206575782937</c:v>
                </c:pt>
                <c:pt idx="28">
                  <c:v>0.259392439735221</c:v>
                </c:pt>
                <c:pt idx="29">
                  <c:v>0.247784419648616</c:v>
                </c:pt>
                <c:pt idx="30">
                  <c:v>0.247810884214217</c:v>
                </c:pt>
                <c:pt idx="31">
                  <c:v>0.194382234337112</c:v>
                </c:pt>
                <c:pt idx="32">
                  <c:v>0.215312397656562</c:v>
                </c:pt>
                <c:pt idx="33">
                  <c:v>0.173524848573063</c:v>
                </c:pt>
                <c:pt idx="34">
                  <c:v>0.159594562854997</c:v>
                </c:pt>
                <c:pt idx="35">
                  <c:v>0.138737177090948</c:v>
                </c:pt>
                <c:pt idx="36">
                  <c:v>0.134112494252227</c:v>
                </c:pt>
                <c:pt idx="37">
                  <c:v>0.113258416558878</c:v>
                </c:pt>
                <c:pt idx="38">
                  <c:v>0.0993281308408121</c:v>
                </c:pt>
                <c:pt idx="39">
                  <c:v>0.0784575127939632</c:v>
                </c:pt>
                <c:pt idx="40">
                  <c:v>0.076165019798803</c:v>
                </c:pt>
                <c:pt idx="41">
                  <c:v>0.0529787522618934</c:v>
                </c:pt>
                <c:pt idx="42">
                  <c:v>0.0553307905296551</c:v>
                </c:pt>
                <c:pt idx="43">
                  <c:v>0.0367857461849674</c:v>
                </c:pt>
                <c:pt idx="44">
                  <c:v>0.0368122107505679</c:v>
                </c:pt>
                <c:pt idx="45">
                  <c:v>0.0368386753161686</c:v>
                </c:pt>
                <c:pt idx="46">
                  <c:v>0.0275628450731248</c:v>
                </c:pt>
                <c:pt idx="47">
                  <c:v>0.0276124661336263</c:v>
                </c:pt>
                <c:pt idx="48">
                  <c:v>0.016007754117721</c:v>
                </c:pt>
                <c:pt idx="49">
                  <c:v>0.0184061053752839</c:v>
                </c:pt>
                <c:pt idx="50">
                  <c:v>0.016116920450824</c:v>
                </c:pt>
                <c:pt idx="51">
                  <c:v>0.0138310435970636</c:v>
                </c:pt>
                <c:pt idx="52">
                  <c:v>0.00920966882904217</c:v>
                </c:pt>
                <c:pt idx="53">
                  <c:v>0.00923282532394287</c:v>
                </c:pt>
                <c:pt idx="54">
                  <c:v>0.00926590603094368</c:v>
                </c:pt>
                <c:pt idx="55">
                  <c:v>0.00929237059654442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649936"/>
        <c:axId val="-2010856480"/>
      </c:scatterChart>
      <c:scatterChart>
        <c:scatterStyle val="lineMarker"/>
        <c:varyColors val="0"/>
        <c:ser>
          <c:idx val="2"/>
          <c:order val="2"/>
          <c:tx>
            <c:v>krw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triang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CalcValues_Blunt!$M$12:$M$22</c:f>
              <c:numCache>
                <c:formatCode>0.00</c:formatCode>
                <c:ptCount val="11"/>
                <c:pt idx="0">
                  <c:v>0.98311</c:v>
                </c:pt>
                <c:pt idx="1">
                  <c:v>0.96441</c:v>
                </c:pt>
                <c:pt idx="2">
                  <c:v>0.938</c:v>
                </c:pt>
                <c:pt idx="3">
                  <c:v>0.91362</c:v>
                </c:pt>
                <c:pt idx="4">
                  <c:v>0.70565</c:v>
                </c:pt>
                <c:pt idx="5">
                  <c:v>0.61603</c:v>
                </c:pt>
                <c:pt idx="6">
                  <c:v>0.54801</c:v>
                </c:pt>
                <c:pt idx="7">
                  <c:v>0.45273</c:v>
                </c:pt>
                <c:pt idx="8">
                  <c:v>0.42209</c:v>
                </c:pt>
                <c:pt idx="9">
                  <c:v>0.32436</c:v>
                </c:pt>
                <c:pt idx="10">
                  <c:v>0.28703</c:v>
                </c:pt>
              </c:numCache>
            </c:numRef>
          </c:xVal>
          <c:yVal>
            <c:numRef>
              <c:f>CalcValues_Blunt!$I$12:$I$22</c:f>
              <c:numCache>
                <c:formatCode>0.00</c:formatCode>
                <c:ptCount val="11"/>
                <c:pt idx="0">
                  <c:v>0.596970596970597</c:v>
                </c:pt>
                <c:pt idx="1">
                  <c:v>0.582120582120582</c:v>
                </c:pt>
                <c:pt idx="2">
                  <c:v>0.558360558360558</c:v>
                </c:pt>
                <c:pt idx="3">
                  <c:v>0.534600534600535</c:v>
                </c:pt>
                <c:pt idx="4">
                  <c:v>0.268785268785269</c:v>
                </c:pt>
                <c:pt idx="5">
                  <c:v>0.188595188595189</c:v>
                </c:pt>
                <c:pt idx="6">
                  <c:v>0.142560142560143</c:v>
                </c:pt>
                <c:pt idx="7">
                  <c:v>0.0751410751410751</c:v>
                </c:pt>
                <c:pt idx="8">
                  <c:v>0.0608850608850609</c:v>
                </c:pt>
                <c:pt idx="9">
                  <c:v>0.0193050193050193</c:v>
                </c:pt>
                <c:pt idx="10">
                  <c:v>0.0135135135135135</c:v>
                </c:pt>
              </c:numCache>
            </c:numRef>
          </c:yVal>
          <c:smooth val="1"/>
        </c:ser>
        <c:ser>
          <c:idx val="3"/>
          <c:order val="3"/>
          <c:tx>
            <c:v>krnw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triang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CalcValues_Blunt!$M$12:$M$22</c:f>
              <c:numCache>
                <c:formatCode>0.00</c:formatCode>
                <c:ptCount val="11"/>
                <c:pt idx="0">
                  <c:v>0.98311</c:v>
                </c:pt>
                <c:pt idx="1">
                  <c:v>0.96441</c:v>
                </c:pt>
                <c:pt idx="2">
                  <c:v>0.938</c:v>
                </c:pt>
                <c:pt idx="3">
                  <c:v>0.91362</c:v>
                </c:pt>
                <c:pt idx="4">
                  <c:v>0.70565</c:v>
                </c:pt>
                <c:pt idx="5">
                  <c:v>0.61603</c:v>
                </c:pt>
                <c:pt idx="6">
                  <c:v>0.54801</c:v>
                </c:pt>
                <c:pt idx="7">
                  <c:v>0.45273</c:v>
                </c:pt>
                <c:pt idx="8">
                  <c:v>0.42209</c:v>
                </c:pt>
                <c:pt idx="9">
                  <c:v>0.32436</c:v>
                </c:pt>
                <c:pt idx="10">
                  <c:v>0.28703</c:v>
                </c:pt>
              </c:numCache>
            </c:numRef>
          </c:xVal>
          <c:yVal>
            <c:numRef>
              <c:f>CalcValues_Blunt!$J$12:$J$22</c:f>
              <c:numCache>
                <c:formatCode>0.00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0.118206118206118</c:v>
                </c:pt>
                <c:pt idx="5">
                  <c:v>0.156667656667657</c:v>
                </c:pt>
                <c:pt idx="6">
                  <c:v>0.206415206415206</c:v>
                </c:pt>
                <c:pt idx="7">
                  <c:v>0.267300267300267</c:v>
                </c:pt>
                <c:pt idx="8">
                  <c:v>0.291060291060291</c:v>
                </c:pt>
                <c:pt idx="9">
                  <c:v>0.451440451440451</c:v>
                </c:pt>
                <c:pt idx="10">
                  <c:v>0.504900504900505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2022880"/>
        <c:axId val="-1996953472"/>
      </c:scatterChart>
      <c:valAx>
        <c:axId val="-2057649936"/>
        <c:scaling>
          <c:orientation val="minMax"/>
          <c:max val="1.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Sw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10856480"/>
        <c:crosses val="autoZero"/>
        <c:crossBetween val="midCat"/>
      </c:valAx>
      <c:valAx>
        <c:axId val="-2010856480"/>
        <c:scaling>
          <c:orientation val="minMax"/>
          <c:max val="1.0"/>
          <c:min val="0.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kr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57649936"/>
        <c:crosses val="autoZero"/>
        <c:crossBetween val="midCat"/>
      </c:valAx>
      <c:valAx>
        <c:axId val="-2012022880"/>
        <c:scaling>
          <c:orientation val="minMax"/>
          <c:max val="1.0"/>
        </c:scaling>
        <c:delete val="1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Sw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-1996953472"/>
        <c:crosses val="autoZero"/>
        <c:crossBetween val="midCat"/>
      </c:valAx>
      <c:valAx>
        <c:axId val="-1996953472"/>
        <c:scaling>
          <c:orientation val="minMax"/>
          <c:max val="1.0"/>
          <c:min val="0.0"/>
        </c:scaling>
        <c:delete val="1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kr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-201202288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3337489063867"/>
          <c:y val="0.218957057451152"/>
        </c:manualLayout>
      </c:layout>
      <c:overlay val="0"/>
      <c:spPr>
        <a:noFill/>
        <a:ln w="3240">
          <a:solidFill>
            <a:srgbClr val="000000"/>
          </a:solidFill>
          <a:round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kr-Sw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320669595156"/>
          <c:y val="0.143944042213769"/>
          <c:w val="0.831176540425027"/>
          <c:h val="0.680083445821573"/>
        </c:manualLayout>
      </c:layout>
      <c:scatterChart>
        <c:scatterStyle val="lineMarker"/>
        <c:varyColors val="0"/>
        <c:ser>
          <c:idx val="0"/>
          <c:order val="0"/>
          <c:tx>
            <c:v>krw_exp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ExpData!$E$4:$E$54</c:f>
              <c:numCache>
                <c:formatCode>0.0000</c:formatCode>
                <c:ptCount val="51"/>
                <c:pt idx="0">
                  <c:v>0.244664908978434</c:v>
                </c:pt>
                <c:pt idx="1">
                  <c:v>0.264579494592958</c:v>
                </c:pt>
                <c:pt idx="2">
                  <c:v>0.28022997707507</c:v>
                </c:pt>
                <c:pt idx="3">
                  <c:v>0.301563725019931</c:v>
                </c:pt>
                <c:pt idx="4">
                  <c:v>0.320052532162717</c:v>
                </c:pt>
                <c:pt idx="5">
                  <c:v>0.328584046498241</c:v>
                </c:pt>
                <c:pt idx="6">
                  <c:v>0.349927718655203</c:v>
                </c:pt>
                <c:pt idx="7">
                  <c:v>0.362729952264539</c:v>
                </c:pt>
                <c:pt idx="8">
                  <c:v>0.376954656274913</c:v>
                </c:pt>
                <c:pt idx="9">
                  <c:v>0.391179360285288</c:v>
                </c:pt>
                <c:pt idx="10">
                  <c:v>0.402555815422887</c:v>
                </c:pt>
                <c:pt idx="11">
                  <c:v>0.413935578631186</c:v>
                </c:pt>
                <c:pt idx="12">
                  <c:v>0.429582753042597</c:v>
                </c:pt>
                <c:pt idx="13">
                  <c:v>0.445226619383309</c:v>
                </c:pt>
                <c:pt idx="14">
                  <c:v>0.462292956125058</c:v>
                </c:pt>
                <c:pt idx="15">
                  <c:v>0.479362600937507</c:v>
                </c:pt>
                <c:pt idx="16">
                  <c:v>0.490739056075106</c:v>
                </c:pt>
                <c:pt idx="17">
                  <c:v>0.507798776675455</c:v>
                </c:pt>
                <c:pt idx="18">
                  <c:v>0.522023480685829</c:v>
                </c:pt>
                <c:pt idx="19">
                  <c:v>0.540505671687215</c:v>
                </c:pt>
                <c:pt idx="20">
                  <c:v>0.554727067626889</c:v>
                </c:pt>
                <c:pt idx="21">
                  <c:v>0.586004876096211</c:v>
                </c:pt>
                <c:pt idx="22">
                  <c:v>0.617262836141333</c:v>
                </c:pt>
                <c:pt idx="23">
                  <c:v>0.63007168589207</c:v>
                </c:pt>
                <c:pt idx="24">
                  <c:v>0.658461548640217</c:v>
                </c:pt>
                <c:pt idx="25">
                  <c:v>0.665587132928204</c:v>
                </c:pt>
                <c:pt idx="26">
                  <c:v>0.699617256219999</c:v>
                </c:pt>
                <c:pt idx="27">
                  <c:v>0.713871732866674</c:v>
                </c:pt>
                <c:pt idx="28">
                  <c:v>0.739357109540145</c:v>
                </c:pt>
                <c:pt idx="29">
                  <c:v>0.750743488889844</c:v>
                </c:pt>
                <c:pt idx="30">
                  <c:v>0.752199039997882</c:v>
                </c:pt>
                <c:pt idx="31">
                  <c:v>0.791922352964527</c:v>
                </c:pt>
                <c:pt idx="32">
                  <c:v>0.781915439096764</c:v>
                </c:pt>
                <c:pt idx="33">
                  <c:v>0.784743839545338</c:v>
                </c:pt>
                <c:pt idx="34">
                  <c:v>0.83729915875762</c:v>
                </c:pt>
                <c:pt idx="35">
                  <c:v>0.83156627223437</c:v>
                </c:pt>
                <c:pt idx="36">
                  <c:v>0.821562666437307</c:v>
                </c:pt>
                <c:pt idx="37">
                  <c:v>0.871273044847514</c:v>
                </c:pt>
                <c:pt idx="38">
                  <c:v>0.875477602707324</c:v>
                </c:pt>
                <c:pt idx="39">
                  <c:v>0.851292297818988</c:v>
                </c:pt>
                <c:pt idx="40">
                  <c:v>0.881064934119771</c:v>
                </c:pt>
                <c:pt idx="41">
                  <c:v>0.912352666801194</c:v>
                </c:pt>
                <c:pt idx="42">
                  <c:v>0.915174451108368</c:v>
                </c:pt>
                <c:pt idx="43">
                  <c:v>0.940639979357638</c:v>
                </c:pt>
                <c:pt idx="44">
                  <c:v>0.927725271344499</c:v>
                </c:pt>
                <c:pt idx="45">
                  <c:v>0.977528275734308</c:v>
                </c:pt>
                <c:pt idx="46">
                  <c:v>0.957511139928082</c:v>
                </c:pt>
                <c:pt idx="47">
                  <c:v>0.954623194206906</c:v>
                </c:pt>
                <c:pt idx="48">
                  <c:v>0.985877846181328</c:v>
                </c:pt>
                <c:pt idx="49">
                  <c:v>0.971577056544852</c:v>
                </c:pt>
                <c:pt idx="50">
                  <c:v>0.99431011839585</c:v>
                </c:pt>
              </c:numCache>
            </c:numRef>
          </c:xVal>
          <c:yVal>
            <c:numRef>
              <c:f>ExpData!$F$4:$F$54</c:f>
              <c:numCache>
                <c:formatCode>0.0000</c:formatCode>
                <c:ptCount val="51"/>
                <c:pt idx="0">
                  <c:v>0.000568988160414951</c:v>
                </c:pt>
                <c:pt idx="1">
                  <c:v>0.000615301150216129</c:v>
                </c:pt>
                <c:pt idx="2">
                  <c:v>-0.00167388377424404</c:v>
                </c:pt>
                <c:pt idx="3">
                  <c:v>0.000701310988418413</c:v>
                </c:pt>
                <c:pt idx="4">
                  <c:v>0.00306988960968057</c:v>
                </c:pt>
                <c:pt idx="5">
                  <c:v>0.00541531173604226</c:v>
                </c:pt>
                <c:pt idx="6">
                  <c:v>0.000813785392221433</c:v>
                </c:pt>
                <c:pt idx="7">
                  <c:v>0.000843558028522206</c:v>
                </c:pt>
                <c:pt idx="8">
                  <c:v>0.000876638735523016</c:v>
                </c:pt>
                <c:pt idx="9">
                  <c:v>0.000909719442523826</c:v>
                </c:pt>
                <c:pt idx="10">
                  <c:v>0.00326175771028558</c:v>
                </c:pt>
                <c:pt idx="11">
                  <c:v>0.00328822227588632</c:v>
                </c:pt>
                <c:pt idx="12">
                  <c:v>0.00332461105358738</c:v>
                </c:pt>
                <c:pt idx="13">
                  <c:v>0.00568657353344947</c:v>
                </c:pt>
                <c:pt idx="14">
                  <c:v>0.00805184408401182</c:v>
                </c:pt>
                <c:pt idx="15">
                  <c:v>0.00809154093241293</c:v>
                </c:pt>
                <c:pt idx="16">
                  <c:v>0.0104435792001744</c:v>
                </c:pt>
                <c:pt idx="17">
                  <c:v>0.017459997155059</c:v>
                </c:pt>
                <c:pt idx="18">
                  <c:v>0.0174930778620598</c:v>
                </c:pt>
                <c:pt idx="19">
                  <c:v>0.0245128038876445</c:v>
                </c:pt>
                <c:pt idx="20">
                  <c:v>0.0268714582968068</c:v>
                </c:pt>
                <c:pt idx="21">
                  <c:v>0.0385721043630145</c:v>
                </c:pt>
                <c:pt idx="22">
                  <c:v>0.0642261926421892</c:v>
                </c:pt>
                <c:pt idx="23">
                  <c:v>0.0596048178741674</c:v>
                </c:pt>
                <c:pt idx="24">
                  <c:v>0.10153130592707</c:v>
                </c:pt>
                <c:pt idx="25">
                  <c:v>0.092245551471926</c:v>
                </c:pt>
                <c:pt idx="26">
                  <c:v>0.169068877340046</c:v>
                </c:pt>
                <c:pt idx="27">
                  <c:v>0.148171794727596</c:v>
                </c:pt>
                <c:pt idx="28">
                  <c:v>0.231951993278</c:v>
                </c:pt>
                <c:pt idx="29">
                  <c:v>0.227327310439278</c:v>
                </c:pt>
                <c:pt idx="30">
                  <c:v>0.204074881488366</c:v>
                </c:pt>
                <c:pt idx="31">
                  <c:v>0.278585865937126</c:v>
                </c:pt>
                <c:pt idx="32">
                  <c:v>0.313446314974643</c:v>
                </c:pt>
                <c:pt idx="33">
                  <c:v>0.325080799626849</c:v>
                </c:pt>
                <c:pt idx="34">
                  <c:v>0.378691393392459</c:v>
                </c:pt>
                <c:pt idx="35">
                  <c:v>0.408910619237754</c:v>
                </c:pt>
                <c:pt idx="36">
                  <c:v>0.44144549457311</c:v>
                </c:pt>
                <c:pt idx="37">
                  <c:v>0.495049472197319</c:v>
                </c:pt>
                <c:pt idx="38">
                  <c:v>0.539245296750482</c:v>
                </c:pt>
                <c:pt idx="39">
                  <c:v>0.541514633250741</c:v>
                </c:pt>
                <c:pt idx="40">
                  <c:v>0.611351313800278</c:v>
                </c:pt>
                <c:pt idx="41">
                  <c:v>0.616075238760002</c:v>
                </c:pt>
                <c:pt idx="42">
                  <c:v>0.63236087081653</c:v>
                </c:pt>
                <c:pt idx="43">
                  <c:v>0.730094511579901</c:v>
                </c:pt>
                <c:pt idx="44">
                  <c:v>0.80913424481708</c:v>
                </c:pt>
                <c:pt idx="45">
                  <c:v>0.797622158780777</c:v>
                </c:pt>
                <c:pt idx="46">
                  <c:v>0.869668630557972</c:v>
                </c:pt>
                <c:pt idx="47">
                  <c:v>0.899894472544667</c:v>
                </c:pt>
                <c:pt idx="48">
                  <c:v>0.927874134526003</c:v>
                </c:pt>
                <c:pt idx="49">
                  <c:v>0.981329248968708</c:v>
                </c:pt>
                <c:pt idx="50">
                  <c:v>0.999986767717199</c:v>
                </c:pt>
              </c:numCache>
            </c:numRef>
          </c:yVal>
          <c:smooth val="1"/>
        </c:ser>
        <c:ser>
          <c:idx val="1"/>
          <c:order val="1"/>
          <c:tx>
            <c:v>krnw_exp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ExpData!$G$4:$G$59</c:f>
              <c:numCache>
                <c:formatCode>0.0000</c:formatCode>
                <c:ptCount val="56"/>
                <c:pt idx="0">
                  <c:v>0.278876976158734</c:v>
                </c:pt>
                <c:pt idx="1">
                  <c:v>0.239087501778088</c:v>
                </c:pt>
                <c:pt idx="2">
                  <c:v>0.241962215216463</c:v>
                </c:pt>
                <c:pt idx="3">
                  <c:v>0.264711817420961</c:v>
                </c:pt>
                <c:pt idx="4">
                  <c:v>0.264731665845162</c:v>
                </c:pt>
                <c:pt idx="5">
                  <c:v>0.301798598039637</c:v>
                </c:pt>
                <c:pt idx="6">
                  <c:v>0.297554343331425</c:v>
                </c:pt>
                <c:pt idx="7">
                  <c:v>0.35020559659401</c:v>
                </c:pt>
                <c:pt idx="8">
                  <c:v>0.330330707827887</c:v>
                </c:pt>
                <c:pt idx="9">
                  <c:v>0.318977409185189</c:v>
                </c:pt>
                <c:pt idx="10">
                  <c:v>0.374486835532648</c:v>
                </c:pt>
                <c:pt idx="11">
                  <c:v>0.357460195639301</c:v>
                </c:pt>
                <c:pt idx="12">
                  <c:v>0.353212632860389</c:v>
                </c:pt>
                <c:pt idx="13">
                  <c:v>0.401649404051063</c:v>
                </c:pt>
                <c:pt idx="14">
                  <c:v>0.378916342200065</c:v>
                </c:pt>
                <c:pt idx="15">
                  <c:v>0.390309337691165</c:v>
                </c:pt>
                <c:pt idx="16">
                  <c:v>0.428785508003877</c:v>
                </c:pt>
                <c:pt idx="17">
                  <c:v>0.410349629992292</c:v>
                </c:pt>
                <c:pt idx="18">
                  <c:v>0.418894376610616</c:v>
                </c:pt>
                <c:pt idx="19">
                  <c:v>0.460212179654703</c:v>
                </c:pt>
                <c:pt idx="20">
                  <c:v>0.443172307478555</c:v>
                </c:pt>
                <c:pt idx="21">
                  <c:v>0.444611318233093</c:v>
                </c:pt>
                <c:pt idx="22">
                  <c:v>0.49163885130553</c:v>
                </c:pt>
                <c:pt idx="23">
                  <c:v>0.478839925766893</c:v>
                </c:pt>
                <c:pt idx="24">
                  <c:v>0.478866390332494</c:v>
                </c:pt>
                <c:pt idx="25">
                  <c:v>0.523015901895855</c:v>
                </c:pt>
                <c:pt idx="26">
                  <c:v>0.508797814026881</c:v>
                </c:pt>
                <c:pt idx="27">
                  <c:v>0.508827586663182</c:v>
                </c:pt>
                <c:pt idx="28">
                  <c:v>0.538749086145469</c:v>
                </c:pt>
                <c:pt idx="29">
                  <c:v>0.547300448905193</c:v>
                </c:pt>
                <c:pt idx="30">
                  <c:v>0.558680212113493</c:v>
                </c:pt>
                <c:pt idx="31">
                  <c:v>0.584360764958268</c:v>
                </c:pt>
                <c:pt idx="32">
                  <c:v>0.584330992321968</c:v>
                </c:pt>
                <c:pt idx="33">
                  <c:v>0.615684886417392</c:v>
                </c:pt>
                <c:pt idx="34">
                  <c:v>0.625662027648854</c:v>
                </c:pt>
                <c:pt idx="35">
                  <c:v>0.656986149107978</c:v>
                </c:pt>
                <c:pt idx="36">
                  <c:v>0.668372528457678</c:v>
                </c:pt>
                <c:pt idx="37">
                  <c:v>0.701119120317839</c:v>
                </c:pt>
                <c:pt idx="38">
                  <c:v>0.711096261549301</c:v>
                </c:pt>
                <c:pt idx="39">
                  <c:v>0.736730501404276</c:v>
                </c:pt>
                <c:pt idx="40">
                  <c:v>0.75095851348535</c:v>
                </c:pt>
                <c:pt idx="41">
                  <c:v>0.780863472614136</c:v>
                </c:pt>
                <c:pt idx="42">
                  <c:v>0.792239927751735</c:v>
                </c:pt>
                <c:pt idx="43">
                  <c:v>0.817870859536009</c:v>
                </c:pt>
                <c:pt idx="44">
                  <c:v>0.829250622744309</c:v>
                </c:pt>
                <c:pt idx="45">
                  <c:v>0.840630385952608</c:v>
                </c:pt>
                <c:pt idx="46">
                  <c:v>0.852023381443707</c:v>
                </c:pt>
                <c:pt idx="47">
                  <c:v>0.873360437459269</c:v>
                </c:pt>
                <c:pt idx="48">
                  <c:v>0.883334270620031</c:v>
                </c:pt>
                <c:pt idx="49">
                  <c:v>0.914625311372154</c:v>
                </c:pt>
                <c:pt idx="50">
                  <c:v>0.930275793854266</c:v>
                </c:pt>
                <c:pt idx="51">
                  <c:v>0.947348746737415</c:v>
                </c:pt>
                <c:pt idx="52">
                  <c:v>0.960157596488151</c:v>
                </c:pt>
                <c:pt idx="53">
                  <c:v>0.970114889295413</c:v>
                </c:pt>
                <c:pt idx="54">
                  <c:v>0.984339593305787</c:v>
                </c:pt>
                <c:pt idx="55">
                  <c:v>0.995719356514087</c:v>
                </c:pt>
              </c:numCache>
            </c:numRef>
          </c:xVal>
          <c:yVal>
            <c:numRef>
              <c:f>ExpData!$H$4:$H$59</c:f>
              <c:numCache>
                <c:formatCode>0.0000</c:formatCode>
                <c:ptCount val="56"/>
                <c:pt idx="0">
                  <c:v>0.949485760409671</c:v>
                </c:pt>
                <c:pt idx="1">
                  <c:v>0.921486250004135</c:v>
                </c:pt>
                <c:pt idx="2">
                  <c:v>0.900562702826084</c:v>
                </c:pt>
                <c:pt idx="3">
                  <c:v>0.907592353063769</c:v>
                </c:pt>
                <c:pt idx="4">
                  <c:v>0.893638910850802</c:v>
                </c:pt>
                <c:pt idx="5">
                  <c:v>0.835585578134975</c:v>
                </c:pt>
                <c:pt idx="6">
                  <c:v>0.819296638007747</c:v>
                </c:pt>
                <c:pt idx="7">
                  <c:v>0.805465594410683</c:v>
                </c:pt>
                <c:pt idx="8">
                  <c:v>0.777512396994948</c:v>
                </c:pt>
                <c:pt idx="9">
                  <c:v>0.758881342812058</c:v>
                </c:pt>
                <c:pt idx="10">
                  <c:v>0.73575462054775</c:v>
                </c:pt>
                <c:pt idx="11">
                  <c:v>0.705482465571254</c:v>
                </c:pt>
                <c:pt idx="12">
                  <c:v>0.691519099146186</c:v>
                </c:pt>
                <c:pt idx="13">
                  <c:v>0.640468952102444</c:v>
                </c:pt>
                <c:pt idx="14">
                  <c:v>0.621811433353953</c:v>
                </c:pt>
                <c:pt idx="15">
                  <c:v>0.612535603110909</c:v>
                </c:pt>
                <c:pt idx="16">
                  <c:v>0.563787873274427</c:v>
                </c:pt>
                <c:pt idx="17">
                  <c:v>0.524210115418586</c:v>
                </c:pt>
                <c:pt idx="18">
                  <c:v>0.517253242736303</c:v>
                </c:pt>
                <c:pt idx="19">
                  <c:v>0.470837702743382</c:v>
                </c:pt>
                <c:pt idx="20">
                  <c:v>0.449867842575531</c:v>
                </c:pt>
                <c:pt idx="21">
                  <c:v>0.438243282135425</c:v>
                </c:pt>
                <c:pt idx="22">
                  <c:v>0.377887532212338</c:v>
                </c:pt>
                <c:pt idx="23">
                  <c:v>0.375532185873876</c:v>
                </c:pt>
                <c:pt idx="24">
                  <c:v>0.356927596256587</c:v>
                </c:pt>
                <c:pt idx="25">
                  <c:v>0.319820967213711</c:v>
                </c:pt>
                <c:pt idx="26">
                  <c:v>0.315136739102387</c:v>
                </c:pt>
                <c:pt idx="27">
                  <c:v>0.294206575782937</c:v>
                </c:pt>
                <c:pt idx="28">
                  <c:v>0.259392439735221</c:v>
                </c:pt>
                <c:pt idx="29">
                  <c:v>0.247784419648616</c:v>
                </c:pt>
                <c:pt idx="30">
                  <c:v>0.247810884214217</c:v>
                </c:pt>
                <c:pt idx="31">
                  <c:v>0.194382234337112</c:v>
                </c:pt>
                <c:pt idx="32">
                  <c:v>0.215312397656562</c:v>
                </c:pt>
                <c:pt idx="33">
                  <c:v>0.173524848573063</c:v>
                </c:pt>
                <c:pt idx="34">
                  <c:v>0.159594562854997</c:v>
                </c:pt>
                <c:pt idx="35">
                  <c:v>0.138737177090948</c:v>
                </c:pt>
                <c:pt idx="36">
                  <c:v>0.134112494252227</c:v>
                </c:pt>
                <c:pt idx="37">
                  <c:v>0.113258416558878</c:v>
                </c:pt>
                <c:pt idx="38">
                  <c:v>0.0993281308408121</c:v>
                </c:pt>
                <c:pt idx="39">
                  <c:v>0.0784575127939632</c:v>
                </c:pt>
                <c:pt idx="40">
                  <c:v>0.076165019798803</c:v>
                </c:pt>
                <c:pt idx="41">
                  <c:v>0.0529787522618934</c:v>
                </c:pt>
                <c:pt idx="42">
                  <c:v>0.0553307905296551</c:v>
                </c:pt>
                <c:pt idx="43">
                  <c:v>0.0367857461849674</c:v>
                </c:pt>
                <c:pt idx="44">
                  <c:v>0.0368122107505679</c:v>
                </c:pt>
                <c:pt idx="45">
                  <c:v>0.0368386753161686</c:v>
                </c:pt>
                <c:pt idx="46">
                  <c:v>0.0275628450731248</c:v>
                </c:pt>
                <c:pt idx="47">
                  <c:v>0.0276124661336263</c:v>
                </c:pt>
                <c:pt idx="48">
                  <c:v>0.016007754117721</c:v>
                </c:pt>
                <c:pt idx="49">
                  <c:v>0.0184061053752839</c:v>
                </c:pt>
                <c:pt idx="50">
                  <c:v>0.016116920450824</c:v>
                </c:pt>
                <c:pt idx="51">
                  <c:v>0.0138310435970636</c:v>
                </c:pt>
                <c:pt idx="52">
                  <c:v>0.00920966882904217</c:v>
                </c:pt>
                <c:pt idx="53">
                  <c:v>0.00923282532394287</c:v>
                </c:pt>
                <c:pt idx="54">
                  <c:v>0.00926590603094368</c:v>
                </c:pt>
                <c:pt idx="55">
                  <c:v>0.00929237059654442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345184"/>
        <c:axId val="-1989736688"/>
      </c:scatterChart>
      <c:scatterChart>
        <c:scatterStyle val="lineMarker"/>
        <c:varyColors val="0"/>
        <c:ser>
          <c:idx val="2"/>
          <c:order val="2"/>
          <c:tx>
            <c:v>krw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triang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CalcValues_Blunt!$M$44:$M$66</c:f>
              <c:numCache>
                <c:formatCode>0.00</c:formatCode>
                <c:ptCount val="23"/>
                <c:pt idx="0">
                  <c:v>0.99286</c:v>
                </c:pt>
                <c:pt idx="1">
                  <c:v>0.98987</c:v>
                </c:pt>
                <c:pt idx="2">
                  <c:v>0.98311</c:v>
                </c:pt>
                <c:pt idx="3">
                  <c:v>0.97316</c:v>
                </c:pt>
                <c:pt idx="4">
                  <c:v>0.96441</c:v>
                </c:pt>
                <c:pt idx="5">
                  <c:v>0.9547</c:v>
                </c:pt>
                <c:pt idx="6">
                  <c:v>0.938</c:v>
                </c:pt>
                <c:pt idx="7">
                  <c:v>0.92579</c:v>
                </c:pt>
                <c:pt idx="8">
                  <c:v>0.91362</c:v>
                </c:pt>
                <c:pt idx="9">
                  <c:v>0.90518</c:v>
                </c:pt>
                <c:pt idx="10">
                  <c:v>0.8959</c:v>
                </c:pt>
                <c:pt idx="11">
                  <c:v>0.88673</c:v>
                </c:pt>
                <c:pt idx="12">
                  <c:v>0.70565</c:v>
                </c:pt>
                <c:pt idx="13">
                  <c:v>0.61603</c:v>
                </c:pt>
                <c:pt idx="14">
                  <c:v>0.54801</c:v>
                </c:pt>
                <c:pt idx="15">
                  <c:v>0.45273</c:v>
                </c:pt>
                <c:pt idx="16">
                  <c:v>0.42209</c:v>
                </c:pt>
                <c:pt idx="17">
                  <c:v>0.32436</c:v>
                </c:pt>
                <c:pt idx="18">
                  <c:v>0.28703</c:v>
                </c:pt>
                <c:pt idx="19">
                  <c:v>0.24378</c:v>
                </c:pt>
                <c:pt idx="20">
                  <c:v>0.22617</c:v>
                </c:pt>
                <c:pt idx="21">
                  <c:v>0.19703</c:v>
                </c:pt>
                <c:pt idx="22">
                  <c:v>0.16896</c:v>
                </c:pt>
              </c:numCache>
            </c:numRef>
          </c:xVal>
          <c:yVal>
            <c:numRef>
              <c:f>CalcValues_Blunt!$I$44:$I$66</c:f>
              <c:numCache>
                <c:formatCode>0.00</c:formatCode>
                <c:ptCount val="23"/>
                <c:pt idx="0">
                  <c:v>1.110518834399431</c:v>
                </c:pt>
                <c:pt idx="1">
                  <c:v>1.106364187466031</c:v>
                </c:pt>
                <c:pt idx="2">
                  <c:v>1.106364187466031</c:v>
                </c:pt>
                <c:pt idx="3">
                  <c:v>1.080208202684059</c:v>
                </c:pt>
                <c:pt idx="4">
                  <c:v>1.065481416447176</c:v>
                </c:pt>
                <c:pt idx="5">
                  <c:v>1.047038964839667</c:v>
                </c:pt>
                <c:pt idx="6">
                  <c:v>1.019445838036707</c:v>
                </c:pt>
                <c:pt idx="7">
                  <c:v>0.993979681424809</c:v>
                </c:pt>
                <c:pt idx="8">
                  <c:v>0.974465905765291</c:v>
                </c:pt>
                <c:pt idx="9">
                  <c:v>0.957533759772566</c:v>
                </c:pt>
                <c:pt idx="10">
                  <c:v>0.940805426648271</c:v>
                </c:pt>
                <c:pt idx="11">
                  <c:v>0.919802249257912</c:v>
                </c:pt>
                <c:pt idx="12">
                  <c:v>0.503783602993436</c:v>
                </c:pt>
                <c:pt idx="13">
                  <c:v>0.346481876332623</c:v>
                </c:pt>
                <c:pt idx="14">
                  <c:v>0.267047117354404</c:v>
                </c:pt>
                <c:pt idx="15">
                  <c:v>0.129729503741795</c:v>
                </c:pt>
                <c:pt idx="16">
                  <c:v>0.105930431874242</c:v>
                </c:pt>
                <c:pt idx="17">
                  <c:v>0.0338851958693925</c:v>
                </c:pt>
                <c:pt idx="18">
                  <c:v>0.0196496509051382</c:v>
                </c:pt>
                <c:pt idx="19">
                  <c:v>0.0107655002299427</c:v>
                </c:pt>
                <c:pt idx="20">
                  <c:v>0.00731635937957272</c:v>
                </c:pt>
                <c:pt idx="21">
                  <c:v>0.003679083573728</c:v>
                </c:pt>
                <c:pt idx="22">
                  <c:v>0.00171934445419959</c:v>
                </c:pt>
              </c:numCache>
            </c:numRef>
          </c:yVal>
          <c:smooth val="1"/>
        </c:ser>
        <c:ser>
          <c:idx val="3"/>
          <c:order val="3"/>
          <c:tx>
            <c:v>krnw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triang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CalcValues_Blunt!$M$44:$M$66</c:f>
              <c:numCache>
                <c:formatCode>0.00</c:formatCode>
                <c:ptCount val="23"/>
                <c:pt idx="0">
                  <c:v>0.99286</c:v>
                </c:pt>
                <c:pt idx="1">
                  <c:v>0.98987</c:v>
                </c:pt>
                <c:pt idx="2">
                  <c:v>0.98311</c:v>
                </c:pt>
                <c:pt idx="3">
                  <c:v>0.97316</c:v>
                </c:pt>
                <c:pt idx="4">
                  <c:v>0.96441</c:v>
                </c:pt>
                <c:pt idx="5">
                  <c:v>0.9547</c:v>
                </c:pt>
                <c:pt idx="6">
                  <c:v>0.938</c:v>
                </c:pt>
                <c:pt idx="7">
                  <c:v>0.92579</c:v>
                </c:pt>
                <c:pt idx="8">
                  <c:v>0.91362</c:v>
                </c:pt>
                <c:pt idx="9">
                  <c:v>0.90518</c:v>
                </c:pt>
                <c:pt idx="10">
                  <c:v>0.8959</c:v>
                </c:pt>
                <c:pt idx="11">
                  <c:v>0.88673</c:v>
                </c:pt>
                <c:pt idx="12">
                  <c:v>0.70565</c:v>
                </c:pt>
                <c:pt idx="13">
                  <c:v>0.61603</c:v>
                </c:pt>
                <c:pt idx="14">
                  <c:v>0.54801</c:v>
                </c:pt>
                <c:pt idx="15">
                  <c:v>0.45273</c:v>
                </c:pt>
                <c:pt idx="16">
                  <c:v>0.42209</c:v>
                </c:pt>
                <c:pt idx="17">
                  <c:v>0.32436</c:v>
                </c:pt>
                <c:pt idx="18">
                  <c:v>0.28703</c:v>
                </c:pt>
                <c:pt idx="19">
                  <c:v>0.24378</c:v>
                </c:pt>
                <c:pt idx="20">
                  <c:v>0.22617</c:v>
                </c:pt>
                <c:pt idx="21">
                  <c:v>0.19703</c:v>
                </c:pt>
                <c:pt idx="22">
                  <c:v>0.16896</c:v>
                </c:pt>
              </c:numCache>
            </c:numRef>
          </c:xVal>
          <c:yVal>
            <c:numRef>
              <c:f>CalcValues_Blunt!$J$44:$J$66</c:f>
              <c:numCache>
                <c:formatCode>0.00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0.135875245620636</c:v>
                </c:pt>
                <c:pt idx="13">
                  <c:v>0.181341193193695</c:v>
                </c:pt>
                <c:pt idx="14">
                  <c:v>0.235011915213847</c:v>
                </c:pt>
                <c:pt idx="15">
                  <c:v>0.302949538024165</c:v>
                </c:pt>
                <c:pt idx="16">
                  <c:v>0.328034198754128</c:v>
                </c:pt>
                <c:pt idx="17">
                  <c:v>0.489586207617375</c:v>
                </c:pt>
                <c:pt idx="18">
                  <c:v>0.544812701199883</c:v>
                </c:pt>
                <c:pt idx="19">
                  <c:v>0.601352481291024</c:v>
                </c:pt>
                <c:pt idx="20">
                  <c:v>0.627278523349638</c:v>
                </c:pt>
                <c:pt idx="21">
                  <c:v>0.677808436807559</c:v>
                </c:pt>
                <c:pt idx="22">
                  <c:v>0.714688114051591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120128"/>
        <c:axId val="-2009748480"/>
      </c:scatterChart>
      <c:valAx>
        <c:axId val="-1994345184"/>
        <c:scaling>
          <c:orientation val="minMax"/>
          <c:max val="1.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Sw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1989736688"/>
        <c:crosses val="autoZero"/>
        <c:crossBetween val="midCat"/>
      </c:valAx>
      <c:valAx>
        <c:axId val="-1989736688"/>
        <c:scaling>
          <c:orientation val="minMax"/>
          <c:max val="1.0"/>
          <c:min val="0.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kr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1994345184"/>
        <c:crosses val="autoZero"/>
        <c:crossBetween val="midCat"/>
      </c:valAx>
      <c:valAx>
        <c:axId val="-1998120128"/>
        <c:scaling>
          <c:orientation val="minMax"/>
          <c:max val="1.0"/>
        </c:scaling>
        <c:delete val="1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Sw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-2009748480"/>
        <c:crosses val="autoZero"/>
        <c:crossBetween val="midCat"/>
      </c:valAx>
      <c:valAx>
        <c:axId val="-2009748480"/>
        <c:scaling>
          <c:orientation val="minMax"/>
          <c:max val="1.0"/>
          <c:min val="0.0"/>
        </c:scaling>
        <c:delete val="1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kr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-199812012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3337489063867"/>
          <c:y val="0.218957057451152"/>
        </c:manualLayout>
      </c:layout>
      <c:overlay val="0"/>
      <c:spPr>
        <a:noFill/>
        <a:ln w="3240">
          <a:solidFill>
            <a:srgbClr val="000000"/>
          </a:solidFill>
          <a:round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Pc-Sw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9643673445467"/>
          <c:y val="0.140691846962474"/>
          <c:w val="0.708550665181973"/>
          <c:h val="0.714827038259382"/>
        </c:manualLayout>
      </c:layout>
      <c:scatterChart>
        <c:scatterStyle val="lineMarker"/>
        <c:varyColors val="0"/>
        <c:ser>
          <c:idx val="0"/>
          <c:order val="0"/>
          <c:tx>
            <c:v>Calc</c:v>
          </c:tx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CalcValues_Blunt!$M$44:$M$75</c:f>
              <c:numCache>
                <c:formatCode>0.00</c:formatCode>
                <c:ptCount val="32"/>
                <c:pt idx="0">
                  <c:v>0.99286</c:v>
                </c:pt>
                <c:pt idx="1">
                  <c:v>0.98987</c:v>
                </c:pt>
                <c:pt idx="2">
                  <c:v>0.98311</c:v>
                </c:pt>
                <c:pt idx="3">
                  <c:v>0.97316</c:v>
                </c:pt>
                <c:pt idx="4">
                  <c:v>0.96441</c:v>
                </c:pt>
                <c:pt idx="5">
                  <c:v>0.9547</c:v>
                </c:pt>
                <c:pt idx="6">
                  <c:v>0.938</c:v>
                </c:pt>
                <c:pt idx="7">
                  <c:v>0.92579</c:v>
                </c:pt>
                <c:pt idx="8">
                  <c:v>0.91362</c:v>
                </c:pt>
                <c:pt idx="9">
                  <c:v>0.90518</c:v>
                </c:pt>
                <c:pt idx="10">
                  <c:v>0.8959</c:v>
                </c:pt>
                <c:pt idx="11">
                  <c:v>0.88673</c:v>
                </c:pt>
                <c:pt idx="12">
                  <c:v>0.70565</c:v>
                </c:pt>
                <c:pt idx="13">
                  <c:v>0.61603</c:v>
                </c:pt>
                <c:pt idx="14">
                  <c:v>0.54801</c:v>
                </c:pt>
                <c:pt idx="15">
                  <c:v>0.45273</c:v>
                </c:pt>
                <c:pt idx="16">
                  <c:v>0.42209</c:v>
                </c:pt>
                <c:pt idx="17">
                  <c:v>0.32436</c:v>
                </c:pt>
                <c:pt idx="18">
                  <c:v>0.28703</c:v>
                </c:pt>
                <c:pt idx="19">
                  <c:v>0.24378</c:v>
                </c:pt>
                <c:pt idx="20">
                  <c:v>0.22617</c:v>
                </c:pt>
                <c:pt idx="21">
                  <c:v>0.19703</c:v>
                </c:pt>
                <c:pt idx="22">
                  <c:v>0.16896</c:v>
                </c:pt>
                <c:pt idx="23">
                  <c:v>0.15135</c:v>
                </c:pt>
                <c:pt idx="24">
                  <c:v>0.1371</c:v>
                </c:pt>
                <c:pt idx="25">
                  <c:v>0.12533</c:v>
                </c:pt>
                <c:pt idx="26">
                  <c:v>0.1087</c:v>
                </c:pt>
                <c:pt idx="27">
                  <c:v>0.09851</c:v>
                </c:pt>
                <c:pt idx="28">
                  <c:v>0.08977</c:v>
                </c:pt>
                <c:pt idx="29">
                  <c:v>0.08337</c:v>
                </c:pt>
                <c:pt idx="30">
                  <c:v>0.0735599999999999</c:v>
                </c:pt>
                <c:pt idx="31">
                  <c:v>0.06855</c:v>
                </c:pt>
              </c:numCache>
            </c:numRef>
          </c:xVal>
          <c:yVal>
            <c:numRef>
              <c:f>CalcValues_Blunt!$S$44:$S$75</c:f>
              <c:numCache>
                <c:formatCode>General</c:formatCode>
                <c:ptCount val="32"/>
                <c:pt idx="0">
                  <c:v>0.0568845023996365</c:v>
                </c:pt>
                <c:pt idx="1">
                  <c:v>0.0563936151299443</c:v>
                </c:pt>
                <c:pt idx="2">
                  <c:v>0.0644666354422755</c:v>
                </c:pt>
                <c:pt idx="3">
                  <c:v>0.0882993576010808</c:v>
                </c:pt>
                <c:pt idx="4">
                  <c:v>0.118211760642724</c:v>
                </c:pt>
                <c:pt idx="5">
                  <c:v>0.161334781691148</c:v>
                </c:pt>
                <c:pt idx="6">
                  <c:v>0.20561876088452</c:v>
                </c:pt>
                <c:pt idx="7">
                  <c:v>0.22842796914334</c:v>
                </c:pt>
                <c:pt idx="8">
                  <c:v>0.263766304034667</c:v>
                </c:pt>
                <c:pt idx="9">
                  <c:v>0.288850975669347</c:v>
                </c:pt>
                <c:pt idx="10">
                  <c:v>0.299906728343931</c:v>
                </c:pt>
                <c:pt idx="11">
                  <c:v>0.30814345246452</c:v>
                </c:pt>
                <c:pt idx="12">
                  <c:v>0.612841418484208</c:v>
                </c:pt>
                <c:pt idx="13">
                  <c:v>0.728204852274027</c:v>
                </c:pt>
                <c:pt idx="14">
                  <c:v>0.869999684933197</c:v>
                </c:pt>
                <c:pt idx="15">
                  <c:v>0.919826481070009</c:v>
                </c:pt>
                <c:pt idx="16">
                  <c:v>0.993881441713147</c:v>
                </c:pt>
                <c:pt idx="17">
                  <c:v>1.18756303291889</c:v>
                </c:pt>
                <c:pt idx="18">
                  <c:v>1.19525499475519</c:v>
                </c:pt>
                <c:pt idx="19">
                  <c:v>1.24408459280818</c:v>
                </c:pt>
                <c:pt idx="20">
                  <c:v>1.29412793892385</c:v>
                </c:pt>
                <c:pt idx="21">
                  <c:v>1.31547053048545</c:v>
                </c:pt>
                <c:pt idx="22">
                  <c:v>1.38053079637094</c:v>
                </c:pt>
                <c:pt idx="23">
                  <c:v>1.37045175507118</c:v>
                </c:pt>
                <c:pt idx="24">
                  <c:v>1.40999367867078</c:v>
                </c:pt>
                <c:pt idx="25">
                  <c:v>1.41617186806897</c:v>
                </c:pt>
                <c:pt idx="26">
                  <c:v>1.57923178060893</c:v>
                </c:pt>
                <c:pt idx="27">
                  <c:v>1.58603410619022</c:v>
                </c:pt>
                <c:pt idx="28">
                  <c:v>1.68207673920612</c:v>
                </c:pt>
                <c:pt idx="29">
                  <c:v>1.76882138254192</c:v>
                </c:pt>
                <c:pt idx="30">
                  <c:v>1.87047761839589</c:v>
                </c:pt>
                <c:pt idx="31">
                  <c:v>2.04166152132298</c:v>
                </c:pt>
              </c:numCache>
            </c:numRef>
          </c:yVal>
          <c:smooth val="1"/>
        </c:ser>
        <c:ser>
          <c:idx val="1"/>
          <c:order val="1"/>
          <c:tx>
            <c:v>Oak_o-w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ExpData!$I$4:$I$19</c:f>
              <c:numCache>
                <c:formatCode>0.00</c:formatCode>
                <c:ptCount val="16"/>
                <c:pt idx="0">
                  <c:v>0.886576504683103</c:v>
                </c:pt>
                <c:pt idx="1">
                  <c:v>0.863139989079759</c:v>
                </c:pt>
                <c:pt idx="2">
                  <c:v>0.652001344029568</c:v>
                </c:pt>
                <c:pt idx="3">
                  <c:v>0.616867571086563</c:v>
                </c:pt>
                <c:pt idx="4">
                  <c:v>0.491662816581964</c:v>
                </c:pt>
                <c:pt idx="5">
                  <c:v>0.436683607039354</c:v>
                </c:pt>
                <c:pt idx="6">
                  <c:v>0.393380654374396</c:v>
                </c:pt>
                <c:pt idx="7">
                  <c:v>0.353920786257297</c:v>
                </c:pt>
                <c:pt idx="8">
                  <c:v>0.341740518291402</c:v>
                </c:pt>
                <c:pt idx="9">
                  <c:v>0.317715989751774</c:v>
                </c:pt>
                <c:pt idx="10">
                  <c:v>0.309336805409718</c:v>
                </c:pt>
                <c:pt idx="11">
                  <c:v>0.308643790163383</c:v>
                </c:pt>
                <c:pt idx="12">
                  <c:v>0.288378344323575</c:v>
                </c:pt>
                <c:pt idx="13">
                  <c:v>0.260258725691965</c:v>
                </c:pt>
                <c:pt idx="14">
                  <c:v>0.267230879079339</c:v>
                </c:pt>
                <c:pt idx="15">
                  <c:v>0.254630601873241</c:v>
                </c:pt>
              </c:numCache>
            </c:numRef>
          </c:xVal>
          <c:yVal>
            <c:numRef>
              <c:f>ExpData!$J$4:$J$19</c:f>
              <c:numCache>
                <c:formatCode>0.00</c:formatCode>
                <c:ptCount val="16"/>
                <c:pt idx="0">
                  <c:v>0.910370028140612</c:v>
                </c:pt>
                <c:pt idx="1">
                  <c:v>0.904069889537559</c:v>
                </c:pt>
                <c:pt idx="2">
                  <c:v>2.19139821076062</c:v>
                </c:pt>
                <c:pt idx="3">
                  <c:v>2.047545045991</c:v>
                </c:pt>
                <c:pt idx="4">
                  <c:v>3.35797387542525</c:v>
                </c:pt>
                <c:pt idx="5">
                  <c:v>5.22491494812884</c:v>
                </c:pt>
                <c:pt idx="6">
                  <c:v>7.36381200386407</c:v>
                </c:pt>
                <c:pt idx="7">
                  <c:v>9.90696795329496</c:v>
                </c:pt>
                <c:pt idx="8">
                  <c:v>12.8606829350245</c:v>
                </c:pt>
                <c:pt idx="9">
                  <c:v>16.6176655886429</c:v>
                </c:pt>
                <c:pt idx="10">
                  <c:v>20.2444453777982</c:v>
                </c:pt>
                <c:pt idx="11">
                  <c:v>24.6797429543449</c:v>
                </c:pt>
                <c:pt idx="12">
                  <c:v>29.3785963291192</c:v>
                </c:pt>
                <c:pt idx="13">
                  <c:v>34.3441555714225</c:v>
                </c:pt>
                <c:pt idx="14">
                  <c:v>39.7223738922256</c:v>
                </c:pt>
                <c:pt idx="15">
                  <c:v>45.3641480112562</c:v>
                </c:pt>
              </c:numCache>
            </c:numRef>
          </c:yVal>
          <c:smooth val="1"/>
        </c:ser>
        <c:ser>
          <c:idx val="2"/>
          <c:order val="2"/>
          <c:tx>
            <c:v>Oak_o-g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ExpData!$L$4:$L$15</c:f>
              <c:numCache>
                <c:formatCode>0.0000</c:formatCode>
                <c:ptCount val="12"/>
                <c:pt idx="0">
                  <c:v>0.589482968625309</c:v>
                </c:pt>
                <c:pt idx="1">
                  <c:v>0.562140367088075</c:v>
                </c:pt>
                <c:pt idx="2">
                  <c:v>0.436725607963375</c:v>
                </c:pt>
                <c:pt idx="3">
                  <c:v>0.36582804821706</c:v>
                </c:pt>
                <c:pt idx="4">
                  <c:v>0.322084085849888</c:v>
                </c:pt>
                <c:pt idx="5">
                  <c:v>0.313830904279894</c:v>
                </c:pt>
                <c:pt idx="6">
                  <c:v>0.301671636776008</c:v>
                </c:pt>
                <c:pt idx="7">
                  <c:v>0.253664580620773</c:v>
                </c:pt>
                <c:pt idx="8">
                  <c:v>0.240665294636481</c:v>
                </c:pt>
                <c:pt idx="9">
                  <c:v>0.243794363475996</c:v>
                </c:pt>
                <c:pt idx="10">
                  <c:v>0.227519005418119</c:v>
                </c:pt>
                <c:pt idx="11">
                  <c:v>0.238985257675668</c:v>
                </c:pt>
              </c:numCache>
            </c:numRef>
          </c:xVal>
          <c:yVal>
            <c:numRef>
              <c:f>ExpData!$M$4:$M$15</c:f>
              <c:numCache>
                <c:formatCode>0.0000</c:formatCode>
                <c:ptCount val="12"/>
                <c:pt idx="0">
                  <c:v>2.30900079801754</c:v>
                </c:pt>
                <c:pt idx="1">
                  <c:v>2.30165063631398</c:v>
                </c:pt>
                <c:pt idx="2">
                  <c:v>4.95610903439875</c:v>
                </c:pt>
                <c:pt idx="3">
                  <c:v>8.70049141081102</c:v>
                </c:pt>
                <c:pt idx="4">
                  <c:v>13.6618505607123</c:v>
                </c:pt>
                <c:pt idx="5">
                  <c:v>16.4822126086773</c:v>
                </c:pt>
                <c:pt idx="6">
                  <c:v>19.3015246335419</c:v>
                </c:pt>
                <c:pt idx="7">
                  <c:v>26.5466840270485</c:v>
                </c:pt>
                <c:pt idx="8">
                  <c:v>34.7421143265151</c:v>
                </c:pt>
                <c:pt idx="9">
                  <c:v>39.7160737536225</c:v>
                </c:pt>
                <c:pt idx="10">
                  <c:v>43.8783653240371</c:v>
                </c:pt>
                <c:pt idx="11">
                  <c:v>45.4943508757192</c:v>
                </c:pt>
              </c:numCache>
            </c:numRef>
          </c:yVal>
          <c:smooth val="1"/>
        </c:ser>
        <c:ser>
          <c:idx val="3"/>
          <c:order val="3"/>
          <c:tx>
            <c:v>Oak_w-g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ExpData!$O$4:$O$12</c:f>
              <c:numCache>
                <c:formatCode>0.0000</c:formatCode>
                <c:ptCount val="9"/>
                <c:pt idx="0">
                  <c:v>0.898042756940652</c:v>
                </c:pt>
                <c:pt idx="1">
                  <c:v>0.874585240875299</c:v>
                </c:pt>
                <c:pt idx="2">
                  <c:v>0.81981603595279</c:v>
                </c:pt>
                <c:pt idx="3">
                  <c:v>0.592654038388844</c:v>
                </c:pt>
                <c:pt idx="4">
                  <c:v>0.459007098156159</c:v>
                </c:pt>
                <c:pt idx="5">
                  <c:v>0.430593473056407</c:v>
                </c:pt>
                <c:pt idx="6">
                  <c:v>0.38241841320509</c:v>
                </c:pt>
                <c:pt idx="7">
                  <c:v>0.349594691083203</c:v>
                </c:pt>
                <c:pt idx="8">
                  <c:v>0.324394136671006</c:v>
                </c:pt>
              </c:numCache>
            </c:numRef>
          </c:xVal>
          <c:yVal>
            <c:numRef>
              <c:f>ExpData!$P$4:$P$12</c:f>
              <c:numCache>
                <c:formatCode>0.0000</c:formatCode>
                <c:ptCount val="9"/>
                <c:pt idx="0">
                  <c:v>2.52635557982274</c:v>
                </c:pt>
                <c:pt idx="1">
                  <c:v>2.65445839808475</c:v>
                </c:pt>
                <c:pt idx="2">
                  <c:v>3.17736990213783</c:v>
                </c:pt>
                <c:pt idx="3">
                  <c:v>7.01415431139484</c:v>
                </c:pt>
                <c:pt idx="4">
                  <c:v>12.3545718005796</c:v>
                </c:pt>
                <c:pt idx="5">
                  <c:v>19.2017724389936</c:v>
                </c:pt>
                <c:pt idx="6">
                  <c:v>27.5221554874207</c:v>
                </c:pt>
                <c:pt idx="7">
                  <c:v>37.5939770674954</c:v>
                </c:pt>
                <c:pt idx="8">
                  <c:v>48.8775253055567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471312"/>
        <c:axId val="-1995784992"/>
      </c:scatterChart>
      <c:valAx>
        <c:axId val="-19694713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Sw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1995784992"/>
        <c:crosses val="autoZero"/>
        <c:crossBetween val="midCat"/>
      </c:valAx>
      <c:valAx>
        <c:axId val="-19957849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Pc (psi)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196947131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95202596297084"/>
          <c:y val="0.128485633374776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393840</xdr:colOff>
      <xdr:row>23</xdr:row>
      <xdr:rowOff>177840</xdr:rowOff>
    </xdr:from>
    <xdr:to>
      <xdr:col>12</xdr:col>
      <xdr:colOff>37800</xdr:colOff>
      <xdr:row>38</xdr:row>
      <xdr:rowOff>63360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600120</xdr:colOff>
      <xdr:row>81</xdr:row>
      <xdr:rowOff>164880</xdr:rowOff>
    </xdr:from>
    <xdr:to>
      <xdr:col>18</xdr:col>
      <xdr:colOff>396720</xdr:colOff>
      <xdr:row>96</xdr:row>
      <xdr:rowOff>50400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46080</xdr:colOff>
      <xdr:row>81</xdr:row>
      <xdr:rowOff>154080</xdr:rowOff>
    </xdr:from>
    <xdr:to>
      <xdr:col>11</xdr:col>
      <xdr:colOff>667300</xdr:colOff>
      <xdr:row>96</xdr:row>
      <xdr:rowOff>51120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abSelected="1" zoomScale="110" zoomScaleNormal="110" zoomScalePageLayoutView="110" workbookViewId="0">
      <selection activeCell="O20" sqref="O20"/>
    </sheetView>
  </sheetViews>
  <sheetFormatPr baseColWidth="10" defaultColWidth="8.83203125" defaultRowHeight="16" x14ac:dyDescent="0.2"/>
  <sheetData>
    <row r="1" spans="1:17" x14ac:dyDescent="0.2">
      <c r="A1" s="3" t="s">
        <v>0</v>
      </c>
      <c r="D1" s="3" t="s">
        <v>1</v>
      </c>
      <c r="E1" s="3" t="s">
        <v>2</v>
      </c>
      <c r="H1" s="4"/>
      <c r="I1" s="5" t="s">
        <v>3</v>
      </c>
      <c r="J1" s="6"/>
      <c r="K1" s="6"/>
      <c r="L1" s="6"/>
      <c r="M1" s="6"/>
      <c r="N1" s="6"/>
      <c r="O1" s="6"/>
      <c r="P1" s="6"/>
    </row>
    <row r="2" spans="1:17" x14ac:dyDescent="0.2">
      <c r="E2" s="2" t="s">
        <v>4</v>
      </c>
      <c r="F2" s="2"/>
      <c r="H2" s="4"/>
      <c r="I2" s="5" t="s">
        <v>5</v>
      </c>
      <c r="J2" s="6"/>
      <c r="K2" s="6"/>
      <c r="L2" s="5" t="s">
        <v>6</v>
      </c>
      <c r="M2" s="5"/>
      <c r="N2" s="6"/>
      <c r="O2" s="5" t="s">
        <v>7</v>
      </c>
      <c r="P2" s="5"/>
    </row>
    <row r="3" spans="1:17" x14ac:dyDescent="0.2">
      <c r="A3" t="s">
        <v>8</v>
      </c>
      <c r="E3" s="5" t="s">
        <v>9</v>
      </c>
      <c r="F3" s="5" t="s">
        <v>10</v>
      </c>
      <c r="G3" s="5" t="s">
        <v>9</v>
      </c>
      <c r="H3" s="5" t="s">
        <v>11</v>
      </c>
      <c r="I3" s="5" t="s">
        <v>9</v>
      </c>
      <c r="J3" s="5" t="s">
        <v>12</v>
      </c>
      <c r="K3" s="6"/>
      <c r="L3" s="5" t="s">
        <v>9</v>
      </c>
      <c r="M3" s="5" t="s">
        <v>13</v>
      </c>
      <c r="N3" s="6"/>
      <c r="O3" s="5" t="s">
        <v>9</v>
      </c>
      <c r="P3" s="5" t="s">
        <v>13</v>
      </c>
    </row>
    <row r="4" spans="1:17" x14ac:dyDescent="0.2">
      <c r="E4" s="6">
        <v>0.24466490897843399</v>
      </c>
      <c r="F4" s="6">
        <v>5.6898816041495105E-4</v>
      </c>
      <c r="G4" s="6">
        <v>0.27887697615873402</v>
      </c>
      <c r="H4" s="6">
        <v>0.94948576040967103</v>
      </c>
      <c r="I4" s="7">
        <v>0.88657650468310301</v>
      </c>
      <c r="J4" s="7">
        <v>0.91037002814061196</v>
      </c>
      <c r="K4" s="6"/>
      <c r="L4" s="6">
        <v>0.58948296862530902</v>
      </c>
      <c r="M4" s="6">
        <v>2.3090007980175402</v>
      </c>
      <c r="N4" s="6"/>
      <c r="O4" s="6">
        <v>0.89804275694065205</v>
      </c>
      <c r="P4" s="6">
        <v>2.5263555798227402</v>
      </c>
    </row>
    <row r="5" spans="1:17" x14ac:dyDescent="0.2">
      <c r="A5" t="s">
        <v>14</v>
      </c>
      <c r="E5" s="6">
        <v>0.26457949459295799</v>
      </c>
      <c r="F5" s="6">
        <v>6.1530115021612899E-4</v>
      </c>
      <c r="G5" s="6">
        <v>0.23908750177808799</v>
      </c>
      <c r="H5" s="6">
        <v>0.92148625000413498</v>
      </c>
      <c r="I5" s="7">
        <v>0.86313998907975897</v>
      </c>
      <c r="J5" s="7">
        <v>0.90406988953755896</v>
      </c>
      <c r="K5" s="6"/>
      <c r="L5" s="6">
        <v>0.56214036708807502</v>
      </c>
      <c r="M5" s="6">
        <v>2.3016506363139801</v>
      </c>
      <c r="N5" s="6"/>
      <c r="O5" s="6">
        <v>0.87458524087529899</v>
      </c>
      <c r="P5" s="6">
        <v>2.65445839808475</v>
      </c>
    </row>
    <row r="6" spans="1:17" x14ac:dyDescent="0.2">
      <c r="A6" t="s">
        <v>15</v>
      </c>
      <c r="E6" s="6">
        <v>0.28022997707507002</v>
      </c>
      <c r="F6" s="6">
        <v>-1.6738837742440399E-3</v>
      </c>
      <c r="G6" s="6">
        <v>0.24196221521646299</v>
      </c>
      <c r="H6" s="6">
        <v>0.90056270282608397</v>
      </c>
      <c r="I6" s="7">
        <v>0.652001344029568</v>
      </c>
      <c r="J6" s="7">
        <v>2.19139821076062</v>
      </c>
      <c r="K6" s="6"/>
      <c r="L6" s="6">
        <v>0.43672560796337501</v>
      </c>
      <c r="M6" s="6">
        <v>4.9561090343987502</v>
      </c>
      <c r="N6" s="6"/>
      <c r="O6" s="6">
        <v>0.81981603595278996</v>
      </c>
      <c r="P6" s="6">
        <v>3.1773699021378299</v>
      </c>
    </row>
    <row r="7" spans="1:17" x14ac:dyDescent="0.2">
      <c r="A7" t="s">
        <v>16</v>
      </c>
      <c r="E7" s="6">
        <v>0.30156372501993101</v>
      </c>
      <c r="F7" s="6">
        <v>7.01310988418413E-4</v>
      </c>
      <c r="G7" s="6">
        <v>0.264711817420961</v>
      </c>
      <c r="H7" s="6">
        <v>0.90759235306376895</v>
      </c>
      <c r="I7" s="7">
        <v>0.61686757108656298</v>
      </c>
      <c r="J7" s="7">
        <v>2.0475450459909998</v>
      </c>
      <c r="K7" s="6"/>
      <c r="L7" s="6">
        <v>0.36582804821706</v>
      </c>
      <c r="M7" s="6">
        <v>8.7004914108110203</v>
      </c>
      <c r="N7" s="6"/>
      <c r="O7" s="6">
        <v>0.59265403838884401</v>
      </c>
      <c r="P7" s="6">
        <v>7.0141543113948401</v>
      </c>
    </row>
    <row r="8" spans="1:17" x14ac:dyDescent="0.2">
      <c r="E8" s="6">
        <v>0.32005253216271701</v>
      </c>
      <c r="F8" s="6">
        <v>3.06988960968057E-3</v>
      </c>
      <c r="G8" s="6">
        <v>0.264731665845162</v>
      </c>
      <c r="H8" s="6">
        <v>0.89363891085080205</v>
      </c>
      <c r="I8" s="7">
        <v>0.49166281658196398</v>
      </c>
      <c r="J8" s="7">
        <v>3.3579738754252499</v>
      </c>
      <c r="K8" s="6"/>
      <c r="L8" s="6">
        <v>0.32208408584988801</v>
      </c>
      <c r="M8" s="6">
        <v>13.661850560712301</v>
      </c>
      <c r="N8" s="6"/>
      <c r="O8" s="6">
        <v>0.45900709815615898</v>
      </c>
      <c r="P8" s="6">
        <v>12.354571800579601</v>
      </c>
    </row>
    <row r="9" spans="1:17" x14ac:dyDescent="0.2">
      <c r="A9" t="s">
        <v>17</v>
      </c>
      <c r="B9">
        <v>19.600000000000001</v>
      </c>
      <c r="E9" s="6">
        <v>0.32858404649824102</v>
      </c>
      <c r="F9" s="6">
        <v>5.41531173604226E-3</v>
      </c>
      <c r="G9" s="6">
        <v>0.30179859803963699</v>
      </c>
      <c r="H9" s="6">
        <v>0.83558557813497503</v>
      </c>
      <c r="I9" s="7">
        <v>0.43668360703935399</v>
      </c>
      <c r="J9" s="7">
        <v>5.2249149481288404</v>
      </c>
      <c r="K9" s="6"/>
      <c r="L9" s="6">
        <v>0.31383090427989402</v>
      </c>
      <c r="M9" s="6">
        <v>16.482212608677301</v>
      </c>
      <c r="N9" s="6"/>
      <c r="O9" s="6">
        <v>0.43059347305640699</v>
      </c>
      <c r="P9" s="6">
        <v>19.201772438993601</v>
      </c>
    </row>
    <row r="10" spans="1:17" x14ac:dyDescent="0.2">
      <c r="A10" t="s">
        <v>18</v>
      </c>
      <c r="B10">
        <v>1360</v>
      </c>
      <c r="E10" s="6">
        <v>0.349927718655203</v>
      </c>
      <c r="F10" s="6">
        <v>8.1378539222143299E-4</v>
      </c>
      <c r="G10" s="6">
        <v>0.297554343331425</v>
      </c>
      <c r="H10" s="6">
        <v>0.81929663800774699</v>
      </c>
      <c r="I10" s="7">
        <v>0.39338065437439601</v>
      </c>
      <c r="J10" s="7">
        <v>7.3638120038640702</v>
      </c>
      <c r="K10" s="6"/>
      <c r="L10" s="6">
        <v>0.301671636776008</v>
      </c>
      <c r="M10" s="6">
        <v>19.301524633541899</v>
      </c>
      <c r="N10" s="6"/>
      <c r="O10" s="6">
        <v>0.38241841320509001</v>
      </c>
      <c r="P10" s="6">
        <v>27.522155487420701</v>
      </c>
    </row>
    <row r="11" spans="1:17" x14ac:dyDescent="0.2">
      <c r="A11" t="s">
        <v>19</v>
      </c>
      <c r="B11">
        <v>1304</v>
      </c>
      <c r="E11" s="6">
        <v>0.36272995226453902</v>
      </c>
      <c r="F11" s="6">
        <v>8.4355802852220598E-4</v>
      </c>
      <c r="G11" s="6">
        <v>0.35020559659401002</v>
      </c>
      <c r="H11" s="6">
        <v>0.80546559441068299</v>
      </c>
      <c r="I11" s="7">
        <v>0.353920786257297</v>
      </c>
      <c r="J11" s="7">
        <v>9.9069679532949593</v>
      </c>
      <c r="K11" s="6"/>
      <c r="L11" s="6">
        <v>0.25366458062077302</v>
      </c>
      <c r="M11" s="6">
        <v>26.546684027048499</v>
      </c>
      <c r="N11" s="6"/>
      <c r="O11" s="6">
        <v>0.34959469108320301</v>
      </c>
      <c r="P11" s="6">
        <v>37.593977067495402</v>
      </c>
      <c r="Q11" s="8"/>
    </row>
    <row r="12" spans="1:17" x14ac:dyDescent="0.2">
      <c r="A12" t="s">
        <v>20</v>
      </c>
      <c r="B12">
        <v>1193</v>
      </c>
      <c r="E12" s="6">
        <v>0.37695465627491298</v>
      </c>
      <c r="F12" s="6">
        <v>8.7663873552301598E-4</v>
      </c>
      <c r="G12" s="6">
        <v>0.33033070782788698</v>
      </c>
      <c r="H12" s="6">
        <v>0.77751239699494801</v>
      </c>
      <c r="I12" s="7">
        <v>0.34174051829140201</v>
      </c>
      <c r="J12" s="7">
        <v>12.860682935024499</v>
      </c>
      <c r="K12" s="6"/>
      <c r="L12" s="6">
        <v>0.24066529463648101</v>
      </c>
      <c r="M12" s="6">
        <v>34.7421143265151</v>
      </c>
      <c r="N12" s="6"/>
      <c r="O12" s="6">
        <v>0.32439413667100597</v>
      </c>
      <c r="P12" s="6">
        <v>48.877525305556702</v>
      </c>
      <c r="Q12" s="9"/>
    </row>
    <row r="13" spans="1:17" x14ac:dyDescent="0.2">
      <c r="A13" t="s">
        <v>21</v>
      </c>
      <c r="B13">
        <v>1286</v>
      </c>
      <c r="E13" s="6">
        <v>0.39117936028528799</v>
      </c>
      <c r="F13" s="6">
        <v>9.0971944252382598E-4</v>
      </c>
      <c r="G13" s="6">
        <v>0.31897740918518902</v>
      </c>
      <c r="H13" s="6">
        <v>0.75888134281205799</v>
      </c>
      <c r="I13" s="7">
        <v>0.31771598975177401</v>
      </c>
      <c r="J13" s="7">
        <v>16.6176655886429</v>
      </c>
      <c r="K13" s="6"/>
      <c r="L13" s="6">
        <v>0.24379436347599601</v>
      </c>
      <c r="M13" s="6">
        <v>39.716073753622503</v>
      </c>
      <c r="N13" s="6"/>
      <c r="O13" s="6"/>
      <c r="P13" s="6"/>
      <c r="Q13" s="9"/>
    </row>
    <row r="14" spans="1:17" x14ac:dyDescent="0.2">
      <c r="A14" t="s">
        <v>22</v>
      </c>
      <c r="B14">
        <v>1111</v>
      </c>
      <c r="E14" s="6">
        <v>0.40255581542288699</v>
      </c>
      <c r="F14" s="6">
        <v>3.26175771028558E-3</v>
      </c>
      <c r="G14" s="6">
        <v>0.374486835532648</v>
      </c>
      <c r="H14" s="6">
        <v>0.73575462054774998</v>
      </c>
      <c r="I14" s="7">
        <v>0.30933680540971797</v>
      </c>
      <c r="J14" s="7">
        <v>20.244445377798201</v>
      </c>
      <c r="K14" s="6"/>
      <c r="L14" s="6">
        <v>0.22751900541811901</v>
      </c>
      <c r="M14" s="6">
        <v>43.878365324037098</v>
      </c>
      <c r="N14" s="6"/>
      <c r="O14" s="6"/>
      <c r="P14" s="6"/>
      <c r="Q14" s="9"/>
    </row>
    <row r="15" spans="1:17" x14ac:dyDescent="0.2">
      <c r="E15" s="6">
        <v>0.41393557863118602</v>
      </c>
      <c r="F15" s="6">
        <v>3.2882222758863198E-3</v>
      </c>
      <c r="G15" s="6">
        <v>0.35746019563930098</v>
      </c>
      <c r="H15" s="6">
        <v>0.70548246557125405</v>
      </c>
      <c r="I15" s="7">
        <v>0.308643790163383</v>
      </c>
      <c r="J15" s="7">
        <v>24.679742954344899</v>
      </c>
      <c r="K15" s="6"/>
      <c r="L15" s="6">
        <v>0.238985257675668</v>
      </c>
      <c r="M15" s="6">
        <v>45.494350875719199</v>
      </c>
      <c r="N15" s="6"/>
      <c r="O15" s="6"/>
      <c r="P15" s="6"/>
      <c r="Q15" s="9"/>
    </row>
    <row r="16" spans="1:17" x14ac:dyDescent="0.2">
      <c r="A16" t="s">
        <v>23</v>
      </c>
      <c r="B16">
        <v>23.12</v>
      </c>
      <c r="E16" s="6">
        <v>0.42958275304259702</v>
      </c>
      <c r="F16" s="6">
        <v>3.3246110535873801E-3</v>
      </c>
      <c r="G16" s="6">
        <v>0.35321263286038901</v>
      </c>
      <c r="H16" s="6">
        <v>0.69151909914618603</v>
      </c>
      <c r="I16" s="7">
        <v>0.28837834432357501</v>
      </c>
      <c r="J16" s="7">
        <v>29.378596329119201</v>
      </c>
      <c r="K16" s="6"/>
      <c r="L16" s="6"/>
      <c r="M16" s="6"/>
      <c r="N16" s="6"/>
      <c r="O16" s="6"/>
      <c r="P16" s="6"/>
      <c r="Q16" s="9"/>
    </row>
    <row r="17" spans="1:17" x14ac:dyDescent="0.2">
      <c r="A17" t="s">
        <v>24</v>
      </c>
      <c r="B17">
        <v>23.99</v>
      </c>
      <c r="E17" s="6">
        <v>0.44522661938330899</v>
      </c>
      <c r="F17" s="6">
        <v>5.6865735334494698E-3</v>
      </c>
      <c r="G17" s="6">
        <v>0.40164940405106297</v>
      </c>
      <c r="H17" s="6">
        <v>0.64046895210244403</v>
      </c>
      <c r="I17" s="7">
        <v>0.26025872569196501</v>
      </c>
      <c r="J17" s="7">
        <v>34.344155571422498</v>
      </c>
      <c r="K17" s="6"/>
      <c r="L17" s="6"/>
      <c r="M17" s="6"/>
      <c r="N17" s="6"/>
      <c r="O17" s="6"/>
      <c r="P17" s="6"/>
      <c r="Q17" s="9"/>
    </row>
    <row r="18" spans="1:17" x14ac:dyDescent="0.2">
      <c r="A18" t="s">
        <v>25</v>
      </c>
      <c r="B18">
        <v>25.22</v>
      </c>
      <c r="E18" s="6">
        <v>0.462292956125058</v>
      </c>
      <c r="F18" s="6">
        <v>8.0518440840118208E-3</v>
      </c>
      <c r="G18" s="6">
        <v>0.37891634220006498</v>
      </c>
      <c r="H18" s="6">
        <v>0.62181143335395295</v>
      </c>
      <c r="I18" s="7">
        <v>0.26723087907933901</v>
      </c>
      <c r="J18" s="7">
        <v>39.722373892225598</v>
      </c>
      <c r="K18" s="6"/>
      <c r="L18" s="6"/>
      <c r="M18" s="6"/>
      <c r="N18" s="6"/>
      <c r="O18" s="6"/>
      <c r="P18" s="6"/>
      <c r="Q18" s="9"/>
    </row>
    <row r="19" spans="1:17" x14ac:dyDescent="0.2">
      <c r="A19" t="s">
        <v>26</v>
      </c>
      <c r="B19">
        <v>24.08</v>
      </c>
      <c r="E19" s="6">
        <v>0.47936260093750699</v>
      </c>
      <c r="F19" s="6">
        <v>8.0915409324129293E-3</v>
      </c>
      <c r="G19" s="6">
        <v>0.39030933769116499</v>
      </c>
      <c r="H19" s="6">
        <v>0.61253560311090904</v>
      </c>
      <c r="I19" s="7">
        <v>0.25463060187324099</v>
      </c>
      <c r="J19" s="7">
        <v>45.364148011256198</v>
      </c>
      <c r="K19" s="6"/>
      <c r="L19" s="6"/>
      <c r="M19" s="6"/>
      <c r="N19" s="6"/>
      <c r="O19" s="6"/>
      <c r="P19" s="6"/>
      <c r="Q19" s="9"/>
    </row>
    <row r="20" spans="1:17" x14ac:dyDescent="0.2">
      <c r="A20" t="s">
        <v>27</v>
      </c>
      <c r="B20">
        <v>14.86</v>
      </c>
      <c r="E20" s="6">
        <v>0.49073905607510598</v>
      </c>
      <c r="F20" s="6">
        <v>1.0443579200174399E-2</v>
      </c>
      <c r="G20" s="6">
        <v>0.42878550800387699</v>
      </c>
      <c r="H20" s="6">
        <v>0.56378787327442703</v>
      </c>
      <c r="Q20" s="9"/>
    </row>
    <row r="21" spans="1:17" x14ac:dyDescent="0.2">
      <c r="E21" s="6">
        <v>0.50779877667545503</v>
      </c>
      <c r="F21" s="6">
        <v>1.7459997155058998E-2</v>
      </c>
      <c r="G21" s="6">
        <v>0.41034962999229202</v>
      </c>
      <c r="H21" s="6">
        <v>0.52421011541858598</v>
      </c>
      <c r="I21" s="10"/>
      <c r="J21" s="10"/>
      <c r="K21" s="10"/>
      <c r="L21" s="10"/>
      <c r="M21" s="10"/>
      <c r="N21" s="4"/>
      <c r="O21" s="10"/>
      <c r="P21" s="9"/>
      <c r="Q21" s="9"/>
    </row>
    <row r="22" spans="1:17" x14ac:dyDescent="0.2">
      <c r="E22" s="6">
        <v>0.52202348068582904</v>
      </c>
      <c r="F22" s="6">
        <v>1.7493077862059801E-2</v>
      </c>
      <c r="G22" s="6">
        <v>0.41889437661061601</v>
      </c>
      <c r="H22" s="6">
        <v>0.51725324273630302</v>
      </c>
      <c r="I22" s="10"/>
      <c r="J22" s="10"/>
      <c r="K22" s="10"/>
      <c r="L22" s="10"/>
      <c r="M22" s="10"/>
      <c r="N22" s="4"/>
      <c r="O22" s="10"/>
      <c r="P22" s="9"/>
      <c r="Q22" s="9"/>
    </row>
    <row r="23" spans="1:17" x14ac:dyDescent="0.2">
      <c r="E23" s="6">
        <v>0.54050567168721497</v>
      </c>
      <c r="F23" s="6">
        <v>2.4512803887644499E-2</v>
      </c>
      <c r="G23" s="6">
        <v>0.46021217965470301</v>
      </c>
      <c r="H23" s="6">
        <v>0.47083770274338199</v>
      </c>
    </row>
    <row r="24" spans="1:17" x14ac:dyDescent="0.2">
      <c r="E24" s="6">
        <v>0.55472706762688895</v>
      </c>
      <c r="F24" s="6">
        <v>2.6871458296806799E-2</v>
      </c>
      <c r="G24" s="6">
        <v>0.44317230747855502</v>
      </c>
      <c r="H24" s="6">
        <v>0.44986784257553097</v>
      </c>
    </row>
    <row r="25" spans="1:17" x14ac:dyDescent="0.2">
      <c r="E25" s="6">
        <v>0.58600487609621099</v>
      </c>
      <c r="F25" s="6">
        <v>3.8572104363014503E-2</v>
      </c>
      <c r="G25" s="6">
        <v>0.44461131823309302</v>
      </c>
      <c r="H25" s="6">
        <v>0.43824328213542502</v>
      </c>
    </row>
    <row r="26" spans="1:17" x14ac:dyDescent="0.2">
      <c r="E26" s="6">
        <v>0.61726283614133304</v>
      </c>
      <c r="F26" s="6">
        <v>6.4226192642189206E-2</v>
      </c>
      <c r="G26" s="6">
        <v>0.49163885130552998</v>
      </c>
      <c r="H26" s="6">
        <v>0.37788753221233801</v>
      </c>
    </row>
    <row r="27" spans="1:17" x14ac:dyDescent="0.2">
      <c r="E27" s="6">
        <v>0.63007168589206997</v>
      </c>
      <c r="F27" s="6">
        <v>5.9604817874167403E-2</v>
      </c>
      <c r="G27" s="6">
        <v>0.47883992576689299</v>
      </c>
      <c r="H27" s="6">
        <v>0.37553218587387599</v>
      </c>
    </row>
    <row r="28" spans="1:17" x14ac:dyDescent="0.2">
      <c r="E28" s="6">
        <v>0.658461548640217</v>
      </c>
      <c r="F28" s="6">
        <v>0.10153130592707001</v>
      </c>
      <c r="G28" s="6">
        <v>0.47886639033249401</v>
      </c>
      <c r="H28" s="6">
        <v>0.35692759625658699</v>
      </c>
    </row>
    <row r="29" spans="1:17" x14ac:dyDescent="0.2">
      <c r="E29" s="6">
        <v>0.66558713292820404</v>
      </c>
      <c r="F29" s="6">
        <v>9.2245551471925993E-2</v>
      </c>
      <c r="G29" s="6">
        <v>0.52301590189585501</v>
      </c>
      <c r="H29" s="6">
        <v>0.319820967213711</v>
      </c>
    </row>
    <row r="30" spans="1:17" x14ac:dyDescent="0.2">
      <c r="E30" s="6">
        <v>0.69961725621999904</v>
      </c>
      <c r="F30" s="6">
        <v>0.169068877340046</v>
      </c>
      <c r="G30" s="6">
        <v>0.50879781402688096</v>
      </c>
      <c r="H30" s="6">
        <v>0.31513673910238699</v>
      </c>
    </row>
    <row r="31" spans="1:17" x14ac:dyDescent="0.2">
      <c r="E31" s="6">
        <v>0.71387173286667405</v>
      </c>
      <c r="F31" s="6">
        <v>0.14817179472759601</v>
      </c>
      <c r="G31" s="6">
        <v>0.50882758666318195</v>
      </c>
      <c r="H31" s="6">
        <v>0.29420657578293702</v>
      </c>
    </row>
    <row r="32" spans="1:17" x14ac:dyDescent="0.2">
      <c r="E32" s="6">
        <v>0.739357109540145</v>
      </c>
      <c r="F32" s="6">
        <v>0.23195199327800001</v>
      </c>
      <c r="G32" s="6">
        <v>0.53874908614546901</v>
      </c>
      <c r="H32" s="6">
        <v>0.25939243973522103</v>
      </c>
    </row>
    <row r="33" spans="5:18" x14ac:dyDescent="0.2">
      <c r="E33" s="6">
        <v>0.75074348888984399</v>
      </c>
      <c r="F33" s="6">
        <v>0.22732731043927801</v>
      </c>
      <c r="G33" s="6">
        <v>0.54730044890519303</v>
      </c>
      <c r="H33" s="6">
        <v>0.247784419648616</v>
      </c>
    </row>
    <row r="34" spans="5:18" x14ac:dyDescent="0.2">
      <c r="E34" s="6">
        <v>0.75219903999788196</v>
      </c>
      <c r="F34" s="6">
        <v>0.204074881488366</v>
      </c>
      <c r="G34" s="6">
        <v>0.55868021211349295</v>
      </c>
      <c r="H34" s="6">
        <v>0.24781088421421699</v>
      </c>
    </row>
    <row r="35" spans="5:18" x14ac:dyDescent="0.2">
      <c r="E35" s="6">
        <v>0.79192235296452695</v>
      </c>
      <c r="F35" s="6">
        <v>0.27858586593712598</v>
      </c>
      <c r="G35" s="6">
        <v>0.58436076495826805</v>
      </c>
      <c r="H35" s="6">
        <v>0.19438223433711199</v>
      </c>
    </row>
    <row r="36" spans="5:18" x14ac:dyDescent="0.2">
      <c r="E36" s="6">
        <v>0.78191543909676398</v>
      </c>
      <c r="F36" s="6">
        <v>0.31344631497464298</v>
      </c>
      <c r="G36" s="6">
        <v>0.58433099232196795</v>
      </c>
      <c r="H36" s="6">
        <v>0.21531239765656199</v>
      </c>
    </row>
    <row r="37" spans="5:18" x14ac:dyDescent="0.2">
      <c r="E37" s="6">
        <v>0.784743839545338</v>
      </c>
      <c r="F37" s="6">
        <v>0.32508079962684899</v>
      </c>
      <c r="G37" s="6">
        <v>0.61568488641739205</v>
      </c>
      <c r="H37" s="6">
        <v>0.173524848573063</v>
      </c>
    </row>
    <row r="38" spans="5:18" x14ac:dyDescent="0.2">
      <c r="E38" s="6">
        <v>0.83729915875761995</v>
      </c>
      <c r="F38" s="6">
        <v>0.378691393392459</v>
      </c>
      <c r="G38" s="6">
        <v>0.62566202764885404</v>
      </c>
      <c r="H38" s="6">
        <v>0.15959456285499701</v>
      </c>
    </row>
    <row r="39" spans="5:18" x14ac:dyDescent="0.2">
      <c r="E39" s="6">
        <v>0.83156627223436996</v>
      </c>
      <c r="F39" s="6">
        <v>0.40891061923775401</v>
      </c>
      <c r="G39" s="6">
        <v>0.65698614910797803</v>
      </c>
      <c r="H39" s="6">
        <v>0.13873717709094799</v>
      </c>
    </row>
    <row r="40" spans="5:18" x14ac:dyDescent="0.2">
      <c r="E40" s="6">
        <v>0.82156266643730702</v>
      </c>
      <c r="F40" s="6">
        <v>0.44144549457311</v>
      </c>
      <c r="G40" s="6">
        <v>0.66837252845767803</v>
      </c>
      <c r="H40" s="6">
        <v>0.13411249425222699</v>
      </c>
    </row>
    <row r="41" spans="5:18" x14ac:dyDescent="0.2">
      <c r="E41" s="6">
        <v>0.871273044847514</v>
      </c>
      <c r="F41" s="6">
        <v>0.49504947219731898</v>
      </c>
      <c r="G41" s="6">
        <v>0.70111912031783896</v>
      </c>
      <c r="H41" s="6">
        <v>0.113258416558878</v>
      </c>
    </row>
    <row r="42" spans="5:18" x14ac:dyDescent="0.2">
      <c r="E42" s="6">
        <v>0.875477602707324</v>
      </c>
      <c r="F42" s="6">
        <v>0.53924529675048205</v>
      </c>
      <c r="G42" s="6">
        <v>0.71109626154930095</v>
      </c>
      <c r="H42" s="6">
        <v>9.9328130840812101E-2</v>
      </c>
    </row>
    <row r="43" spans="5:18" x14ac:dyDescent="0.2">
      <c r="E43" s="6">
        <v>0.85129229781898796</v>
      </c>
      <c r="F43" s="6">
        <v>0.54151463325074101</v>
      </c>
      <c r="G43" s="6">
        <v>0.73673050140427598</v>
      </c>
      <c r="H43" s="6">
        <v>7.8457512793963194E-2</v>
      </c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5:18" x14ac:dyDescent="0.2">
      <c r="E44" s="6">
        <v>0.88106493411977105</v>
      </c>
      <c r="F44" s="6">
        <v>0.61135131380027796</v>
      </c>
      <c r="G44" s="6">
        <v>0.75095851348535003</v>
      </c>
      <c r="H44" s="6">
        <v>7.6165019798802996E-2</v>
      </c>
      <c r="I44" s="10"/>
      <c r="J44" s="10"/>
      <c r="K44" s="10"/>
      <c r="L44" s="10"/>
      <c r="M44" s="10"/>
      <c r="N44" s="4"/>
      <c r="O44" s="10"/>
      <c r="P44" s="10"/>
      <c r="Q44" s="10"/>
      <c r="R44" s="9"/>
    </row>
    <row r="45" spans="5:18" x14ac:dyDescent="0.2">
      <c r="E45" s="6">
        <v>0.91235266680119398</v>
      </c>
      <c r="F45" s="6">
        <v>0.61607523876000203</v>
      </c>
      <c r="G45" s="6">
        <v>0.78086347261413602</v>
      </c>
      <c r="H45" s="6">
        <v>5.29787522618934E-2</v>
      </c>
      <c r="I45" s="10"/>
      <c r="J45" s="10"/>
      <c r="K45" s="10"/>
      <c r="L45" s="10"/>
      <c r="M45" s="10"/>
      <c r="N45" s="4"/>
      <c r="O45" s="10"/>
      <c r="P45" s="10"/>
      <c r="Q45" s="10"/>
      <c r="R45" s="9"/>
    </row>
    <row r="46" spans="5:18" x14ac:dyDescent="0.2">
      <c r="E46" s="6">
        <v>0.91517445110836804</v>
      </c>
      <c r="F46" s="6">
        <v>0.63236087081653003</v>
      </c>
      <c r="G46" s="6">
        <v>0.79223992775173502</v>
      </c>
      <c r="H46" s="6">
        <v>5.5330790529655102E-2</v>
      </c>
      <c r="I46" s="10"/>
      <c r="J46" s="10"/>
      <c r="K46" s="10"/>
      <c r="L46" s="10"/>
      <c r="M46" s="10"/>
      <c r="N46" s="4"/>
      <c r="O46" s="10"/>
      <c r="P46" s="10"/>
      <c r="Q46" s="10"/>
      <c r="R46" s="9"/>
    </row>
    <row r="47" spans="5:18" x14ac:dyDescent="0.2">
      <c r="E47" s="6">
        <v>0.94063997935763799</v>
      </c>
      <c r="F47" s="6">
        <v>0.73009451157990102</v>
      </c>
      <c r="G47" s="6">
        <v>0.81787085953600902</v>
      </c>
      <c r="H47" s="6">
        <v>3.6785746184967397E-2</v>
      </c>
      <c r="I47" s="10"/>
      <c r="J47" s="10"/>
      <c r="K47" s="10"/>
      <c r="L47" s="10"/>
      <c r="M47" s="10"/>
      <c r="N47" s="4"/>
      <c r="O47" s="10"/>
      <c r="P47" s="10"/>
      <c r="Q47" s="10"/>
      <c r="R47" s="9"/>
    </row>
    <row r="48" spans="5:18" x14ac:dyDescent="0.2">
      <c r="E48" s="6">
        <v>0.927725271344499</v>
      </c>
      <c r="F48" s="6">
        <v>0.80913424481707996</v>
      </c>
      <c r="G48" s="6">
        <v>0.82925062274430905</v>
      </c>
      <c r="H48" s="6">
        <v>3.6812210750567897E-2</v>
      </c>
      <c r="I48" s="10"/>
      <c r="J48" s="10"/>
      <c r="K48" s="10"/>
      <c r="L48" s="10"/>
      <c r="M48" s="10"/>
      <c r="N48" s="4"/>
      <c r="O48" s="10"/>
      <c r="P48" s="10"/>
      <c r="Q48" s="10"/>
      <c r="R48" s="9"/>
    </row>
    <row r="49" spans="5:18" x14ac:dyDescent="0.2">
      <c r="E49" s="6">
        <v>0.97752827573430801</v>
      </c>
      <c r="F49" s="6">
        <v>0.79762215878077702</v>
      </c>
      <c r="G49" s="6">
        <v>0.84063038595260797</v>
      </c>
      <c r="H49" s="6">
        <v>3.68386753161686E-2</v>
      </c>
      <c r="I49" s="10"/>
      <c r="J49" s="10"/>
      <c r="K49" s="10"/>
      <c r="L49" s="10"/>
      <c r="M49" s="10"/>
      <c r="N49" s="4"/>
      <c r="O49" s="10"/>
      <c r="P49" s="10"/>
      <c r="Q49" s="10"/>
      <c r="R49" s="9"/>
    </row>
    <row r="50" spans="5:18" x14ac:dyDescent="0.2">
      <c r="E50" s="6">
        <v>0.95751113992808201</v>
      </c>
      <c r="F50" s="6">
        <v>0.86966863055797206</v>
      </c>
      <c r="G50" s="6">
        <v>0.85202338144370704</v>
      </c>
      <c r="H50" s="6">
        <v>2.75628450731248E-2</v>
      </c>
      <c r="I50" s="10"/>
      <c r="J50" s="10"/>
      <c r="K50" s="10"/>
      <c r="L50" s="10"/>
      <c r="M50" s="10"/>
      <c r="N50" s="4"/>
      <c r="O50" s="10"/>
      <c r="P50" s="10"/>
      <c r="Q50" s="10"/>
      <c r="R50" s="9"/>
    </row>
    <row r="51" spans="5:18" x14ac:dyDescent="0.2">
      <c r="E51" s="6">
        <v>0.954623194206906</v>
      </c>
      <c r="F51" s="6">
        <v>0.89989447254466703</v>
      </c>
      <c r="G51" s="6">
        <v>0.87336043745926895</v>
      </c>
      <c r="H51" s="6">
        <v>2.76124661336263E-2</v>
      </c>
      <c r="I51" s="10"/>
      <c r="J51" s="10"/>
      <c r="K51" s="10"/>
      <c r="L51" s="10"/>
      <c r="M51" s="10"/>
      <c r="N51" s="4"/>
      <c r="O51" s="10"/>
      <c r="P51" s="10"/>
      <c r="Q51" s="10"/>
      <c r="R51" s="9"/>
    </row>
    <row r="52" spans="5:18" x14ac:dyDescent="0.2">
      <c r="E52" s="6">
        <v>0.98587784618132801</v>
      </c>
      <c r="F52" s="6">
        <v>0.92787413452600298</v>
      </c>
      <c r="G52" s="6">
        <v>0.883334270620031</v>
      </c>
      <c r="H52" s="6">
        <v>1.6007754117720999E-2</v>
      </c>
      <c r="I52" s="10"/>
      <c r="J52" s="10"/>
      <c r="K52" s="10"/>
      <c r="L52" s="10"/>
      <c r="M52" s="10"/>
      <c r="N52" s="4"/>
      <c r="O52" s="10"/>
      <c r="P52" s="10"/>
      <c r="Q52" s="10"/>
      <c r="R52" s="9"/>
    </row>
    <row r="53" spans="5:18" x14ac:dyDescent="0.2">
      <c r="E53" s="6">
        <v>0.97157705654485205</v>
      </c>
      <c r="F53" s="6">
        <v>0.98132924896870799</v>
      </c>
      <c r="G53" s="6">
        <v>0.91462531137215397</v>
      </c>
      <c r="H53" s="6">
        <v>1.84061053752839E-2</v>
      </c>
      <c r="I53" s="10"/>
      <c r="J53" s="10"/>
      <c r="K53" s="10"/>
      <c r="L53" s="10"/>
      <c r="M53" s="10"/>
      <c r="N53" s="4"/>
      <c r="O53" s="10"/>
      <c r="P53" s="10"/>
      <c r="Q53" s="10"/>
      <c r="R53" s="9"/>
    </row>
    <row r="54" spans="5:18" x14ac:dyDescent="0.2">
      <c r="E54" s="6">
        <v>0.99431011839585004</v>
      </c>
      <c r="F54" s="6">
        <v>0.99998676771719897</v>
      </c>
      <c r="G54" s="6">
        <v>0.93027579385426595</v>
      </c>
      <c r="H54" s="6">
        <v>1.6116920450824E-2</v>
      </c>
      <c r="I54" s="10"/>
      <c r="J54" s="10"/>
      <c r="K54" s="10"/>
      <c r="L54" s="10"/>
      <c r="M54" s="10"/>
      <c r="N54" s="4"/>
      <c r="O54" s="10"/>
      <c r="P54" s="10"/>
      <c r="Q54" s="10"/>
      <c r="R54" s="9"/>
    </row>
    <row r="55" spans="5:18" x14ac:dyDescent="0.2">
      <c r="E55" s="6"/>
      <c r="G55" s="6">
        <v>0.94734874673741498</v>
      </c>
      <c r="H55" s="6">
        <v>1.3831043597063599E-2</v>
      </c>
      <c r="I55" s="10"/>
      <c r="J55" s="10"/>
      <c r="K55" s="10"/>
      <c r="L55" s="10"/>
      <c r="M55" s="10"/>
      <c r="N55" s="4"/>
      <c r="O55" s="10"/>
      <c r="P55" s="10"/>
      <c r="Q55" s="10"/>
      <c r="R55" s="9"/>
    </row>
    <row r="56" spans="5:18" x14ac:dyDescent="0.2">
      <c r="E56" s="6"/>
      <c r="G56" s="6">
        <v>0.96015759648815102</v>
      </c>
      <c r="H56" s="6">
        <v>9.2096688290421707E-3</v>
      </c>
      <c r="I56" s="10"/>
      <c r="J56" s="10"/>
      <c r="K56" s="10"/>
      <c r="L56" s="10"/>
      <c r="M56" s="10"/>
      <c r="N56" s="4"/>
      <c r="O56" s="10"/>
      <c r="P56" s="10"/>
      <c r="Q56" s="10"/>
      <c r="R56" s="9"/>
    </row>
    <row r="57" spans="5:18" x14ac:dyDescent="0.2">
      <c r="E57" s="6"/>
      <c r="G57" s="6">
        <v>0.97011488929541301</v>
      </c>
      <c r="H57" s="6">
        <v>9.2328253239428709E-3</v>
      </c>
      <c r="I57" s="10"/>
      <c r="J57" s="10"/>
      <c r="K57" s="10"/>
      <c r="L57" s="10"/>
      <c r="M57" s="10"/>
      <c r="N57" s="4"/>
      <c r="O57" s="10"/>
      <c r="P57" s="10"/>
      <c r="Q57" s="10"/>
      <c r="R57" s="9"/>
    </row>
    <row r="58" spans="5:18" x14ac:dyDescent="0.2">
      <c r="E58" s="6"/>
      <c r="G58" s="6">
        <v>0.98433959330578702</v>
      </c>
      <c r="H58" s="6">
        <v>9.2659060309436807E-3</v>
      </c>
      <c r="I58" s="10"/>
      <c r="J58" s="10"/>
      <c r="K58" s="10"/>
      <c r="L58" s="10"/>
      <c r="M58" s="10"/>
      <c r="N58" s="4"/>
      <c r="O58" s="10"/>
      <c r="P58" s="10"/>
      <c r="Q58" s="10"/>
      <c r="R58" s="9"/>
    </row>
    <row r="59" spans="5:18" x14ac:dyDescent="0.2">
      <c r="E59" s="6"/>
      <c r="G59" s="6">
        <v>0.99571935651408705</v>
      </c>
      <c r="H59" s="6">
        <v>9.2923705965444192E-3</v>
      </c>
      <c r="I59" s="10"/>
      <c r="J59" s="10"/>
      <c r="K59" s="10"/>
      <c r="L59" s="10"/>
      <c r="M59" s="10"/>
      <c r="N59" s="4"/>
      <c r="O59" s="10"/>
      <c r="P59" s="10"/>
      <c r="Q59" s="10"/>
      <c r="R59" s="9"/>
    </row>
    <row r="60" spans="5:18" x14ac:dyDescent="0.2">
      <c r="E60" s="6"/>
      <c r="I60" s="10"/>
      <c r="J60" s="10"/>
      <c r="K60" s="10"/>
      <c r="L60" s="10"/>
      <c r="M60" s="10"/>
      <c r="N60" s="4"/>
      <c r="O60" s="10"/>
      <c r="P60" s="10"/>
      <c r="Q60" s="10"/>
      <c r="R60" s="9"/>
    </row>
    <row r="61" spans="5:18" x14ac:dyDescent="0.2">
      <c r="E61" s="6"/>
      <c r="I61" s="10"/>
      <c r="J61" s="10"/>
      <c r="K61" s="10"/>
      <c r="L61" s="10"/>
      <c r="M61" s="10"/>
      <c r="N61" s="4"/>
      <c r="O61" s="10"/>
      <c r="P61" s="10"/>
      <c r="Q61" s="10"/>
      <c r="R61" s="9"/>
    </row>
    <row r="62" spans="5:18" x14ac:dyDescent="0.2">
      <c r="E62" s="6"/>
      <c r="I62" s="10"/>
      <c r="J62" s="10"/>
      <c r="K62" s="10"/>
      <c r="L62" s="10"/>
      <c r="M62" s="10"/>
      <c r="N62" s="4"/>
      <c r="O62" s="10"/>
      <c r="P62" s="10"/>
      <c r="Q62" s="10"/>
      <c r="R62" s="9"/>
    </row>
    <row r="63" spans="5:18" x14ac:dyDescent="0.2">
      <c r="E63" s="6"/>
      <c r="I63" s="10"/>
      <c r="J63" s="10"/>
      <c r="K63" s="10"/>
      <c r="L63" s="10"/>
      <c r="M63" s="10"/>
      <c r="N63" s="4"/>
      <c r="O63" s="10"/>
      <c r="P63" s="10"/>
      <c r="Q63" s="10"/>
      <c r="R63" s="9"/>
    </row>
    <row r="64" spans="5:18" x14ac:dyDescent="0.2">
      <c r="E64" s="6"/>
      <c r="I64" s="10"/>
      <c r="J64" s="10"/>
      <c r="K64" s="10"/>
      <c r="L64" s="10"/>
      <c r="M64" s="10"/>
      <c r="N64" s="4"/>
      <c r="O64" s="10"/>
      <c r="P64" s="10"/>
      <c r="Q64" s="10"/>
      <c r="R64" s="9"/>
    </row>
    <row r="65" spans="5:18" x14ac:dyDescent="0.2">
      <c r="E65" s="6"/>
      <c r="I65" s="10"/>
      <c r="J65" s="10"/>
      <c r="K65" s="10"/>
      <c r="L65" s="10"/>
      <c r="M65" s="10"/>
      <c r="N65" s="4"/>
      <c r="O65" s="10"/>
      <c r="P65" s="10"/>
      <c r="Q65" s="10"/>
      <c r="R65" s="9"/>
    </row>
    <row r="66" spans="5:18" x14ac:dyDescent="0.2">
      <c r="E66" s="6"/>
      <c r="I66" s="10"/>
      <c r="J66" s="10"/>
      <c r="K66" s="10"/>
      <c r="L66" s="10"/>
      <c r="M66" s="10"/>
      <c r="N66" s="4"/>
      <c r="O66" s="10"/>
      <c r="P66" s="10"/>
      <c r="Q66" s="10"/>
      <c r="R66" s="9"/>
    </row>
  </sheetData>
  <mergeCells count="1">
    <mergeCell ref="E2:F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25" zoomScale="110" zoomScaleNormal="110" zoomScalePageLayoutView="110" workbookViewId="0">
      <selection activeCell="O38" sqref="O38"/>
    </sheetView>
  </sheetViews>
  <sheetFormatPr baseColWidth="10" defaultColWidth="8.83203125" defaultRowHeight="16" x14ac:dyDescent="0.2"/>
  <sheetData>
    <row r="1" spans="1:19" x14ac:dyDescent="0.2">
      <c r="A1" s="3" t="s">
        <v>29</v>
      </c>
      <c r="E1" s="3" t="s">
        <v>30</v>
      </c>
      <c r="M1" s="3" t="s">
        <v>31</v>
      </c>
      <c r="N1" s="1">
        <f>2*$K$3</f>
        <v>0.08</v>
      </c>
      <c r="O1" s="1"/>
      <c r="P1" s="8">
        <f>1*$K$3</f>
        <v>0.04</v>
      </c>
      <c r="Q1" s="8">
        <f>1.5*$K$3</f>
        <v>0.06</v>
      </c>
      <c r="R1" s="8">
        <f>0.5*$K$3</f>
        <v>0.02</v>
      </c>
      <c r="S1" s="8">
        <f>1.25*$K$3</f>
        <v>0.05</v>
      </c>
    </row>
    <row r="2" spans="1:19" x14ac:dyDescent="0.2">
      <c r="A2" s="3" t="s">
        <v>32</v>
      </c>
      <c r="B2" s="11">
        <v>9.8692330000000009E-13</v>
      </c>
      <c r="C2" t="s">
        <v>33</v>
      </c>
      <c r="E2" s="3" t="s">
        <v>34</v>
      </c>
      <c r="F2" s="3" t="s">
        <v>35</v>
      </c>
      <c r="G2" s="3" t="s">
        <v>36</v>
      </c>
      <c r="H2" s="3" t="s">
        <v>37</v>
      </c>
      <c r="J2" s="3" t="s">
        <v>38</v>
      </c>
      <c r="K2">
        <v>0.04</v>
      </c>
      <c r="N2" s="3" t="s">
        <v>34</v>
      </c>
      <c r="O2" s="3" t="s">
        <v>36</v>
      </c>
      <c r="P2" s="3" t="s">
        <v>36</v>
      </c>
      <c r="Q2" s="3" t="s">
        <v>36</v>
      </c>
    </row>
    <row r="3" spans="1:19" x14ac:dyDescent="0.2">
      <c r="A3" s="3" t="s">
        <v>39</v>
      </c>
      <c r="B3" s="11">
        <f>B2/1000</f>
        <v>9.8692330000000007E-16</v>
      </c>
      <c r="C3" t="s">
        <v>33</v>
      </c>
      <c r="E3">
        <v>6.7339999999999997E-2</v>
      </c>
      <c r="F3">
        <v>6.0400000000000002E-2</v>
      </c>
      <c r="G3">
        <v>0.19135199999999999</v>
      </c>
      <c r="H3">
        <f>0.169164</f>
        <v>0.16916400000000001</v>
      </c>
      <c r="I3" s="3" t="s">
        <v>40</v>
      </c>
      <c r="J3" s="3" t="s">
        <v>41</v>
      </c>
      <c r="K3">
        <v>0.04</v>
      </c>
      <c r="N3">
        <v>6.734E-4</v>
      </c>
      <c r="O3">
        <v>2.5548300000000001E-3</v>
      </c>
      <c r="P3">
        <v>4.0962499999999999E-2</v>
      </c>
      <c r="Q3">
        <v>1.00608E-2</v>
      </c>
      <c r="R3">
        <v>0.11727</v>
      </c>
      <c r="S3">
        <v>2.07975E-2</v>
      </c>
    </row>
    <row r="4" spans="1:19" x14ac:dyDescent="0.2">
      <c r="A4" s="3" t="s">
        <v>42</v>
      </c>
      <c r="B4">
        <v>145.03800000000001</v>
      </c>
      <c r="C4" t="s">
        <v>43</v>
      </c>
      <c r="E4">
        <f>E3*($B$5*0.000001)^2</f>
        <v>1.9238381434999996E-12</v>
      </c>
      <c r="F4">
        <f>F3*($B$5*0.000001)^2</f>
        <v>1.7255691099999999E-12</v>
      </c>
      <c r="G4">
        <f>G3*($B$6*0.000001)^2</f>
        <v>1.3666850179499999E-12</v>
      </c>
      <c r="H4">
        <f>H3*($B$6*0.000001)^2</f>
        <v>1.2082126362749999E-12</v>
      </c>
      <c r="I4" s="3" t="s">
        <v>33</v>
      </c>
      <c r="J4" s="3" t="s">
        <v>44</v>
      </c>
      <c r="K4">
        <v>7.1999999999999995E-2</v>
      </c>
      <c r="N4">
        <f>N3*($B$5*0.000001)^2</f>
        <v>1.9238381434999997E-14</v>
      </c>
      <c r="O4">
        <f>O3*($B$6*0.000001)^2</f>
        <v>1.8247250535187498E-14</v>
      </c>
      <c r="P4">
        <f>P3*($B$6*0.000001)^2</f>
        <v>2.9256467164062495E-13</v>
      </c>
      <c r="Q4">
        <f>Q3*($B$6*0.000001)^2</f>
        <v>7.185681167999999E-14</v>
      </c>
      <c r="R4">
        <f>R3*($B$6*0.000001)^2</f>
        <v>8.3757239043749991E-13</v>
      </c>
      <c r="S4">
        <f>S3*($B$6*0.000001)^2</f>
        <v>1.4854107435937498E-13</v>
      </c>
    </row>
    <row r="5" spans="1:19" x14ac:dyDescent="0.2">
      <c r="A5" s="3" t="s">
        <v>45</v>
      </c>
      <c r="B5">
        <v>5.3449999999999998</v>
      </c>
      <c r="C5" t="s">
        <v>46</v>
      </c>
      <c r="E5" s="9">
        <f>E4/$B$3</f>
        <v>1949.3289331602562</v>
      </c>
      <c r="F5" s="9">
        <f>F4/$B$3</f>
        <v>1748.4328417416023</v>
      </c>
      <c r="G5" s="9">
        <f>G4/$B$3</f>
        <v>1384.7935477356748</v>
      </c>
      <c r="H5" s="9">
        <f>H4/$B$3</f>
        <v>1224.2214124187765</v>
      </c>
      <c r="I5" s="3" t="s">
        <v>47</v>
      </c>
      <c r="N5" s="9">
        <f t="shared" ref="N5:S5" si="0">N4/$B$3</f>
        <v>19.493289331602565</v>
      </c>
      <c r="O5" s="9">
        <f t="shared" si="0"/>
        <v>18.489025981236331</v>
      </c>
      <c r="P5" s="9">
        <f t="shared" si="0"/>
        <v>296.44114354238565</v>
      </c>
      <c r="Q5" s="9">
        <f t="shared" si="0"/>
        <v>72.808911979279429</v>
      </c>
      <c r="R5" s="9">
        <f t="shared" si="0"/>
        <v>848.67019598939441</v>
      </c>
      <c r="S5" s="9">
        <f t="shared" si="0"/>
        <v>150.50923851871261</v>
      </c>
    </row>
    <row r="6" spans="1:19" x14ac:dyDescent="0.2">
      <c r="A6" s="3" t="s">
        <v>48</v>
      </c>
      <c r="B6">
        <f>B5/2</f>
        <v>2.6724999999999999</v>
      </c>
      <c r="C6" t="s">
        <v>46</v>
      </c>
    </row>
    <row r="7" spans="1:19" x14ac:dyDescent="0.2">
      <c r="F7" t="s">
        <v>49</v>
      </c>
      <c r="G7" t="s">
        <v>50</v>
      </c>
      <c r="H7" t="s">
        <v>51</v>
      </c>
      <c r="I7" t="s">
        <v>10</v>
      </c>
      <c r="J7" t="s">
        <v>11</v>
      </c>
      <c r="K7" t="s">
        <v>9</v>
      </c>
      <c r="L7" t="s">
        <v>52</v>
      </c>
    </row>
    <row r="8" spans="1:19" x14ac:dyDescent="0.2">
      <c r="F8">
        <v>20</v>
      </c>
      <c r="G8">
        <v>5.6225600000000001E-2</v>
      </c>
      <c r="I8">
        <f>G8/$K$3</f>
        <v>1.40564</v>
      </c>
      <c r="K8">
        <f>(100-3.955)/100</f>
        <v>0.96045000000000003</v>
      </c>
    </row>
    <row r="9" spans="1:19" x14ac:dyDescent="0.2">
      <c r="B9">
        <f>B4/1000000</f>
        <v>1.45038E-4</v>
      </c>
      <c r="F9">
        <v>45</v>
      </c>
      <c r="G9">
        <v>1.6779100000000002E-2</v>
      </c>
      <c r="H9">
        <v>4.5300000000000002E-3</v>
      </c>
      <c r="I9">
        <f>G9/$K$3</f>
        <v>0.41947750000000006</v>
      </c>
      <c r="J9">
        <f>H9/$K$3</f>
        <v>0.11325</v>
      </c>
      <c r="K9">
        <v>0.70609999999999995</v>
      </c>
      <c r="P9" s="12"/>
    </row>
    <row r="11" spans="1:19" x14ac:dyDescent="0.2">
      <c r="F11" s="8" t="s">
        <v>49</v>
      </c>
      <c r="G11" s="8" t="s">
        <v>53</v>
      </c>
      <c r="H11" s="8" t="s">
        <v>54</v>
      </c>
      <c r="I11" s="8" t="s">
        <v>10</v>
      </c>
      <c r="J11" s="8" t="s">
        <v>11</v>
      </c>
      <c r="K11" s="8" t="s">
        <v>55</v>
      </c>
      <c r="L11" s="8" t="s">
        <v>56</v>
      </c>
      <c r="M11" s="8" t="s">
        <v>9</v>
      </c>
      <c r="N11" s="8" t="s">
        <v>57</v>
      </c>
      <c r="O11" s="8" t="s">
        <v>28</v>
      </c>
    </row>
    <row r="12" spans="1:19" x14ac:dyDescent="0.2">
      <c r="F12" s="4">
        <v>4</v>
      </c>
      <c r="G12" s="10">
        <v>4.02E-2</v>
      </c>
      <c r="H12" s="10">
        <v>0</v>
      </c>
      <c r="I12" s="10">
        <f t="shared" ref="I12:I22" si="1">G12/$E$3</f>
        <v>0.59697059697059696</v>
      </c>
      <c r="J12" s="10">
        <f t="shared" ref="J12:J22" si="2">H12/$E$3</f>
        <v>0</v>
      </c>
      <c r="K12" s="10">
        <f>100-1.689</f>
        <v>98.311000000000007</v>
      </c>
      <c r="L12" s="4">
        <v>0.32</v>
      </c>
      <c r="M12" s="10">
        <f t="shared" ref="M12:M22" si="3">K12/100</f>
        <v>0.98311000000000004</v>
      </c>
      <c r="N12" s="9">
        <f t="shared" ref="N12:N22" si="4">L12*$K$4/($K$2)/($B$5*0.000001)/1000000</f>
        <v>0.10776426566884939</v>
      </c>
      <c r="O12" s="9">
        <f t="shared" ref="O12:O22" si="5">N12*$B$4</f>
        <v>15.62991356407858</v>
      </c>
    </row>
    <row r="13" spans="1:19" x14ac:dyDescent="0.2">
      <c r="F13" s="4">
        <v>6</v>
      </c>
      <c r="G13" s="10">
        <v>3.9199999999999999E-2</v>
      </c>
      <c r="H13" s="10">
        <v>0</v>
      </c>
      <c r="I13" s="10">
        <f t="shared" si="1"/>
        <v>0.58212058212058215</v>
      </c>
      <c r="J13" s="10">
        <f t="shared" si="2"/>
        <v>0</v>
      </c>
      <c r="K13" s="10">
        <f>100-3.559</f>
        <v>96.441000000000003</v>
      </c>
      <c r="L13" s="4">
        <v>0.4</v>
      </c>
      <c r="M13" s="10">
        <f t="shared" si="3"/>
        <v>0.96440999999999999</v>
      </c>
      <c r="N13" s="9">
        <f t="shared" si="4"/>
        <v>0.13470533208606175</v>
      </c>
      <c r="O13" s="9">
        <f t="shared" si="5"/>
        <v>19.537391955098226</v>
      </c>
    </row>
    <row r="14" spans="1:19" x14ac:dyDescent="0.2">
      <c r="F14" s="4">
        <v>8</v>
      </c>
      <c r="G14" s="10">
        <v>3.7600000000000001E-2</v>
      </c>
      <c r="H14" s="10">
        <v>0</v>
      </c>
      <c r="I14" s="10">
        <f t="shared" si="1"/>
        <v>0.55836055836055842</v>
      </c>
      <c r="J14" s="10">
        <f t="shared" si="2"/>
        <v>0</v>
      </c>
      <c r="K14" s="10">
        <f>100-6.2</f>
        <v>93.8</v>
      </c>
      <c r="L14" s="4">
        <v>0.48</v>
      </c>
      <c r="M14" s="10">
        <f t="shared" si="3"/>
        <v>0.93799999999999994</v>
      </c>
      <c r="N14" s="9">
        <f t="shared" si="4"/>
        <v>0.16164639850327406</v>
      </c>
      <c r="O14" s="9">
        <f t="shared" si="5"/>
        <v>23.444870346117863</v>
      </c>
    </row>
    <row r="15" spans="1:19" x14ac:dyDescent="0.2">
      <c r="F15" s="4">
        <v>10</v>
      </c>
      <c r="G15" s="10">
        <v>3.5999999999999997E-2</v>
      </c>
      <c r="H15" s="10">
        <v>0</v>
      </c>
      <c r="I15" s="10">
        <f t="shared" si="1"/>
        <v>0.53460053460053458</v>
      </c>
      <c r="J15" s="10">
        <f t="shared" si="2"/>
        <v>0</v>
      </c>
      <c r="K15" s="10">
        <f>100-8.638</f>
        <v>91.361999999999995</v>
      </c>
      <c r="L15" s="4">
        <v>0.56000000000000005</v>
      </c>
      <c r="M15" s="10">
        <f t="shared" si="3"/>
        <v>0.91361999999999999</v>
      </c>
      <c r="N15" s="9">
        <f t="shared" si="4"/>
        <v>0.18858746492048645</v>
      </c>
      <c r="O15" s="9">
        <f t="shared" si="5"/>
        <v>27.352348737137515</v>
      </c>
    </row>
    <row r="16" spans="1:19" x14ac:dyDescent="0.2">
      <c r="F16" s="4">
        <v>14</v>
      </c>
      <c r="G16" s="10">
        <v>1.8100000000000002E-2</v>
      </c>
      <c r="H16" s="10">
        <v>7.9600000000000001E-3</v>
      </c>
      <c r="I16" s="10">
        <f t="shared" si="1"/>
        <v>0.26878526878526882</v>
      </c>
      <c r="J16" s="10">
        <f t="shared" si="2"/>
        <v>0.11820611820611822</v>
      </c>
      <c r="K16" s="10">
        <f>100-29.435</f>
        <v>70.564999999999998</v>
      </c>
      <c r="L16" s="4">
        <v>0.72</v>
      </c>
      <c r="M16" s="10">
        <f t="shared" si="3"/>
        <v>0.70565</v>
      </c>
      <c r="N16" s="9">
        <f t="shared" si="4"/>
        <v>0.24246959775491111</v>
      </c>
      <c r="O16" s="9">
        <f t="shared" si="5"/>
        <v>35.1673055191768</v>
      </c>
    </row>
    <row r="17" spans="6:15" x14ac:dyDescent="0.2">
      <c r="F17" s="4">
        <v>15</v>
      </c>
      <c r="G17" s="10">
        <v>1.2699999999999999E-2</v>
      </c>
      <c r="H17" s="10">
        <f>0.01055</f>
        <v>1.055E-2</v>
      </c>
      <c r="I17" s="10">
        <f t="shared" si="1"/>
        <v>0.18859518859518859</v>
      </c>
      <c r="J17" s="10">
        <f t="shared" si="2"/>
        <v>0.15666765666765667</v>
      </c>
      <c r="K17" s="10">
        <f>100-38.397</f>
        <v>61.603000000000002</v>
      </c>
      <c r="L17" s="4">
        <v>0.76</v>
      </c>
      <c r="M17" s="10">
        <f t="shared" si="3"/>
        <v>0.61602999999999997</v>
      </c>
      <c r="N17" s="9">
        <f t="shared" si="4"/>
        <v>0.25594013096351731</v>
      </c>
      <c r="O17" s="9">
        <f t="shared" si="5"/>
        <v>37.121044714686626</v>
      </c>
    </row>
    <row r="18" spans="6:15" x14ac:dyDescent="0.2">
      <c r="F18" s="4">
        <v>16</v>
      </c>
      <c r="G18" s="10">
        <v>9.5999999999999992E-3</v>
      </c>
      <c r="H18" s="10">
        <v>1.3899999999999999E-2</v>
      </c>
      <c r="I18" s="10">
        <f t="shared" si="1"/>
        <v>0.14256014256014254</v>
      </c>
      <c r="J18" s="10">
        <f t="shared" si="2"/>
        <v>0.20641520641520641</v>
      </c>
      <c r="K18" s="10">
        <f>100-45.199</f>
        <v>54.801000000000002</v>
      </c>
      <c r="L18" s="4">
        <v>0.8</v>
      </c>
      <c r="M18" s="10">
        <f t="shared" si="3"/>
        <v>0.54801</v>
      </c>
      <c r="N18" s="9">
        <f t="shared" si="4"/>
        <v>0.2694106641721235</v>
      </c>
      <c r="O18" s="9">
        <f t="shared" si="5"/>
        <v>39.074783910196452</v>
      </c>
    </row>
    <row r="19" spans="6:15" x14ac:dyDescent="0.2">
      <c r="F19" s="4">
        <v>17</v>
      </c>
      <c r="G19" s="10">
        <v>5.0600000000000003E-3</v>
      </c>
      <c r="H19" s="10">
        <v>1.7999999999999999E-2</v>
      </c>
      <c r="I19" s="10">
        <f t="shared" si="1"/>
        <v>7.5141075141075153E-2</v>
      </c>
      <c r="J19" s="10">
        <f t="shared" si="2"/>
        <v>0.26730026730026729</v>
      </c>
      <c r="K19" s="10">
        <f>100-54.727</f>
        <v>45.273000000000003</v>
      </c>
      <c r="L19" s="4">
        <v>0.84</v>
      </c>
      <c r="M19" s="10">
        <f t="shared" si="3"/>
        <v>0.45273000000000002</v>
      </c>
      <c r="N19" s="9">
        <f t="shared" si="4"/>
        <v>0.28288119738072964</v>
      </c>
      <c r="O19" s="9">
        <f t="shared" si="5"/>
        <v>41.02852310570627</v>
      </c>
    </row>
    <row r="20" spans="6:15" x14ac:dyDescent="0.2">
      <c r="F20" s="4">
        <v>18</v>
      </c>
      <c r="G20" s="10">
        <v>4.1000000000000003E-3</v>
      </c>
      <c r="H20" s="10">
        <v>1.9599999999999999E-2</v>
      </c>
      <c r="I20" s="10">
        <f t="shared" si="1"/>
        <v>6.088506088506089E-2</v>
      </c>
      <c r="J20" s="10">
        <f t="shared" si="2"/>
        <v>0.29106029106029108</v>
      </c>
      <c r="K20" s="10">
        <f>100-57.791</f>
        <v>42.209000000000003</v>
      </c>
      <c r="L20" s="4">
        <v>0.88</v>
      </c>
      <c r="M20" s="10">
        <f t="shared" si="3"/>
        <v>0.42209000000000002</v>
      </c>
      <c r="N20" s="9">
        <f t="shared" si="4"/>
        <v>0.29635173058933584</v>
      </c>
      <c r="O20" s="9">
        <f t="shared" si="5"/>
        <v>42.982262301216096</v>
      </c>
    </row>
    <row r="21" spans="6:15" x14ac:dyDescent="0.2">
      <c r="F21" s="4">
        <v>19</v>
      </c>
      <c r="G21" s="10">
        <v>1.2999999999999999E-3</v>
      </c>
      <c r="H21" s="10">
        <v>3.04E-2</v>
      </c>
      <c r="I21" s="10">
        <f t="shared" si="1"/>
        <v>1.9305019305019305E-2</v>
      </c>
      <c r="J21" s="10">
        <f t="shared" si="2"/>
        <v>0.45144045144045147</v>
      </c>
      <c r="K21" s="10">
        <f>100-67.564</f>
        <v>32.436000000000007</v>
      </c>
      <c r="L21" s="4">
        <v>0.92</v>
      </c>
      <c r="M21" s="10">
        <f t="shared" si="3"/>
        <v>0.32436000000000009</v>
      </c>
      <c r="N21" s="9">
        <f t="shared" si="4"/>
        <v>0.30982226379794198</v>
      </c>
      <c r="O21" s="9">
        <f t="shared" si="5"/>
        <v>44.936001496725915</v>
      </c>
    </row>
    <row r="22" spans="6:15" x14ac:dyDescent="0.2">
      <c r="F22" s="4">
        <v>20</v>
      </c>
      <c r="G22" s="10">
        <v>9.1E-4</v>
      </c>
      <c r="H22" s="10">
        <f>0.034</f>
        <v>3.4000000000000002E-2</v>
      </c>
      <c r="I22" s="10">
        <f t="shared" si="1"/>
        <v>1.3513513513513514E-2</v>
      </c>
      <c r="J22" s="10">
        <f t="shared" si="2"/>
        <v>0.50490050490050498</v>
      </c>
      <c r="K22" s="10">
        <f>100-71.297</f>
        <v>28.703000000000003</v>
      </c>
      <c r="L22" s="4">
        <f>0.96</f>
        <v>0.96</v>
      </c>
      <c r="M22" s="10">
        <f t="shared" si="3"/>
        <v>0.28703000000000001</v>
      </c>
      <c r="N22" s="9">
        <f t="shared" si="4"/>
        <v>0.32329279700654812</v>
      </c>
      <c r="O22" s="9">
        <f t="shared" si="5"/>
        <v>46.889740692235726</v>
      </c>
    </row>
    <row r="41" spans="6:19" x14ac:dyDescent="0.2">
      <c r="F41" s="3" t="s">
        <v>58</v>
      </c>
    </row>
    <row r="43" spans="6:19" x14ac:dyDescent="0.2">
      <c r="F43" s="8" t="s">
        <v>49</v>
      </c>
      <c r="G43" s="8" t="s">
        <v>53</v>
      </c>
      <c r="H43" s="8" t="s">
        <v>54</v>
      </c>
      <c r="I43" s="8" t="s">
        <v>10</v>
      </c>
      <c r="J43" s="8" t="s">
        <v>11</v>
      </c>
      <c r="K43" s="8" t="s">
        <v>55</v>
      </c>
      <c r="L43" s="8" t="s">
        <v>56</v>
      </c>
      <c r="M43" s="8" t="s">
        <v>9</v>
      </c>
      <c r="N43" s="8" t="s">
        <v>57</v>
      </c>
      <c r="O43" s="8" t="s">
        <v>59</v>
      </c>
      <c r="P43" s="8" t="s">
        <v>28</v>
      </c>
    </row>
    <row r="44" spans="6:19" x14ac:dyDescent="0.2">
      <c r="F44" s="4">
        <v>2</v>
      </c>
      <c r="G44" s="10">
        <v>0.21249999999999999</v>
      </c>
      <c r="H44" s="10">
        <v>0</v>
      </c>
      <c r="I44" s="10">
        <f t="shared" ref="I44:I66" si="6">G44/$G$3</f>
        <v>1.1105188343994314</v>
      </c>
      <c r="J44" s="10">
        <f t="shared" ref="J44:J66" si="7">H44/$G$3</f>
        <v>0</v>
      </c>
      <c r="K44" s="10">
        <f t="shared" ref="K44:K75" si="8">100-O44</f>
        <v>99.286000000000001</v>
      </c>
      <c r="L44" s="4">
        <f>0.24</f>
        <v>0.24</v>
      </c>
      <c r="M44" s="10">
        <f t="shared" ref="M44:M75" si="9">K44/100</f>
        <v>0.99285999999999996</v>
      </c>
      <c r="N44" s="10">
        <f t="shared" ref="N44:N66" si="10">L44*$K$4/($K$2)/($B$5*0.000001)/1000000</f>
        <v>8.0823199251637029E-2</v>
      </c>
      <c r="O44" s="10">
        <v>0.71399999999999997</v>
      </c>
      <c r="P44" s="9">
        <f t="shared" ref="P44:P66" si="11">N44*$B$4*0.5</f>
        <v>5.8612175865294658</v>
      </c>
      <c r="Q44">
        <v>0.64290000000000003</v>
      </c>
      <c r="R44">
        <f t="shared" ref="R44:R66" si="12">Q44/2.5</f>
        <v>0.25716</v>
      </c>
      <c r="S44">
        <v>5.6884502399636501E-2</v>
      </c>
    </row>
    <row r="45" spans="6:19" x14ac:dyDescent="0.2">
      <c r="F45" s="4">
        <v>3</v>
      </c>
      <c r="G45" s="10">
        <v>0.211705</v>
      </c>
      <c r="H45" s="10">
        <v>0</v>
      </c>
      <c r="I45" s="10">
        <f t="shared" si="6"/>
        <v>1.1063641874660313</v>
      </c>
      <c r="J45" s="10">
        <f t="shared" si="7"/>
        <v>0</v>
      </c>
      <c r="K45" s="10">
        <f t="shared" si="8"/>
        <v>98.986999999999995</v>
      </c>
      <c r="L45" s="4">
        <f t="shared" ref="L45:L66" si="13">L44+0.04</f>
        <v>0.27999999999999997</v>
      </c>
      <c r="M45" s="10">
        <f t="shared" si="9"/>
        <v>0.98986999999999992</v>
      </c>
      <c r="N45" s="10">
        <f t="shared" si="10"/>
        <v>9.429373246024321E-2</v>
      </c>
      <c r="O45" s="10">
        <v>1.0129999999999999</v>
      </c>
      <c r="P45" s="9">
        <f t="shared" si="11"/>
        <v>6.8380871842843778</v>
      </c>
      <c r="Q45">
        <v>0.71109999999999995</v>
      </c>
      <c r="R45">
        <f t="shared" si="12"/>
        <v>0.28443999999999997</v>
      </c>
      <c r="S45">
        <v>5.6393615129944299E-2</v>
      </c>
    </row>
    <row r="46" spans="6:19" x14ac:dyDescent="0.2">
      <c r="F46" s="4">
        <v>4</v>
      </c>
      <c r="G46" s="10">
        <v>0.211705</v>
      </c>
      <c r="H46" s="10">
        <v>0</v>
      </c>
      <c r="I46" s="10">
        <f t="shared" si="6"/>
        <v>1.1063641874660313</v>
      </c>
      <c r="J46" s="10">
        <f t="shared" si="7"/>
        <v>0</v>
      </c>
      <c r="K46" s="10">
        <f t="shared" si="8"/>
        <v>98.311000000000007</v>
      </c>
      <c r="L46" s="4">
        <f t="shared" si="13"/>
        <v>0.31999999999999995</v>
      </c>
      <c r="M46" s="10">
        <f t="shared" si="9"/>
        <v>0.98311000000000004</v>
      </c>
      <c r="N46" s="10">
        <f t="shared" si="10"/>
        <v>0.10776426566884938</v>
      </c>
      <c r="O46" s="10">
        <v>1.6890000000000001</v>
      </c>
      <c r="P46" s="9">
        <f t="shared" si="11"/>
        <v>7.8149567820392889</v>
      </c>
      <c r="Q46">
        <v>0.70689999999999997</v>
      </c>
      <c r="R46">
        <f t="shared" si="12"/>
        <v>0.28276000000000001</v>
      </c>
      <c r="S46">
        <v>6.4466635442275502E-2</v>
      </c>
    </row>
    <row r="47" spans="6:19" x14ac:dyDescent="0.2">
      <c r="F47" s="4">
        <v>5</v>
      </c>
      <c r="G47" s="10">
        <v>0.20669999999999999</v>
      </c>
      <c r="H47" s="10">
        <v>0</v>
      </c>
      <c r="I47" s="10">
        <f t="shared" si="6"/>
        <v>1.0802082026840587</v>
      </c>
      <c r="J47" s="10">
        <f t="shared" si="7"/>
        <v>0</v>
      </c>
      <c r="K47" s="10">
        <f t="shared" si="8"/>
        <v>97.316000000000003</v>
      </c>
      <c r="L47" s="4">
        <f t="shared" si="13"/>
        <v>0.35999999999999993</v>
      </c>
      <c r="M47" s="10">
        <f t="shared" si="9"/>
        <v>0.97316000000000003</v>
      </c>
      <c r="N47" s="10">
        <f t="shared" si="10"/>
        <v>0.12123479887745554</v>
      </c>
      <c r="O47" s="10">
        <v>2.6840000000000002</v>
      </c>
      <c r="P47" s="9">
        <f t="shared" si="11"/>
        <v>8.7918263797942</v>
      </c>
      <c r="Q47">
        <v>0.80579999999999996</v>
      </c>
      <c r="R47">
        <f t="shared" si="12"/>
        <v>0.32232</v>
      </c>
      <c r="S47">
        <v>8.8299357601080805E-2</v>
      </c>
    </row>
    <row r="48" spans="6:19" x14ac:dyDescent="0.2">
      <c r="F48" s="4">
        <v>6</v>
      </c>
      <c r="G48" s="10">
        <v>0.20388200000000001</v>
      </c>
      <c r="H48" s="10">
        <v>0</v>
      </c>
      <c r="I48" s="10">
        <f t="shared" si="6"/>
        <v>1.065481416447176</v>
      </c>
      <c r="J48" s="10">
        <f t="shared" si="7"/>
        <v>0</v>
      </c>
      <c r="K48" s="10">
        <f t="shared" si="8"/>
        <v>96.441000000000003</v>
      </c>
      <c r="L48" s="4">
        <f t="shared" si="13"/>
        <v>0.39999999999999991</v>
      </c>
      <c r="M48" s="10">
        <f t="shared" si="9"/>
        <v>0.96440999999999999</v>
      </c>
      <c r="N48" s="10">
        <f t="shared" si="10"/>
        <v>0.1347053320860617</v>
      </c>
      <c r="O48" s="10">
        <v>3.5590000000000002</v>
      </c>
      <c r="P48" s="9">
        <f t="shared" si="11"/>
        <v>9.7686959775491093</v>
      </c>
      <c r="Q48">
        <v>1.1036999999999999</v>
      </c>
      <c r="R48">
        <f t="shared" si="12"/>
        <v>0.44147999999999998</v>
      </c>
      <c r="S48">
        <v>0.118211760642724</v>
      </c>
    </row>
    <row r="49" spans="6:19" x14ac:dyDescent="0.2">
      <c r="F49" s="4">
        <v>7</v>
      </c>
      <c r="G49" s="10">
        <v>0.200353</v>
      </c>
      <c r="H49" s="10">
        <v>0</v>
      </c>
      <c r="I49" s="10">
        <f t="shared" si="6"/>
        <v>1.0470389648396672</v>
      </c>
      <c r="J49" s="10">
        <f t="shared" si="7"/>
        <v>0</v>
      </c>
      <c r="K49" s="10">
        <f t="shared" si="8"/>
        <v>95.47</v>
      </c>
      <c r="L49" s="4">
        <f t="shared" si="13"/>
        <v>0.43999999999999989</v>
      </c>
      <c r="M49" s="10">
        <f t="shared" si="9"/>
        <v>0.95469999999999999</v>
      </c>
      <c r="N49" s="10">
        <f t="shared" si="10"/>
        <v>0.14817586529466789</v>
      </c>
      <c r="O49" s="10">
        <v>4.53</v>
      </c>
      <c r="P49" s="9">
        <f t="shared" si="11"/>
        <v>10.745565575304022</v>
      </c>
      <c r="Q49">
        <v>1.4776</v>
      </c>
      <c r="R49">
        <f t="shared" si="12"/>
        <v>0.59104000000000001</v>
      </c>
      <c r="S49">
        <v>0.16133478169114801</v>
      </c>
    </row>
    <row r="50" spans="6:19" x14ac:dyDescent="0.2">
      <c r="F50" s="4">
        <v>8</v>
      </c>
      <c r="G50" s="10">
        <v>0.195073</v>
      </c>
      <c r="H50" s="10">
        <v>0</v>
      </c>
      <c r="I50" s="10">
        <f t="shared" si="6"/>
        <v>1.0194458380367073</v>
      </c>
      <c r="J50" s="10">
        <f t="shared" si="7"/>
        <v>0</v>
      </c>
      <c r="K50" s="10">
        <f t="shared" si="8"/>
        <v>93.8</v>
      </c>
      <c r="L50" s="4">
        <f t="shared" si="13"/>
        <v>0.47999999999999987</v>
      </c>
      <c r="M50" s="10">
        <f t="shared" si="9"/>
        <v>0.93799999999999994</v>
      </c>
      <c r="N50" s="10">
        <f t="shared" si="10"/>
        <v>0.16164639850327406</v>
      </c>
      <c r="O50" s="10">
        <v>6.2</v>
      </c>
      <c r="P50" s="9">
        <f t="shared" si="11"/>
        <v>11.722435173058932</v>
      </c>
      <c r="Q50">
        <v>2.0167000000000002</v>
      </c>
      <c r="R50">
        <f t="shared" si="12"/>
        <v>0.80668000000000006</v>
      </c>
      <c r="S50">
        <v>0.20561876088452</v>
      </c>
    </row>
    <row r="51" spans="6:19" x14ac:dyDescent="0.2">
      <c r="F51" s="4">
        <v>9</v>
      </c>
      <c r="G51" s="10">
        <v>0.19020000000000001</v>
      </c>
      <c r="H51" s="10">
        <v>0</v>
      </c>
      <c r="I51" s="10">
        <f t="shared" si="6"/>
        <v>0.99397968142480875</v>
      </c>
      <c r="J51" s="10">
        <f t="shared" si="7"/>
        <v>0</v>
      </c>
      <c r="K51" s="10">
        <f t="shared" si="8"/>
        <v>92.578999999999994</v>
      </c>
      <c r="L51" s="4">
        <f t="shared" si="13"/>
        <v>0.51999999999999991</v>
      </c>
      <c r="M51" s="10">
        <f t="shared" si="9"/>
        <v>0.92578999999999989</v>
      </c>
      <c r="N51" s="10">
        <f t="shared" si="10"/>
        <v>0.1751169317118802</v>
      </c>
      <c r="O51" s="10">
        <v>7.4210000000000003</v>
      </c>
      <c r="P51" s="9">
        <f t="shared" si="11"/>
        <v>12.699304770813841</v>
      </c>
      <c r="Q51">
        <v>2.5701999999999998</v>
      </c>
      <c r="R51">
        <f t="shared" si="12"/>
        <v>1.0280799999999999</v>
      </c>
      <c r="S51">
        <v>0.22842796914333999</v>
      </c>
    </row>
    <row r="52" spans="6:19" x14ac:dyDescent="0.2">
      <c r="F52" s="4">
        <v>10</v>
      </c>
      <c r="G52" s="10">
        <v>0.18646599999999999</v>
      </c>
      <c r="H52" s="10">
        <v>0</v>
      </c>
      <c r="I52" s="10">
        <f t="shared" si="6"/>
        <v>0.97446590576529113</v>
      </c>
      <c r="J52" s="10">
        <f t="shared" si="7"/>
        <v>0</v>
      </c>
      <c r="K52" s="10">
        <f t="shared" si="8"/>
        <v>91.361999999999995</v>
      </c>
      <c r="L52" s="4">
        <f t="shared" si="13"/>
        <v>0.55999999999999994</v>
      </c>
      <c r="M52" s="10">
        <f t="shared" si="9"/>
        <v>0.91361999999999999</v>
      </c>
      <c r="N52" s="10">
        <f t="shared" si="10"/>
        <v>0.18858746492048642</v>
      </c>
      <c r="O52" s="10">
        <v>8.6379999999999999</v>
      </c>
      <c r="P52" s="9">
        <f t="shared" si="11"/>
        <v>13.676174368568756</v>
      </c>
      <c r="Q52">
        <v>2.8553000000000002</v>
      </c>
      <c r="R52">
        <f t="shared" si="12"/>
        <v>1.14212</v>
      </c>
      <c r="S52">
        <v>0.263766304034667</v>
      </c>
    </row>
    <row r="53" spans="6:19" x14ac:dyDescent="0.2">
      <c r="F53" s="4">
        <v>11</v>
      </c>
      <c r="G53" s="10">
        <v>0.183226</v>
      </c>
      <c r="H53" s="10">
        <v>0</v>
      </c>
      <c r="I53" s="10">
        <f t="shared" si="6"/>
        <v>0.95753375977256572</v>
      </c>
      <c r="J53" s="10">
        <f t="shared" si="7"/>
        <v>0</v>
      </c>
      <c r="K53" s="10">
        <f t="shared" si="8"/>
        <v>90.518000000000001</v>
      </c>
      <c r="L53" s="4">
        <f t="shared" si="13"/>
        <v>0.6</v>
      </c>
      <c r="M53" s="10">
        <f t="shared" si="9"/>
        <v>0.90517999999999998</v>
      </c>
      <c r="N53" s="10">
        <f t="shared" si="10"/>
        <v>0.20205799812909259</v>
      </c>
      <c r="O53" s="10">
        <v>9.4819999999999993</v>
      </c>
      <c r="P53" s="9">
        <f t="shared" si="11"/>
        <v>14.653043966323667</v>
      </c>
      <c r="Q53">
        <v>3.2970999999999999</v>
      </c>
      <c r="R53">
        <f t="shared" si="12"/>
        <v>1.31884</v>
      </c>
      <c r="S53">
        <v>0.28885097566934698</v>
      </c>
    </row>
    <row r="54" spans="6:19" x14ac:dyDescent="0.2">
      <c r="F54" s="4">
        <v>12</v>
      </c>
      <c r="G54" s="10">
        <v>0.18002499999999999</v>
      </c>
      <c r="H54" s="10">
        <v>0</v>
      </c>
      <c r="I54" s="10">
        <f t="shared" si="6"/>
        <v>0.94080542664827127</v>
      </c>
      <c r="J54" s="10">
        <f t="shared" si="7"/>
        <v>0</v>
      </c>
      <c r="K54" s="10">
        <f t="shared" si="8"/>
        <v>89.59</v>
      </c>
      <c r="L54" s="4">
        <f t="shared" si="13"/>
        <v>0.64</v>
      </c>
      <c r="M54" s="10">
        <f t="shared" si="9"/>
        <v>0.89590000000000003</v>
      </c>
      <c r="N54" s="10">
        <f t="shared" si="10"/>
        <v>0.21552853133769878</v>
      </c>
      <c r="O54" s="10">
        <v>10.41</v>
      </c>
      <c r="P54" s="9">
        <f t="shared" si="11"/>
        <v>15.62991356407858</v>
      </c>
      <c r="Q54">
        <v>3.7488000000000001</v>
      </c>
      <c r="R54">
        <f t="shared" si="12"/>
        <v>1.49952</v>
      </c>
      <c r="S54">
        <v>0.29990672834393101</v>
      </c>
    </row>
    <row r="55" spans="6:19" x14ac:dyDescent="0.2">
      <c r="F55" s="4">
        <v>13</v>
      </c>
      <c r="G55" s="10">
        <v>0.176006</v>
      </c>
      <c r="H55" s="10">
        <v>0</v>
      </c>
      <c r="I55" s="10">
        <f t="shared" si="6"/>
        <v>0.9198022492579121</v>
      </c>
      <c r="J55" s="10">
        <f t="shared" si="7"/>
        <v>0</v>
      </c>
      <c r="K55" s="10">
        <f t="shared" si="8"/>
        <v>88.673000000000002</v>
      </c>
      <c r="L55" s="4">
        <f t="shared" si="13"/>
        <v>0.68</v>
      </c>
      <c r="M55" s="10">
        <f t="shared" si="9"/>
        <v>0.88673000000000002</v>
      </c>
      <c r="N55" s="10">
        <f t="shared" si="10"/>
        <v>0.22899906454630495</v>
      </c>
      <c r="O55" s="10">
        <v>11.327</v>
      </c>
      <c r="P55" s="9">
        <f t="shared" si="11"/>
        <v>16.606783161833491</v>
      </c>
      <c r="Q55">
        <v>3.8517999999999999</v>
      </c>
      <c r="R55">
        <f t="shared" si="12"/>
        <v>1.5407199999999999</v>
      </c>
      <c r="S55">
        <v>0.30814345246452002</v>
      </c>
    </row>
    <row r="56" spans="6:19" x14ac:dyDescent="0.2">
      <c r="F56" s="4">
        <v>14</v>
      </c>
      <c r="G56" s="10">
        <v>9.64E-2</v>
      </c>
      <c r="H56" s="10">
        <v>2.5999999999999999E-2</v>
      </c>
      <c r="I56" s="10">
        <f t="shared" si="6"/>
        <v>0.50378360299343616</v>
      </c>
      <c r="J56" s="10">
        <f t="shared" si="7"/>
        <v>0.13587524562063633</v>
      </c>
      <c r="K56" s="10">
        <f t="shared" si="8"/>
        <v>70.564999999999998</v>
      </c>
      <c r="L56" s="4">
        <f t="shared" si="13"/>
        <v>0.72000000000000008</v>
      </c>
      <c r="M56" s="10">
        <f t="shared" si="9"/>
        <v>0.70565</v>
      </c>
      <c r="N56" s="10">
        <f t="shared" si="10"/>
        <v>0.24246959775491114</v>
      </c>
      <c r="O56" s="10">
        <v>29.434999999999999</v>
      </c>
      <c r="P56" s="9">
        <f t="shared" si="11"/>
        <v>17.583652759588404</v>
      </c>
      <c r="Q56">
        <v>7.6604999999999999</v>
      </c>
      <c r="R56">
        <f t="shared" si="12"/>
        <v>3.0642</v>
      </c>
      <c r="S56">
        <v>0.61284141848420803</v>
      </c>
    </row>
    <row r="57" spans="6:19" x14ac:dyDescent="0.2">
      <c r="F57" s="4">
        <v>15</v>
      </c>
      <c r="G57" s="10">
        <v>6.6299999999999998E-2</v>
      </c>
      <c r="H57" s="10">
        <v>3.4700000000000002E-2</v>
      </c>
      <c r="I57" s="10">
        <f t="shared" si="6"/>
        <v>0.34648187633262262</v>
      </c>
      <c r="J57" s="10">
        <f t="shared" si="7"/>
        <v>0.1813411931936954</v>
      </c>
      <c r="K57" s="10">
        <f t="shared" si="8"/>
        <v>61.603000000000002</v>
      </c>
      <c r="L57" s="4">
        <f t="shared" si="13"/>
        <v>0.76000000000000012</v>
      </c>
      <c r="M57" s="10">
        <f t="shared" si="9"/>
        <v>0.61602999999999997</v>
      </c>
      <c r="N57" s="10">
        <f t="shared" si="10"/>
        <v>0.25594013096351736</v>
      </c>
      <c r="O57" s="10">
        <v>38.396999999999998</v>
      </c>
      <c r="P57" s="9">
        <f t="shared" si="11"/>
        <v>18.560522357343316</v>
      </c>
      <c r="Q57">
        <v>9.1026000000000007</v>
      </c>
      <c r="R57">
        <f t="shared" si="12"/>
        <v>3.6410400000000003</v>
      </c>
      <c r="S57">
        <v>0.72820485227402698</v>
      </c>
    </row>
    <row r="58" spans="6:19" x14ac:dyDescent="0.2">
      <c r="F58" s="4">
        <v>16</v>
      </c>
      <c r="G58" s="10">
        <v>5.11E-2</v>
      </c>
      <c r="H58" s="10">
        <v>4.4970000000000003E-2</v>
      </c>
      <c r="I58" s="10">
        <f t="shared" si="6"/>
        <v>0.26704711735440445</v>
      </c>
      <c r="J58" s="10">
        <f t="shared" si="7"/>
        <v>0.23501191521384676</v>
      </c>
      <c r="K58" s="10">
        <f t="shared" si="8"/>
        <v>54.801000000000002</v>
      </c>
      <c r="L58" s="4">
        <f t="shared" si="13"/>
        <v>0.80000000000000016</v>
      </c>
      <c r="M58" s="10">
        <f t="shared" si="9"/>
        <v>0.54801</v>
      </c>
      <c r="N58" s="10">
        <f t="shared" si="10"/>
        <v>0.26941066417212356</v>
      </c>
      <c r="O58" s="10">
        <v>45.198999999999998</v>
      </c>
      <c r="P58" s="9">
        <f t="shared" si="11"/>
        <v>19.537391955098229</v>
      </c>
      <c r="Q58">
        <v>10.875</v>
      </c>
      <c r="R58">
        <f t="shared" si="12"/>
        <v>4.3499999999999996</v>
      </c>
      <c r="S58">
        <v>0.86999968493319702</v>
      </c>
    </row>
    <row r="59" spans="6:19" x14ac:dyDescent="0.2">
      <c r="F59" s="4">
        <v>17</v>
      </c>
      <c r="G59" s="10">
        <v>2.4823999999999999E-2</v>
      </c>
      <c r="H59" s="10">
        <v>5.7970000000000001E-2</v>
      </c>
      <c r="I59" s="10">
        <f t="shared" si="6"/>
        <v>0.12972950374179523</v>
      </c>
      <c r="J59" s="10">
        <f t="shared" si="7"/>
        <v>0.30294953802416491</v>
      </c>
      <c r="K59" s="10">
        <f t="shared" si="8"/>
        <v>45.273000000000003</v>
      </c>
      <c r="L59" s="4">
        <f t="shared" si="13"/>
        <v>0.84000000000000019</v>
      </c>
      <c r="M59" s="10">
        <f t="shared" si="9"/>
        <v>0.45273000000000002</v>
      </c>
      <c r="N59" s="10">
        <f t="shared" si="10"/>
        <v>0.28288119738072964</v>
      </c>
      <c r="O59" s="10">
        <v>54.726999999999997</v>
      </c>
      <c r="P59" s="9">
        <f t="shared" si="11"/>
        <v>20.514261552853135</v>
      </c>
      <c r="Q59">
        <v>11.4978</v>
      </c>
      <c r="R59">
        <f t="shared" si="12"/>
        <v>4.5991200000000001</v>
      </c>
      <c r="S59">
        <v>0.91982648107000897</v>
      </c>
    </row>
    <row r="60" spans="6:19" x14ac:dyDescent="0.2">
      <c r="F60" s="4">
        <v>18</v>
      </c>
      <c r="G60" s="10">
        <v>2.027E-2</v>
      </c>
      <c r="H60" s="10">
        <v>6.2770000000000006E-2</v>
      </c>
      <c r="I60" s="10">
        <f t="shared" si="6"/>
        <v>0.10593043187424224</v>
      </c>
      <c r="J60" s="10">
        <f t="shared" si="7"/>
        <v>0.32803419875412854</v>
      </c>
      <c r="K60" s="10">
        <f t="shared" si="8"/>
        <v>42.209000000000003</v>
      </c>
      <c r="L60" s="4">
        <f t="shared" si="13"/>
        <v>0.88000000000000023</v>
      </c>
      <c r="M60" s="10">
        <f t="shared" si="9"/>
        <v>0.42209000000000002</v>
      </c>
      <c r="N60" s="10">
        <f t="shared" si="10"/>
        <v>0.29635173058933589</v>
      </c>
      <c r="O60" s="10">
        <v>57.790999999999997</v>
      </c>
      <c r="P60" s="9">
        <f t="shared" si="11"/>
        <v>21.491131150608052</v>
      </c>
      <c r="Q60">
        <v>12.423500000000001</v>
      </c>
      <c r="R60">
        <f t="shared" si="12"/>
        <v>4.9694000000000003</v>
      </c>
      <c r="S60">
        <v>0.99388144171314696</v>
      </c>
    </row>
    <row r="61" spans="6:19" x14ac:dyDescent="0.2">
      <c r="F61" s="4">
        <v>19</v>
      </c>
      <c r="G61" s="10">
        <v>6.4840000000000002E-3</v>
      </c>
      <c r="H61" s="10">
        <v>9.3683299999999997E-2</v>
      </c>
      <c r="I61" s="10">
        <f t="shared" si="6"/>
        <v>3.3885195869392537E-2</v>
      </c>
      <c r="J61" s="10">
        <f t="shared" si="7"/>
        <v>0.48958620761737531</v>
      </c>
      <c r="K61" s="10">
        <f t="shared" si="8"/>
        <v>32.436000000000007</v>
      </c>
      <c r="L61" s="4">
        <f t="shared" si="13"/>
        <v>0.92000000000000026</v>
      </c>
      <c r="M61" s="10">
        <f t="shared" si="9"/>
        <v>0.32436000000000009</v>
      </c>
      <c r="N61" s="10">
        <f t="shared" si="10"/>
        <v>0.30982226379794203</v>
      </c>
      <c r="O61" s="10">
        <v>67.563999999999993</v>
      </c>
      <c r="P61" s="9">
        <f t="shared" si="11"/>
        <v>22.468000748362961</v>
      </c>
      <c r="Q61">
        <v>14.8445</v>
      </c>
      <c r="R61">
        <f t="shared" si="12"/>
        <v>5.9378000000000002</v>
      </c>
      <c r="S61">
        <v>1.18756303291889</v>
      </c>
    </row>
    <row r="62" spans="6:19" x14ac:dyDescent="0.2">
      <c r="F62" s="4">
        <v>20</v>
      </c>
      <c r="G62" s="10">
        <v>3.7599999999999999E-3</v>
      </c>
      <c r="H62" s="10">
        <v>0.104251</v>
      </c>
      <c r="I62" s="10">
        <f t="shared" si="6"/>
        <v>1.9649650905138174E-2</v>
      </c>
      <c r="J62" s="10">
        <f t="shared" si="7"/>
        <v>0.5448127011998829</v>
      </c>
      <c r="K62" s="10">
        <f t="shared" si="8"/>
        <v>28.703000000000003</v>
      </c>
      <c r="L62" s="4">
        <f t="shared" si="13"/>
        <v>0.9600000000000003</v>
      </c>
      <c r="M62" s="10">
        <f t="shared" si="9"/>
        <v>0.28703000000000001</v>
      </c>
      <c r="N62" s="10">
        <f t="shared" si="10"/>
        <v>0.32329279700654828</v>
      </c>
      <c r="O62" s="10">
        <v>71.296999999999997</v>
      </c>
      <c r="P62" s="9">
        <f t="shared" si="11"/>
        <v>23.444870346117877</v>
      </c>
      <c r="Q62">
        <v>14.9407</v>
      </c>
      <c r="R62">
        <f t="shared" si="12"/>
        <v>5.97628</v>
      </c>
      <c r="S62">
        <v>1.19525499475519</v>
      </c>
    </row>
    <row r="63" spans="6:19" x14ac:dyDescent="0.2">
      <c r="F63" s="4">
        <v>21</v>
      </c>
      <c r="G63" s="10">
        <v>2.0600000000000002E-3</v>
      </c>
      <c r="H63" s="10">
        <v>0.11507000000000001</v>
      </c>
      <c r="I63" s="10">
        <f t="shared" si="6"/>
        <v>1.0765500229942725E-2</v>
      </c>
      <c r="J63" s="10">
        <f t="shared" si="7"/>
        <v>0.60135248129102392</v>
      </c>
      <c r="K63" s="10">
        <f t="shared" si="8"/>
        <v>24.378</v>
      </c>
      <c r="L63" s="4">
        <f t="shared" si="13"/>
        <v>1.0000000000000002</v>
      </c>
      <c r="M63" s="10">
        <f t="shared" si="9"/>
        <v>0.24378</v>
      </c>
      <c r="N63" s="10">
        <f t="shared" si="10"/>
        <v>0.33676333021515442</v>
      </c>
      <c r="O63" s="10">
        <v>75.622</v>
      </c>
      <c r="P63" s="9">
        <f t="shared" si="11"/>
        <v>24.421739943872787</v>
      </c>
      <c r="Q63">
        <v>15.5511</v>
      </c>
      <c r="R63">
        <f t="shared" si="12"/>
        <v>6.22044</v>
      </c>
      <c r="S63">
        <v>1.2440845928081801</v>
      </c>
    </row>
    <row r="64" spans="6:19" x14ac:dyDescent="0.2">
      <c r="F64" s="4">
        <v>22</v>
      </c>
      <c r="G64" s="10">
        <v>1.4E-3</v>
      </c>
      <c r="H64" s="10">
        <v>0.120031</v>
      </c>
      <c r="I64" s="10">
        <f t="shared" si="6"/>
        <v>7.3163593795727245E-3</v>
      </c>
      <c r="J64" s="10">
        <f t="shared" si="7"/>
        <v>0.62727852334963841</v>
      </c>
      <c r="K64" s="10">
        <f t="shared" si="8"/>
        <v>22.617000000000004</v>
      </c>
      <c r="L64" s="4">
        <f t="shared" si="13"/>
        <v>1.0400000000000003</v>
      </c>
      <c r="M64" s="10">
        <f t="shared" si="9"/>
        <v>0.22617000000000004</v>
      </c>
      <c r="N64" s="10">
        <f t="shared" si="10"/>
        <v>0.35023386342376062</v>
      </c>
      <c r="O64" s="10">
        <v>77.382999999999996</v>
      </c>
      <c r="P64" s="9">
        <f t="shared" si="11"/>
        <v>25.3986095416277</v>
      </c>
      <c r="Q64">
        <v>16.176600000000001</v>
      </c>
      <c r="R64">
        <f t="shared" si="12"/>
        <v>6.4706400000000004</v>
      </c>
      <c r="S64">
        <v>1.29412793892385</v>
      </c>
    </row>
    <row r="65" spans="2:19" x14ac:dyDescent="0.2">
      <c r="F65" s="4">
        <v>23</v>
      </c>
      <c r="G65" s="10">
        <v>7.0399999999999998E-4</v>
      </c>
      <c r="H65" s="10">
        <v>0.12970000000000001</v>
      </c>
      <c r="I65" s="10">
        <f t="shared" si="6"/>
        <v>3.6790835737279988E-3</v>
      </c>
      <c r="J65" s="10">
        <f t="shared" si="7"/>
        <v>0.67780843680755887</v>
      </c>
      <c r="K65" s="10">
        <f t="shared" si="8"/>
        <v>19.703000000000003</v>
      </c>
      <c r="L65" s="4">
        <f t="shared" si="13"/>
        <v>1.0800000000000003</v>
      </c>
      <c r="M65" s="10">
        <f t="shared" si="9"/>
        <v>0.19703000000000004</v>
      </c>
      <c r="N65" s="10">
        <f t="shared" si="10"/>
        <v>0.36370439663236676</v>
      </c>
      <c r="O65" s="10">
        <v>80.296999999999997</v>
      </c>
      <c r="P65" s="9">
        <f t="shared" si="11"/>
        <v>26.375479139382605</v>
      </c>
      <c r="Q65">
        <v>16.4434</v>
      </c>
      <c r="R65">
        <f t="shared" si="12"/>
        <v>6.5773600000000005</v>
      </c>
      <c r="S65">
        <v>1.3154705304854499</v>
      </c>
    </row>
    <row r="66" spans="2:19" x14ac:dyDescent="0.2">
      <c r="F66" s="4">
        <v>24</v>
      </c>
      <c r="G66" s="10">
        <v>3.2899999999999997E-4</v>
      </c>
      <c r="H66" s="10">
        <v>0.13675699999999999</v>
      </c>
      <c r="I66" s="10">
        <f t="shared" si="6"/>
        <v>1.7193444541995903E-3</v>
      </c>
      <c r="J66" s="10">
        <f t="shared" si="7"/>
        <v>0.71468811405159072</v>
      </c>
      <c r="K66" s="10">
        <f t="shared" si="8"/>
        <v>16.896000000000001</v>
      </c>
      <c r="L66" s="4">
        <f t="shared" si="13"/>
        <v>1.1200000000000003</v>
      </c>
      <c r="M66" s="10">
        <f t="shared" si="9"/>
        <v>0.16896</v>
      </c>
      <c r="N66" s="10">
        <f t="shared" si="10"/>
        <v>0.37717492984097301</v>
      </c>
      <c r="O66" s="10">
        <v>83.103999999999999</v>
      </c>
      <c r="P66" s="9">
        <f t="shared" si="11"/>
        <v>27.352348737137522</v>
      </c>
      <c r="Q66">
        <v>17.256599999999999</v>
      </c>
      <c r="R66">
        <f t="shared" si="12"/>
        <v>6.9026399999999999</v>
      </c>
      <c r="S66">
        <v>1.3805307963709399</v>
      </c>
    </row>
    <row r="67" spans="2:19" x14ac:dyDescent="0.2">
      <c r="F67" s="4">
        <v>25</v>
      </c>
      <c r="K67" s="10">
        <f t="shared" si="8"/>
        <v>15.135000000000005</v>
      </c>
      <c r="M67" s="10">
        <f t="shared" si="9"/>
        <v>0.15135000000000004</v>
      </c>
      <c r="O67" s="10">
        <v>84.864999999999995</v>
      </c>
      <c r="S67">
        <v>1.3704517550711799</v>
      </c>
    </row>
    <row r="68" spans="2:19" x14ac:dyDescent="0.2">
      <c r="F68" s="4">
        <v>26</v>
      </c>
      <c r="K68" s="10">
        <f t="shared" si="8"/>
        <v>13.709999999999994</v>
      </c>
      <c r="M68" s="10">
        <f t="shared" si="9"/>
        <v>0.13709999999999994</v>
      </c>
      <c r="O68" s="10">
        <v>86.29</v>
      </c>
      <c r="S68">
        <v>1.4099936786707801</v>
      </c>
    </row>
    <row r="69" spans="2:19" x14ac:dyDescent="0.2">
      <c r="F69" s="4">
        <v>27</v>
      </c>
      <c r="K69" s="10">
        <f t="shared" si="8"/>
        <v>12.533000000000001</v>
      </c>
      <c r="M69" s="10">
        <f t="shared" si="9"/>
        <v>0.12533000000000002</v>
      </c>
      <c r="O69" s="10">
        <v>87.466999999999999</v>
      </c>
      <c r="S69">
        <v>1.4161718680689701</v>
      </c>
    </row>
    <row r="70" spans="2:19" x14ac:dyDescent="0.2">
      <c r="F70" s="4">
        <v>28</v>
      </c>
      <c r="K70" s="10">
        <f t="shared" si="8"/>
        <v>10.870000000000005</v>
      </c>
      <c r="M70" s="10">
        <f t="shared" si="9"/>
        <v>0.10870000000000005</v>
      </c>
      <c r="O70" s="10">
        <v>89.13</v>
      </c>
      <c r="S70">
        <v>1.57923178060893</v>
      </c>
    </row>
    <row r="71" spans="2:19" x14ac:dyDescent="0.2">
      <c r="F71" s="4">
        <v>29</v>
      </c>
      <c r="K71" s="10">
        <f t="shared" si="8"/>
        <v>9.8509999999999991</v>
      </c>
      <c r="M71" s="10">
        <f t="shared" si="9"/>
        <v>9.8509999999999986E-2</v>
      </c>
      <c r="O71" s="10">
        <v>90.149000000000001</v>
      </c>
      <c r="S71">
        <v>1.5860341061902199</v>
      </c>
    </row>
    <row r="72" spans="2:19" x14ac:dyDescent="0.2">
      <c r="F72" s="4">
        <v>30</v>
      </c>
      <c r="K72" s="10">
        <f t="shared" si="8"/>
        <v>8.9770000000000039</v>
      </c>
      <c r="M72" s="10">
        <f t="shared" si="9"/>
        <v>8.9770000000000044E-2</v>
      </c>
      <c r="O72" s="10">
        <v>91.022999999999996</v>
      </c>
      <c r="S72">
        <v>1.68207673920612</v>
      </c>
    </row>
    <row r="73" spans="2:19" x14ac:dyDescent="0.2">
      <c r="F73" s="4">
        <v>31</v>
      </c>
      <c r="K73" s="10">
        <f t="shared" si="8"/>
        <v>8.3370000000000033</v>
      </c>
      <c r="M73" s="10">
        <f t="shared" si="9"/>
        <v>8.3370000000000027E-2</v>
      </c>
      <c r="O73" s="10">
        <v>91.662999999999997</v>
      </c>
      <c r="S73">
        <v>1.7688213825419199</v>
      </c>
    </row>
    <row r="74" spans="2:19" x14ac:dyDescent="0.2">
      <c r="F74" s="4">
        <v>32</v>
      </c>
      <c r="K74" s="10">
        <f t="shared" si="8"/>
        <v>7.3559999999999945</v>
      </c>
      <c r="M74" s="10">
        <f t="shared" si="9"/>
        <v>7.3559999999999945E-2</v>
      </c>
      <c r="O74" s="10">
        <v>92.644000000000005</v>
      </c>
      <c r="S74">
        <v>1.87047761839589</v>
      </c>
    </row>
    <row r="75" spans="2:19" x14ac:dyDescent="0.2">
      <c r="B75" t="s">
        <v>60</v>
      </c>
      <c r="F75" s="4">
        <v>33</v>
      </c>
      <c r="K75" s="10">
        <f t="shared" si="8"/>
        <v>6.855000000000004</v>
      </c>
      <c r="M75" s="10">
        <f t="shared" si="9"/>
        <v>6.8550000000000041E-2</v>
      </c>
      <c r="O75" s="10">
        <v>93.144999999999996</v>
      </c>
      <c r="S75">
        <v>2.0416615213229798</v>
      </c>
    </row>
    <row r="76" spans="2:19" x14ac:dyDescent="0.2">
      <c r="B76" t="s">
        <v>61</v>
      </c>
    </row>
    <row r="78" spans="2:19" x14ac:dyDescent="0.2">
      <c r="B78" t="s">
        <v>62</v>
      </c>
    </row>
    <row r="79" spans="2:19" x14ac:dyDescent="0.2">
      <c r="B79" t="s">
        <v>63</v>
      </c>
    </row>
    <row r="80" spans="2:19" x14ac:dyDescent="0.2">
      <c r="B80" t="s">
        <v>64</v>
      </c>
    </row>
    <row r="81" spans="2:2" x14ac:dyDescent="0.2">
      <c r="B81" t="s">
        <v>65</v>
      </c>
    </row>
    <row r="83" spans="2:2" x14ac:dyDescent="0.2">
      <c r="B83" t="s">
        <v>66</v>
      </c>
    </row>
    <row r="85" spans="2:2" x14ac:dyDescent="0.2">
      <c r="B85" t="s">
        <v>67</v>
      </c>
    </row>
    <row r="87" spans="2:2" x14ac:dyDescent="0.2">
      <c r="B87" t="s">
        <v>68</v>
      </c>
    </row>
  </sheetData>
  <mergeCells count="1">
    <mergeCell ref="N1:O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ExpData</vt:lpstr>
      <vt:lpstr>CalcValues_Blunt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2017-08-17T21:07:04Z</dcterms:created>
  <dcterms:modified xsi:type="dcterms:W3CDTF">2017-08-29T14:58:14Z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